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codeName="ThisWorkbook" defaultThemeVersion="124226"/>
  <xr:revisionPtr revIDLastSave="1" documentId="13_ncr:1_{7BE55136-2450-4D86-A286-39577A5E10A0}" xr6:coauthVersionLast="47" xr6:coauthVersionMax="47" xr10:uidLastSave="{B699A1D2-CF5D-4DD7-B3A0-6018B591EDE9}"/>
  <bookViews>
    <workbookView xWindow="1395" yWindow="0" windowWidth="37650" windowHeight="15765" tabRatio="829" xr2:uid="{00000000-000D-0000-FFFF-FFFF00000000}"/>
  </bookViews>
  <sheets>
    <sheet name="Cover" sheetId="43" r:id="rId1"/>
    <sheet name="Index" sheetId="44" r:id="rId2"/>
    <sheet name="OVERVIEW -&gt;" sheetId="88" r:id="rId3"/>
    <sheet name="Structure" sheetId="89" r:id="rId4"/>
    <sheet name="Summary" sheetId="57" r:id="rId5"/>
    <sheet name="CHARTS -&gt;" sheetId="93" r:id="rId6"/>
    <sheet name="Res wo CL" sheetId="83" r:id="rId7"/>
    <sheet name="Res w CL" sheetId="119" r:id="rId8"/>
    <sheet name="SB wo CL" sheetId="120" r:id="rId9"/>
    <sheet name="DMO Zone prices -&gt;" sheetId="90" r:id="rId10"/>
    <sheet name="Ausgrid" sheetId="108" r:id="rId11"/>
    <sheet name="Endeavour" sheetId="113" r:id="rId12"/>
    <sheet name="Essential" sheetId="114" r:id="rId13"/>
    <sheet name="Energex" sheetId="115" r:id="rId14"/>
    <sheet name="SAPN" sheetId="116" r:id="rId15"/>
    <sheet name="COST CALCS -&gt;" sheetId="91" r:id="rId16"/>
    <sheet name="Network cost" sheetId="52" r:id="rId17"/>
    <sheet name="Wholesale cost" sheetId="66" r:id="rId18"/>
    <sheet name="Environmental cost" sheetId="68" r:id="rId19"/>
    <sheet name="Retail cost" sheetId="98" r:id="rId20"/>
    <sheet name="INPUTS -&gt;" sheetId="92" r:id="rId21"/>
    <sheet name="Key inputs" sheetId="78" r:id="rId22"/>
    <sheet name="Detail inputs" sheetId="58" r:id="rId23"/>
    <sheet name="Usage" sheetId="61" r:id="rId24"/>
    <sheet name="NSW Roadmap costs" sheetId="122" r:id="rId25"/>
    <sheet name="Ausgrid adjustment" sheetId="87" state="hidden" r:id="rId26"/>
    <sheet name="Lists" sheetId="60" state="hidden" r:id="rId27"/>
  </sheets>
  <definedNames>
    <definedName name="_xlnm._FilterDatabase" localSheetId="22" hidden="1">'Detail inputs'!$B$3:$N$273</definedName>
    <definedName name="_xlnm._FilterDatabase" localSheetId="3" hidden="1">Structure!$B$25:$C$25</definedName>
    <definedName name="_xlnm._FilterDatabase" localSheetId="23" hidden="1">Usage!$B$4:$M$4</definedName>
    <definedName name="CPI">'Key inputs'!$C$10</definedName>
    <definedName name="CPIPY">'Key inputs'!$C$9</definedName>
    <definedName name="Days">'Key inputs'!$C$11</definedName>
    <definedName name="FY">'Key inputs'!$C$6</definedName>
    <definedName name="GST">'Key inputs'!$C$12</definedName>
    <definedName name="PY">'Key inputs'!$C$7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57" l="1"/>
  <c r="F40" i="78"/>
  <c r="F38" i="78"/>
  <c r="F37" i="78"/>
  <c r="F34" i="78"/>
  <c r="F33" i="78"/>
  <c r="F29" i="78"/>
  <c r="F28" i="78"/>
  <c r="F27" i="78"/>
  <c r="F26" i="78"/>
  <c r="F25" i="78"/>
  <c r="F24" i="78"/>
  <c r="F23" i="78"/>
  <c r="F22" i="78"/>
  <c r="P179" i="68" a="1"/>
  <c r="P179" i="68" s="1"/>
  <c r="I179" i="68" a="1"/>
  <c r="I179" i="68" s="1"/>
  <c r="P168" i="68" a="1"/>
  <c r="P168" i="68" s="1"/>
  <c r="I168" i="68" a="1"/>
  <c r="I168" i="68" s="1"/>
  <c r="P147" i="68" a="1"/>
  <c r="P147" i="68" s="1"/>
  <c r="I147" i="68" a="1"/>
  <c r="I147" i="68" s="1"/>
  <c r="P138" i="68" a="1"/>
  <c r="P138" i="68" s="1"/>
  <c r="I138" i="68" a="1"/>
  <c r="I138" i="68" s="1"/>
  <c r="P134" i="68" a="1"/>
  <c r="P134" i="68" s="1"/>
  <c r="I134" i="68" a="1"/>
  <c r="I134" i="68" s="1"/>
  <c r="P125" i="68" a="1"/>
  <c r="P125" i="68" s="1"/>
  <c r="I125" i="68" a="1"/>
  <c r="I125" i="68" s="1"/>
  <c r="P118" i="68" a="1"/>
  <c r="P118" i="68" s="1"/>
  <c r="Q118" i="68" s="1"/>
  <c r="I118" i="68" a="1"/>
  <c r="I118" i="68" s="1"/>
  <c r="J118" i="68" s="1"/>
  <c r="P116" i="68"/>
  <c r="Q116" i="68" s="1"/>
  <c r="P116" i="68" a="1"/>
  <c r="I116" i="68"/>
  <c r="J116" i="68" s="1"/>
  <c r="I116" i="68" a="1"/>
  <c r="P115" i="68" a="1"/>
  <c r="P115" i="68" s="1"/>
  <c r="Q115" i="68" s="1"/>
  <c r="J115" i="68"/>
  <c r="M115" i="68" s="1"/>
  <c r="I115" i="68"/>
  <c r="I115" i="68" a="1"/>
  <c r="P114" i="68"/>
  <c r="Q114" i="68" s="1"/>
  <c r="P114" i="68" a="1"/>
  <c r="I114" i="68" a="1"/>
  <c r="I114" i="68" s="1"/>
  <c r="J114" i="68" s="1"/>
  <c r="P113" i="68" a="1"/>
  <c r="P113" i="68" s="1"/>
  <c r="I113" i="68"/>
  <c r="I117" i="68" s="1" a="1"/>
  <c r="I117" i="68" s="1"/>
  <c r="J117" i="68" s="1"/>
  <c r="I113" i="68" a="1"/>
  <c r="P107" i="68" a="1"/>
  <c r="P107" i="68" s="1"/>
  <c r="Q107" i="68" s="1"/>
  <c r="I107" i="68" a="1"/>
  <c r="I107" i="68" s="1"/>
  <c r="J107" i="68" s="1"/>
  <c r="P105" i="68"/>
  <c r="Q105" i="68" s="1"/>
  <c r="P105" i="68" a="1"/>
  <c r="J105" i="68"/>
  <c r="I105" i="68"/>
  <c r="I105" i="68" a="1"/>
  <c r="P104" i="68" a="1"/>
  <c r="P104" i="68" s="1"/>
  <c r="Q104" i="68" s="1"/>
  <c r="I104" i="68" a="1"/>
  <c r="I104" i="68" s="1"/>
  <c r="J104" i="68" s="1"/>
  <c r="P103" i="68"/>
  <c r="Q103" i="68" s="1"/>
  <c r="P103" i="68" a="1"/>
  <c r="I103" i="68" a="1"/>
  <c r="I103" i="68" s="1"/>
  <c r="J103" i="68" s="1"/>
  <c r="P102" i="68" a="1"/>
  <c r="P102" i="68" s="1"/>
  <c r="I102" i="68"/>
  <c r="I106" i="68" s="1" a="1"/>
  <c r="I106" i="68" s="1"/>
  <c r="J106" i="68" s="1"/>
  <c r="I102" i="68" a="1"/>
  <c r="P101" i="68" a="1"/>
  <c r="P101" i="68" s="1"/>
  <c r="Q101" i="68" s="1"/>
  <c r="I101" i="68" a="1"/>
  <c r="I101" i="68" s="1"/>
  <c r="J101" i="68" s="1"/>
  <c r="P99" i="68"/>
  <c r="Q99" i="68" s="1"/>
  <c r="P99" i="68" a="1"/>
  <c r="I99" i="68" a="1"/>
  <c r="I99" i="68" s="1"/>
  <c r="J99" i="68" s="1"/>
  <c r="Q98" i="68"/>
  <c r="P98" i="68"/>
  <c r="P98" i="68" a="1"/>
  <c r="I98" i="68"/>
  <c r="J98" i="68" s="1"/>
  <c r="I98" i="68" a="1"/>
  <c r="P97" i="68" a="1"/>
  <c r="P97" i="68" s="1"/>
  <c r="Q97" i="68" s="1"/>
  <c r="I97" i="68" a="1"/>
  <c r="I97" i="68" s="1"/>
  <c r="J97" i="68" s="1"/>
  <c r="P96" i="68" a="1"/>
  <c r="P96" i="68" s="1"/>
  <c r="I96" i="68"/>
  <c r="J96" i="68" s="1"/>
  <c r="I96" i="68" a="1"/>
  <c r="P90" i="68" a="1"/>
  <c r="P90" i="68" s="1"/>
  <c r="I90" i="68" a="1"/>
  <c r="I90" i="68" s="1"/>
  <c r="I95" i="68" s="1"/>
  <c r="P88" i="68"/>
  <c r="Q88" i="68" s="1"/>
  <c r="P88" i="68" a="1"/>
  <c r="I88" i="68" a="1"/>
  <c r="I88" i="68" s="1"/>
  <c r="J88" i="68" s="1"/>
  <c r="P87" i="68" a="1"/>
  <c r="P87" i="68" s="1"/>
  <c r="Q87" i="68" s="1"/>
  <c r="I87" i="68" a="1"/>
  <c r="I87" i="68" s="1"/>
  <c r="J87" i="68" s="1"/>
  <c r="P86" i="68" a="1"/>
  <c r="P86" i="68" s="1"/>
  <c r="I86" i="68" a="1"/>
  <c r="I86" i="68" s="1"/>
  <c r="J86" i="68" s="1"/>
  <c r="P85" i="68"/>
  <c r="Q85" i="68" s="1"/>
  <c r="P85" i="68" a="1"/>
  <c r="I85" i="68" a="1"/>
  <c r="I85" i="68" s="1"/>
  <c r="P80" i="68" a="1"/>
  <c r="P80" i="68" s="1"/>
  <c r="Q80" i="68" s="1"/>
  <c r="I80" i="68" a="1"/>
  <c r="I80" i="68" s="1"/>
  <c r="J80" i="68" s="1"/>
  <c r="P78" i="68"/>
  <c r="Q78" i="68" s="1"/>
  <c r="P78" i="68" a="1"/>
  <c r="I78" i="68"/>
  <c r="J78" i="68" s="1"/>
  <c r="I78" i="68" a="1"/>
  <c r="Q77" i="68"/>
  <c r="P77" i="68"/>
  <c r="P77" i="68" a="1"/>
  <c r="I77" i="68" a="1"/>
  <c r="I77" i="68" s="1"/>
  <c r="J77" i="68" s="1"/>
  <c r="Q76" i="68"/>
  <c r="P76" i="68"/>
  <c r="P76" i="68" a="1"/>
  <c r="I76" i="68" a="1"/>
  <c r="I76" i="68" s="1"/>
  <c r="J76" i="68" s="1"/>
  <c r="P75" i="68" a="1"/>
  <c r="P75" i="68" s="1"/>
  <c r="I75" i="68"/>
  <c r="J75" i="68" s="1"/>
  <c r="I75" i="68" a="1"/>
  <c r="P69" i="68" a="1"/>
  <c r="P69" i="68" s="1"/>
  <c r="Q69" i="68" s="1"/>
  <c r="I69" i="68" a="1"/>
  <c r="I69" i="68" s="1"/>
  <c r="J69" i="68" s="1"/>
  <c r="P67" i="68" a="1"/>
  <c r="P67" i="68" s="1"/>
  <c r="Q67" i="68" s="1"/>
  <c r="I67" i="68" a="1"/>
  <c r="I67" i="68" s="1"/>
  <c r="J67" i="68" s="1"/>
  <c r="P66" i="68" a="1"/>
  <c r="P66" i="68" s="1"/>
  <c r="Q66" i="68" s="1"/>
  <c r="I66" i="68"/>
  <c r="J66" i="68" s="1"/>
  <c r="I66" i="68" a="1"/>
  <c r="P65" i="68"/>
  <c r="Q65" i="68" s="1"/>
  <c r="P65" i="68" a="1"/>
  <c r="I65" i="68" a="1"/>
  <c r="I65" i="68" s="1"/>
  <c r="J65" i="68" s="1"/>
  <c r="Q64" i="68"/>
  <c r="P64" i="68"/>
  <c r="P64" i="68" a="1"/>
  <c r="I64" i="68" a="1"/>
  <c r="I64" i="68" s="1"/>
  <c r="P63" i="68" a="1"/>
  <c r="P63" i="68" s="1"/>
  <c r="Q63" i="68" s="1"/>
  <c r="I63" i="68" a="1"/>
  <c r="I63" i="68" s="1"/>
  <c r="J63" i="68" s="1"/>
  <c r="P61" i="68"/>
  <c r="Q61" i="68" s="1"/>
  <c r="P61" i="68" a="1"/>
  <c r="I61" i="68" a="1"/>
  <c r="I61" i="68" s="1"/>
  <c r="J61" i="68" s="1"/>
  <c r="P60" i="68" a="1"/>
  <c r="P60" i="68" s="1"/>
  <c r="Q60" i="68" s="1"/>
  <c r="I60" i="68"/>
  <c r="J60" i="68" s="1"/>
  <c r="I60" i="68" a="1"/>
  <c r="P59" i="68"/>
  <c r="Q59" i="68" s="1"/>
  <c r="P59" i="68" a="1"/>
  <c r="I59" i="68" a="1"/>
  <c r="I59" i="68" s="1"/>
  <c r="P58" i="68" a="1"/>
  <c r="P58" i="68" s="1"/>
  <c r="I58" i="68"/>
  <c r="J58" i="68" s="1"/>
  <c r="I58" i="68" a="1"/>
  <c r="P52" i="68" a="1"/>
  <c r="P52" i="68" s="1"/>
  <c r="I52" i="68" a="1"/>
  <c r="I52" i="68" s="1"/>
  <c r="P50" i="68"/>
  <c r="Q50" i="68" s="1"/>
  <c r="P50" i="68" a="1"/>
  <c r="I50" i="68" a="1"/>
  <c r="I50" i="68" s="1"/>
  <c r="J50" i="68" s="1"/>
  <c r="P49" i="68" a="1"/>
  <c r="P49" i="68" s="1"/>
  <c r="Q49" i="68" s="1"/>
  <c r="I49" i="68" a="1"/>
  <c r="I49" i="68" s="1"/>
  <c r="J49" i="68" s="1"/>
  <c r="P48" i="68"/>
  <c r="Q48" i="68" s="1"/>
  <c r="P48" i="68" a="1"/>
  <c r="I48" i="68" a="1"/>
  <c r="I48" i="68" s="1"/>
  <c r="J48" i="68" s="1"/>
  <c r="P47" i="68" a="1"/>
  <c r="P47" i="68" s="1"/>
  <c r="I47" i="68"/>
  <c r="I51" i="68" s="1" a="1"/>
  <c r="I51" i="68" s="1"/>
  <c r="J51" i="68" s="1"/>
  <c r="I47" i="68" a="1"/>
  <c r="P41" i="68" a="1"/>
  <c r="P41" i="68" s="1"/>
  <c r="I41" i="68" a="1"/>
  <c r="I41" i="68" s="1"/>
  <c r="P30" i="68" a="1"/>
  <c r="P30" i="68" s="1"/>
  <c r="I30" i="68" a="1"/>
  <c r="I30" i="68" s="1"/>
  <c r="P24" i="68" a="1"/>
  <c r="P24" i="68" s="1"/>
  <c r="I24" i="68" a="1"/>
  <c r="I24" i="68" s="1"/>
  <c r="P13" i="68" a="1"/>
  <c r="P13" i="68" s="1"/>
  <c r="I13" i="68" a="1"/>
  <c r="I13" i="68" s="1"/>
  <c r="P61" i="66" a="1"/>
  <c r="P61" i="66" s="1"/>
  <c r="I61" i="66" a="1"/>
  <c r="I61" i="66" s="1"/>
  <c r="I57" i="66" a="1"/>
  <c r="I57" i="66" s="1"/>
  <c r="P95" i="66" a="1"/>
  <c r="P95" i="66" s="1"/>
  <c r="P228" i="66" a="1"/>
  <c r="P228" i="66" s="1"/>
  <c r="I228" i="66" a="1"/>
  <c r="I228" i="66" s="1"/>
  <c r="P214" i="66" a="1"/>
  <c r="P214" i="66" s="1"/>
  <c r="I214" i="66" a="1"/>
  <c r="I214" i="66" s="1"/>
  <c r="P200" i="66" a="1"/>
  <c r="P200" i="66" s="1"/>
  <c r="I200" i="66" a="1"/>
  <c r="I200" i="66" s="1"/>
  <c r="P187" i="66" a="1"/>
  <c r="P187" i="66" s="1"/>
  <c r="I187" i="66" a="1"/>
  <c r="I187" i="66" s="1"/>
  <c r="P174" i="66" a="1"/>
  <c r="P174" i="66" s="1"/>
  <c r="I174" i="66" a="1"/>
  <c r="I174" i="66" s="1"/>
  <c r="P166" i="66" a="1"/>
  <c r="P166" i="66" s="1"/>
  <c r="I166" i="66" a="1"/>
  <c r="I166" i="66" s="1"/>
  <c r="P153" i="66" a="1"/>
  <c r="P153" i="66" s="1"/>
  <c r="I153" i="66" a="1"/>
  <c r="I153" i="66" s="1"/>
  <c r="P142" i="66" a="1"/>
  <c r="P142" i="66" s="1"/>
  <c r="I142" i="66" a="1"/>
  <c r="I142" i="66" s="1"/>
  <c r="F142" i="66" a="1"/>
  <c r="F142" i="66" s="1"/>
  <c r="F141" i="66"/>
  <c r="F141" i="66" a="1"/>
  <c r="P140" i="66" a="1"/>
  <c r="P140" i="66" s="1"/>
  <c r="Q140" i="66" s="1"/>
  <c r="I140" i="66" a="1"/>
  <c r="I140" i="66" s="1"/>
  <c r="J140" i="66" s="1"/>
  <c r="F140" i="66" a="1"/>
  <c r="F140" i="66" s="1"/>
  <c r="F139" i="66" a="1"/>
  <c r="F139" i="66" s="1"/>
  <c r="P138" i="66" a="1"/>
  <c r="P138" i="66" s="1"/>
  <c r="Q138" i="66" s="1"/>
  <c r="I138" i="66"/>
  <c r="J138" i="66" s="1"/>
  <c r="I138" i="66" a="1"/>
  <c r="F138" i="66"/>
  <c r="F138" i="66" a="1"/>
  <c r="P137" i="66" a="1"/>
  <c r="P137" i="66" s="1"/>
  <c r="Q137" i="66" s="1"/>
  <c r="I137" i="66" a="1"/>
  <c r="I137" i="66" s="1"/>
  <c r="J137" i="66" s="1"/>
  <c r="F137" i="66"/>
  <c r="F137" i="66" a="1"/>
  <c r="P136" i="66" a="1"/>
  <c r="P136" i="66" s="1"/>
  <c r="Q136" i="66" s="1"/>
  <c r="I136" i="66" a="1"/>
  <c r="I136" i="66" s="1"/>
  <c r="J136" i="66" s="1"/>
  <c r="F136" i="66"/>
  <c r="F136" i="66" a="1"/>
  <c r="P135" i="66" a="1"/>
  <c r="P135" i="66" s="1"/>
  <c r="I135" i="66" a="1"/>
  <c r="I135" i="66" s="1"/>
  <c r="F135" i="66" a="1"/>
  <c r="F135" i="66" s="1"/>
  <c r="F130" i="66" a="1"/>
  <c r="F130" i="66" s="1"/>
  <c r="P129" i="66" a="1"/>
  <c r="P129" i="66" s="1"/>
  <c r="Q129" i="66" s="1"/>
  <c r="I129" i="66" a="1"/>
  <c r="I129" i="66" s="1"/>
  <c r="J129" i="66" s="1"/>
  <c r="F129" i="66"/>
  <c r="F129" i="66" a="1"/>
  <c r="F128" i="66" a="1"/>
  <c r="F128" i="66" s="1"/>
  <c r="P127" i="66" a="1"/>
  <c r="P127" i="66" s="1"/>
  <c r="I127" i="66" a="1"/>
  <c r="I127" i="66" s="1"/>
  <c r="F127" i="66" a="1"/>
  <c r="F127" i="66" s="1"/>
  <c r="I126" i="66" a="1"/>
  <c r="I126" i="66" s="1"/>
  <c r="J126" i="66" s="1"/>
  <c r="G126" i="66"/>
  <c r="P126" i="66" s="1" a="1"/>
  <c r="P126" i="66" s="1"/>
  <c r="Q126" i="66" s="1"/>
  <c r="F126" i="66"/>
  <c r="F126" i="66" a="1"/>
  <c r="P125" i="66" a="1"/>
  <c r="P125" i="66" s="1"/>
  <c r="Q125" i="66" s="1"/>
  <c r="I125" i="66" a="1"/>
  <c r="I125" i="66" s="1"/>
  <c r="J125" i="66" s="1"/>
  <c r="F125" i="66"/>
  <c r="F125" i="66" a="1"/>
  <c r="P124" i="66" a="1"/>
  <c r="P124" i="66" s="1"/>
  <c r="Q124" i="66" s="1"/>
  <c r="I124" i="66" a="1"/>
  <c r="I124" i="66" s="1"/>
  <c r="J124" i="66" s="1"/>
  <c r="F124" i="66"/>
  <c r="F124" i="66" a="1"/>
  <c r="P123" i="66" a="1"/>
  <c r="P123" i="66" s="1"/>
  <c r="I123" i="66" a="1"/>
  <c r="I123" i="66" s="1"/>
  <c r="F123" i="66" a="1"/>
  <c r="F123" i="66" s="1"/>
  <c r="P122" i="66" a="1"/>
  <c r="P122" i="66" s="1"/>
  <c r="I122" i="66" a="1"/>
  <c r="I122" i="66" s="1"/>
  <c r="F122" i="66" a="1"/>
  <c r="F122" i="66" s="1"/>
  <c r="P121" i="66" a="1"/>
  <c r="P121" i="66" s="1"/>
  <c r="Q121" i="66" s="1"/>
  <c r="I121" i="66" a="1"/>
  <c r="I121" i="66" s="1"/>
  <c r="J121" i="66" s="1"/>
  <c r="F121" i="66" a="1"/>
  <c r="F121" i="66" s="1"/>
  <c r="F120" i="66"/>
  <c r="F120" i="66" a="1"/>
  <c r="P119" i="66" a="1"/>
  <c r="P119" i="66" s="1"/>
  <c r="Q119" i="66" s="1"/>
  <c r="I119" i="66" a="1"/>
  <c r="I119" i="66" s="1"/>
  <c r="J119" i="66" s="1"/>
  <c r="F119" i="66"/>
  <c r="F119" i="66" a="1"/>
  <c r="P118" i="66" a="1"/>
  <c r="P118" i="66" s="1"/>
  <c r="G118" i="66"/>
  <c r="I118" i="66" s="1" a="1"/>
  <c r="I118" i="66" s="1"/>
  <c r="J118" i="66" s="1"/>
  <c r="F118" i="66" a="1"/>
  <c r="F118" i="66" s="1"/>
  <c r="P117" i="66"/>
  <c r="Q117" i="66" s="1"/>
  <c r="P117" i="66" a="1"/>
  <c r="I117" i="66"/>
  <c r="J117" i="66" s="1"/>
  <c r="I117" i="66" a="1"/>
  <c r="F117" i="66" a="1"/>
  <c r="F117" i="66" s="1"/>
  <c r="P116" i="66"/>
  <c r="P116" i="66" a="1"/>
  <c r="I116" i="66"/>
  <c r="J116" i="66" s="1"/>
  <c r="I116" i="66" a="1"/>
  <c r="F116" i="66" a="1"/>
  <c r="F116" i="66" s="1"/>
  <c r="P115" i="66" a="1"/>
  <c r="P115" i="66" s="1"/>
  <c r="Q115" i="66" s="1"/>
  <c r="I115" i="66"/>
  <c r="J115" i="66" s="1"/>
  <c r="I115" i="66" a="1"/>
  <c r="F115" i="66"/>
  <c r="F115" i="66" a="1"/>
  <c r="P114" i="66" a="1"/>
  <c r="P114" i="66" s="1"/>
  <c r="I114" i="66" a="1"/>
  <c r="I114" i="66" s="1"/>
  <c r="F114" i="66"/>
  <c r="F114" i="66" a="1"/>
  <c r="P113" i="66" a="1"/>
  <c r="P113" i="66" s="1"/>
  <c r="I113" i="66" a="1"/>
  <c r="I113" i="66" s="1"/>
  <c r="F113" i="66" a="1"/>
  <c r="F113" i="66" s="1"/>
  <c r="P108" i="66" a="1"/>
  <c r="P108" i="66" s="1"/>
  <c r="I108" i="66" a="1"/>
  <c r="I108" i="66" s="1"/>
  <c r="J108" i="66" s="1"/>
  <c r="F108" i="66" a="1"/>
  <c r="F108" i="66" s="1"/>
  <c r="F107" i="66" a="1"/>
  <c r="F107" i="66" s="1"/>
  <c r="P106" i="66" a="1"/>
  <c r="P106" i="66" s="1"/>
  <c r="Q106" i="66" s="1"/>
  <c r="I106" i="66"/>
  <c r="J106" i="66" s="1"/>
  <c r="I106" i="66" a="1"/>
  <c r="F106" i="66"/>
  <c r="F106" i="66" a="1"/>
  <c r="P105" i="66" a="1"/>
  <c r="P105" i="66" s="1"/>
  <c r="Q105" i="66" s="1"/>
  <c r="I105" i="66" a="1"/>
  <c r="I105" i="66" s="1"/>
  <c r="J105" i="66" s="1"/>
  <c r="F105" i="66"/>
  <c r="F105" i="66" a="1"/>
  <c r="P104" i="66" a="1"/>
  <c r="P104" i="66" s="1"/>
  <c r="I104" i="66" a="1"/>
  <c r="I104" i="66" s="1"/>
  <c r="F104" i="66" a="1"/>
  <c r="F104" i="66" s="1"/>
  <c r="P103" i="66" a="1"/>
  <c r="P103" i="66" s="1"/>
  <c r="Q103" i="66" s="1"/>
  <c r="I103" i="66" a="1"/>
  <c r="I103" i="66" s="1"/>
  <c r="F103" i="66" a="1"/>
  <c r="F103" i="66" s="1"/>
  <c r="P102" i="66" a="1"/>
  <c r="P102" i="66" s="1"/>
  <c r="Q102" i="66" s="1"/>
  <c r="I102" i="66" a="1"/>
  <c r="I102" i="66" s="1"/>
  <c r="J102" i="66" s="1"/>
  <c r="F102" i="66" a="1"/>
  <c r="F102" i="66" s="1"/>
  <c r="P101" i="66"/>
  <c r="P107" i="66" s="1" a="1"/>
  <c r="P107" i="66" s="1"/>
  <c r="Q107" i="66" s="1"/>
  <c r="P101" i="66" a="1"/>
  <c r="I101" i="66" a="1"/>
  <c r="I101" i="66" s="1"/>
  <c r="F101" i="66" a="1"/>
  <c r="F101" i="66" s="1"/>
  <c r="I96" i="66" a="1"/>
  <c r="I96" i="66" s="1"/>
  <c r="J96" i="66" s="1"/>
  <c r="F96" i="66" a="1"/>
  <c r="F96" i="66" s="1"/>
  <c r="F95" i="66"/>
  <c r="F95" i="66" a="1"/>
  <c r="P94" i="66" a="1"/>
  <c r="P94" i="66" s="1"/>
  <c r="Q94" i="66" s="1"/>
  <c r="I94" i="66" a="1"/>
  <c r="I94" i="66" s="1"/>
  <c r="F94" i="66" a="1"/>
  <c r="F94" i="66" s="1"/>
  <c r="F93" i="66" a="1"/>
  <c r="F93" i="66" s="1"/>
  <c r="P92" i="66" a="1"/>
  <c r="P92" i="66" s="1"/>
  <c r="Q92" i="66" s="1"/>
  <c r="I92" i="66"/>
  <c r="J92" i="66" s="1"/>
  <c r="I92" i="66" a="1"/>
  <c r="F92" i="66"/>
  <c r="F92" i="66" a="1"/>
  <c r="P91" i="66" a="1"/>
  <c r="P91" i="66" s="1"/>
  <c r="Q91" i="66" s="1"/>
  <c r="I91" i="66" a="1"/>
  <c r="I91" i="66" s="1"/>
  <c r="J91" i="66" s="1"/>
  <c r="F91" i="66"/>
  <c r="F91" i="66" a="1"/>
  <c r="P90" i="66" a="1"/>
  <c r="P90" i="66" s="1"/>
  <c r="Q90" i="66" s="1"/>
  <c r="I90" i="66" a="1"/>
  <c r="I90" i="66" s="1"/>
  <c r="J90" i="66" s="1"/>
  <c r="F90" i="66"/>
  <c r="F90" i="66" a="1"/>
  <c r="P89" i="66" a="1"/>
  <c r="P89" i="66" s="1"/>
  <c r="I89" i="66" a="1"/>
  <c r="I89" i="66" s="1"/>
  <c r="F89" i="66" a="1"/>
  <c r="F89" i="66" s="1"/>
  <c r="F84" i="66" a="1"/>
  <c r="F84" i="66" s="1"/>
  <c r="P83" i="66" a="1"/>
  <c r="P83" i="66" s="1"/>
  <c r="Q83" i="66" s="1"/>
  <c r="I83" i="66" a="1"/>
  <c r="I83" i="66" s="1"/>
  <c r="J83" i="66" s="1"/>
  <c r="F83" i="66"/>
  <c r="F83" i="66" a="1"/>
  <c r="F82" i="66" a="1"/>
  <c r="F82" i="66" s="1"/>
  <c r="P81" i="66" a="1"/>
  <c r="P81" i="66" s="1"/>
  <c r="Q81" i="66" s="1"/>
  <c r="I81" i="66" a="1"/>
  <c r="I81" i="66" s="1"/>
  <c r="J81" i="66" s="1"/>
  <c r="F81" i="66" a="1"/>
  <c r="F81" i="66" s="1"/>
  <c r="I80" i="66" a="1"/>
  <c r="I80" i="66" s="1"/>
  <c r="J80" i="66" s="1"/>
  <c r="G80" i="66"/>
  <c r="P80" i="66" s="1" a="1"/>
  <c r="P80" i="66" s="1"/>
  <c r="Q80" i="66" s="1"/>
  <c r="F80" i="66"/>
  <c r="F80" i="66" a="1"/>
  <c r="P79" i="66" a="1"/>
  <c r="P79" i="66" s="1"/>
  <c r="Q79" i="66" s="1"/>
  <c r="I79" i="66" a="1"/>
  <c r="I79" i="66" s="1"/>
  <c r="J79" i="66" s="1"/>
  <c r="F79" i="66"/>
  <c r="F79" i="66" a="1"/>
  <c r="P78" i="66" a="1"/>
  <c r="P78" i="66" s="1"/>
  <c r="Q78" i="66" s="1"/>
  <c r="I78" i="66" a="1"/>
  <c r="I78" i="66" s="1"/>
  <c r="J78" i="66" s="1"/>
  <c r="F78" i="66"/>
  <c r="F78" i="66" a="1"/>
  <c r="P77" i="66" a="1"/>
  <c r="P77" i="66" s="1"/>
  <c r="Q77" i="66" s="1"/>
  <c r="I77" i="66" a="1"/>
  <c r="I77" i="66" s="1"/>
  <c r="J77" i="66" s="1"/>
  <c r="F77" i="66" a="1"/>
  <c r="F77" i="66" s="1"/>
  <c r="P76" i="66" a="1"/>
  <c r="P76" i="66" s="1"/>
  <c r="I76" i="66" a="1"/>
  <c r="I76" i="66" s="1"/>
  <c r="F76" i="66" a="1"/>
  <c r="F76" i="66" s="1"/>
  <c r="P75" i="66" a="1"/>
  <c r="P75" i="66" s="1"/>
  <c r="I75" i="66" a="1"/>
  <c r="I75" i="66" s="1"/>
  <c r="F75" i="66" a="1"/>
  <c r="F75" i="66" s="1"/>
  <c r="F74" i="66"/>
  <c r="F74" i="66" a="1"/>
  <c r="P73" i="66" a="1"/>
  <c r="P73" i="66" s="1"/>
  <c r="Q73" i="66" s="1"/>
  <c r="I73" i="66" a="1"/>
  <c r="I73" i="66" s="1"/>
  <c r="J73" i="66" s="1"/>
  <c r="F73" i="66"/>
  <c r="F73" i="66" a="1"/>
  <c r="G72" i="66"/>
  <c r="P72" i="66" s="1" a="1"/>
  <c r="P72" i="66" s="1"/>
  <c r="Q72" i="66" s="1"/>
  <c r="F72" i="66" a="1"/>
  <c r="F72" i="66" s="1"/>
  <c r="P71" i="66"/>
  <c r="P71" i="66" a="1"/>
  <c r="I71" i="66"/>
  <c r="I71" i="66" a="1"/>
  <c r="F71" i="66" a="1"/>
  <c r="F71" i="66" s="1"/>
  <c r="P70" i="66"/>
  <c r="Q70" i="66" s="1"/>
  <c r="P70" i="66" a="1"/>
  <c r="I70" i="66"/>
  <c r="J70" i="66" s="1"/>
  <c r="I70" i="66" a="1"/>
  <c r="F70" i="66" a="1"/>
  <c r="F70" i="66" s="1"/>
  <c r="P69" i="66" a="1"/>
  <c r="P69" i="66" s="1"/>
  <c r="Q69" i="66" s="1"/>
  <c r="I69" i="66"/>
  <c r="J69" i="66" s="1"/>
  <c r="I69" i="66" a="1"/>
  <c r="F69" i="66"/>
  <c r="F69" i="66" a="1"/>
  <c r="P68" i="66" a="1"/>
  <c r="P68" i="66" s="1"/>
  <c r="I68" i="66" a="1"/>
  <c r="I68" i="66" s="1"/>
  <c r="F68" i="66"/>
  <c r="F68" i="66" a="1"/>
  <c r="P67" i="66" a="1"/>
  <c r="P67" i="66" s="1"/>
  <c r="I67" i="66" a="1"/>
  <c r="I67" i="66" s="1"/>
  <c r="F67" i="66" a="1"/>
  <c r="F67" i="66" s="1"/>
  <c r="P62" i="66" a="1"/>
  <c r="P62" i="66" s="1"/>
  <c r="Q62" i="66" s="1"/>
  <c r="I62" i="66" a="1"/>
  <c r="I62" i="66" s="1"/>
  <c r="F62" i="66" a="1"/>
  <c r="F62" i="66" s="1"/>
  <c r="F61" i="66" a="1"/>
  <c r="F61" i="66" s="1"/>
  <c r="P60" i="66" a="1"/>
  <c r="P60" i="66" s="1"/>
  <c r="Q60" i="66" s="1"/>
  <c r="I60" i="66"/>
  <c r="J60" i="66" s="1"/>
  <c r="I60" i="66" a="1"/>
  <c r="F60" i="66"/>
  <c r="F60" i="66" a="1"/>
  <c r="P59" i="66" a="1"/>
  <c r="P59" i="66" s="1"/>
  <c r="Q59" i="66" s="1"/>
  <c r="I59" i="66" a="1"/>
  <c r="I59" i="66" s="1"/>
  <c r="J59" i="66" s="1"/>
  <c r="F59" i="66"/>
  <c r="F59" i="66" a="1"/>
  <c r="P58" i="66" a="1"/>
  <c r="P58" i="66" s="1"/>
  <c r="Q58" i="66" s="1"/>
  <c r="I58" i="66" a="1"/>
  <c r="I58" i="66" s="1"/>
  <c r="J58" i="66" s="1"/>
  <c r="F58" i="66"/>
  <c r="F58" i="66" a="1"/>
  <c r="P57" i="66" a="1"/>
  <c r="P57" i="66" s="1"/>
  <c r="F57" i="66" a="1"/>
  <c r="F57" i="66" s="1"/>
  <c r="P56" i="66" a="1"/>
  <c r="P56" i="66" s="1"/>
  <c r="I56" i="66" a="1"/>
  <c r="I56" i="66" s="1"/>
  <c r="F56" i="66" a="1"/>
  <c r="F56" i="66" s="1"/>
  <c r="P55" i="66"/>
  <c r="P55" i="66" a="1"/>
  <c r="I55" i="66" a="1"/>
  <c r="I55" i="66" s="1"/>
  <c r="F55" i="66" a="1"/>
  <c r="F55" i="66" s="1"/>
  <c r="P49" i="66" a="1"/>
  <c r="P49" i="66" s="1"/>
  <c r="I49" i="66" a="1"/>
  <c r="I49" i="66" s="1"/>
  <c r="P36" i="66" a="1"/>
  <c r="P36" i="66" s="1"/>
  <c r="I36" i="66" a="1"/>
  <c r="I36" i="66" s="1"/>
  <c r="P28" i="66" a="1"/>
  <c r="P28" i="66" s="1"/>
  <c r="I28" i="66" a="1"/>
  <c r="I28" i="66" s="1"/>
  <c r="I15" i="66" a="1"/>
  <c r="I15" i="66" s="1"/>
  <c r="R97" i="68" l="1"/>
  <c r="R99" i="68"/>
  <c r="M101" i="68"/>
  <c r="M63" i="68"/>
  <c r="R59" i="68"/>
  <c r="J90" i="68"/>
  <c r="K88" i="68" s="1"/>
  <c r="R104" i="68"/>
  <c r="R115" i="68"/>
  <c r="R60" i="68"/>
  <c r="R98" i="68"/>
  <c r="P130" i="66"/>
  <c r="M121" i="66"/>
  <c r="R105" i="68"/>
  <c r="R61" i="68"/>
  <c r="R103" i="68"/>
  <c r="M107" i="68"/>
  <c r="R114" i="68"/>
  <c r="R116" i="68"/>
  <c r="K117" i="68"/>
  <c r="K106" i="68"/>
  <c r="M88" i="68"/>
  <c r="K96" i="68"/>
  <c r="M96" i="68"/>
  <c r="P106" i="68" a="1"/>
  <c r="P106" i="68" s="1"/>
  <c r="Q106" i="68" s="1"/>
  <c r="R106" i="68" s="1"/>
  <c r="Q102" i="68"/>
  <c r="R102" i="68" s="1"/>
  <c r="K105" i="68"/>
  <c r="Q113" i="68"/>
  <c r="R113" i="68" s="1"/>
  <c r="P117" i="68" a="1"/>
  <c r="P117" i="68" s="1"/>
  <c r="Q117" i="68" s="1"/>
  <c r="R117" i="68" s="1"/>
  <c r="M87" i="68"/>
  <c r="Q90" i="68"/>
  <c r="P95" i="68"/>
  <c r="I89" i="68" a="1"/>
  <c r="I89" i="68" s="1"/>
  <c r="J89" i="68" s="1"/>
  <c r="J85" i="68"/>
  <c r="Q96" i="68"/>
  <c r="R96" i="68" s="1"/>
  <c r="P100" i="68" a="1"/>
  <c r="P100" i="68" s="1"/>
  <c r="Q100" i="68" s="1"/>
  <c r="R100" i="68" s="1"/>
  <c r="M99" i="68"/>
  <c r="K99" i="68"/>
  <c r="K103" i="68"/>
  <c r="M103" i="68"/>
  <c r="M114" i="68"/>
  <c r="K114" i="68"/>
  <c r="K116" i="68"/>
  <c r="M116" i="68"/>
  <c r="M97" i="68"/>
  <c r="K97" i="68"/>
  <c r="M86" i="68"/>
  <c r="I108" i="68"/>
  <c r="J95" i="68"/>
  <c r="M104" i="68"/>
  <c r="K104" i="68"/>
  <c r="M118" i="68"/>
  <c r="J119" i="68"/>
  <c r="J120" i="68" s="1"/>
  <c r="Q86" i="68"/>
  <c r="P89" i="68" a="1"/>
  <c r="P89" i="68" s="1"/>
  <c r="Q89" i="68" s="1"/>
  <c r="M98" i="68"/>
  <c r="K98" i="68"/>
  <c r="Q119" i="68"/>
  <c r="Q120" i="68" s="1"/>
  <c r="M105" i="68"/>
  <c r="I100" i="68" a="1"/>
  <c r="I100" i="68" s="1"/>
  <c r="J100" i="68" s="1"/>
  <c r="J113" i="68"/>
  <c r="J102" i="68"/>
  <c r="K115" i="68"/>
  <c r="P57" i="68"/>
  <c r="Q52" i="68"/>
  <c r="R48" i="68" s="1"/>
  <c r="M80" i="68"/>
  <c r="J81" i="68"/>
  <c r="J82" i="68" s="1"/>
  <c r="I68" i="68" a="1"/>
  <c r="I68" i="68" s="1"/>
  <c r="J68" i="68" s="1"/>
  <c r="J64" i="68"/>
  <c r="M66" i="68"/>
  <c r="K66" i="68"/>
  <c r="Q81" i="68"/>
  <c r="Q82" i="68" s="1"/>
  <c r="R76" i="68"/>
  <c r="M49" i="68"/>
  <c r="M58" i="68"/>
  <c r="K58" i="68"/>
  <c r="M61" i="68"/>
  <c r="K61" i="68"/>
  <c r="R66" i="68"/>
  <c r="K75" i="68"/>
  <c r="P62" i="68" a="1"/>
  <c r="P62" i="68" s="1"/>
  <c r="Q62" i="68" s="1"/>
  <c r="R62" i="68" s="1"/>
  <c r="Q58" i="68"/>
  <c r="R58" i="68" s="1"/>
  <c r="K67" i="68"/>
  <c r="M67" i="68"/>
  <c r="Q75" i="68"/>
  <c r="R75" i="68" s="1"/>
  <c r="P79" i="68" a="1"/>
  <c r="P79" i="68" s="1"/>
  <c r="Q79" i="68" s="1"/>
  <c r="R79" i="68" s="1"/>
  <c r="R77" i="68"/>
  <c r="M65" i="68"/>
  <c r="K65" i="68"/>
  <c r="Q47" i="68"/>
  <c r="P51" i="68" a="1"/>
  <c r="P51" i="68" s="1"/>
  <c r="Q51" i="68" s="1"/>
  <c r="K60" i="68"/>
  <c r="M60" i="68"/>
  <c r="M77" i="68"/>
  <c r="K77" i="68"/>
  <c r="M50" i="68"/>
  <c r="I62" i="68" a="1"/>
  <c r="I62" i="68" s="1"/>
  <c r="J62" i="68" s="1"/>
  <c r="J59" i="68"/>
  <c r="R64" i="68"/>
  <c r="R67" i="68"/>
  <c r="M76" i="68"/>
  <c r="K76" i="68"/>
  <c r="M78" i="68"/>
  <c r="K78" i="68"/>
  <c r="M48" i="68"/>
  <c r="J52" i="68"/>
  <c r="K51" i="68" s="1"/>
  <c r="I57" i="68"/>
  <c r="R65" i="68"/>
  <c r="M69" i="68"/>
  <c r="R78" i="68"/>
  <c r="P68" i="68" a="1"/>
  <c r="P68" i="68" s="1"/>
  <c r="Q68" i="68" s="1"/>
  <c r="R68" i="68" s="1"/>
  <c r="J47" i="68"/>
  <c r="I79" i="68" a="1"/>
  <c r="I79" i="68" s="1"/>
  <c r="J79" i="68" s="1"/>
  <c r="R78" i="66"/>
  <c r="R81" i="66"/>
  <c r="R115" i="66"/>
  <c r="R77" i="66"/>
  <c r="R79" i="66"/>
  <c r="R119" i="66"/>
  <c r="R117" i="66"/>
  <c r="M83" i="66"/>
  <c r="Q61" i="66"/>
  <c r="J109" i="66"/>
  <c r="K105" i="66" s="1"/>
  <c r="I120" i="66" a="1"/>
  <c r="I120" i="66" s="1"/>
  <c r="J120" i="66" s="1"/>
  <c r="J114" i="66"/>
  <c r="P128" i="66" a="1"/>
  <c r="P128" i="66" s="1"/>
  <c r="Q128" i="66" s="1"/>
  <c r="R128" i="66" s="1"/>
  <c r="Q122" i="66"/>
  <c r="R122" i="66" s="1"/>
  <c r="K116" i="66"/>
  <c r="M102" i="66"/>
  <c r="K102" i="66"/>
  <c r="Q135" i="66"/>
  <c r="M140" i="66"/>
  <c r="M138" i="66"/>
  <c r="Q108" i="66"/>
  <c r="Q114" i="66"/>
  <c r="R114" i="66" s="1"/>
  <c r="P120" i="66" a="1"/>
  <c r="P120" i="66" s="1"/>
  <c r="Q120" i="66" s="1"/>
  <c r="R120" i="66" s="1"/>
  <c r="J127" i="66"/>
  <c r="M115" i="66"/>
  <c r="K115" i="66"/>
  <c r="M129" i="66"/>
  <c r="I107" i="66" a="1"/>
  <c r="I107" i="66" s="1"/>
  <c r="J107" i="66" s="1"/>
  <c r="J101" i="66"/>
  <c r="M105" i="66"/>
  <c r="K117" i="66"/>
  <c r="M117" i="66"/>
  <c r="K119" i="66"/>
  <c r="M119" i="66"/>
  <c r="M124" i="66"/>
  <c r="K124" i="66"/>
  <c r="J103" i="66"/>
  <c r="I128" i="66" a="1"/>
  <c r="I128" i="66" s="1"/>
  <c r="J128" i="66" s="1"/>
  <c r="J122" i="66"/>
  <c r="R124" i="66"/>
  <c r="M126" i="66"/>
  <c r="M136" i="66"/>
  <c r="J123" i="66"/>
  <c r="K125" i="66"/>
  <c r="M125" i="66"/>
  <c r="Q127" i="66"/>
  <c r="R127" i="66" s="1"/>
  <c r="J142" i="66"/>
  <c r="K136" i="66" s="1"/>
  <c r="J104" i="66"/>
  <c r="Q104" i="66"/>
  <c r="M106" i="66"/>
  <c r="K106" i="66"/>
  <c r="J113" i="66"/>
  <c r="I130" i="66"/>
  <c r="Q116" i="66"/>
  <c r="R116" i="66" s="1"/>
  <c r="Q118" i="66"/>
  <c r="R118" i="66" s="1"/>
  <c r="Q123" i="66"/>
  <c r="R123" i="66" s="1"/>
  <c r="R125" i="66"/>
  <c r="J135" i="66"/>
  <c r="M137" i="66"/>
  <c r="Q142" i="66"/>
  <c r="R138" i="66" s="1"/>
  <c r="Q113" i="66"/>
  <c r="Q130" i="66" s="1"/>
  <c r="R126" i="66" s="1"/>
  <c r="G139" i="66"/>
  <c r="Q101" i="66"/>
  <c r="J89" i="66"/>
  <c r="K91" i="66"/>
  <c r="M91" i="66"/>
  <c r="J56" i="66"/>
  <c r="R58" i="66"/>
  <c r="M60" i="66"/>
  <c r="J67" i="66"/>
  <c r="I84" i="66"/>
  <c r="J75" i="66"/>
  <c r="K69" i="66" s="1"/>
  <c r="Q89" i="66"/>
  <c r="J94" i="66"/>
  <c r="M70" i="66"/>
  <c r="M77" i="66"/>
  <c r="K77" i="66"/>
  <c r="K79" i="66"/>
  <c r="M79" i="66"/>
  <c r="Q56" i="66"/>
  <c r="R56" i="66" s="1"/>
  <c r="Q75" i="66"/>
  <c r="R73" i="66" s="1"/>
  <c r="M69" i="66"/>
  <c r="M73" i="66"/>
  <c r="M78" i="66"/>
  <c r="K78" i="66"/>
  <c r="M80" i="66"/>
  <c r="M90" i="66"/>
  <c r="K90" i="66"/>
  <c r="M59" i="66"/>
  <c r="J71" i="66"/>
  <c r="I82" i="66" a="1"/>
  <c r="I82" i="66" s="1"/>
  <c r="J82" i="66" s="1"/>
  <c r="J76" i="66"/>
  <c r="J61" i="66"/>
  <c r="J55" i="66"/>
  <c r="Q57" i="66"/>
  <c r="R57" i="66" s="1"/>
  <c r="R59" i="66"/>
  <c r="P82" i="66" a="1"/>
  <c r="P82" i="66" s="1"/>
  <c r="Q82" i="66" s="1"/>
  <c r="R82" i="66" s="1"/>
  <c r="Q76" i="66"/>
  <c r="R76" i="66" s="1"/>
  <c r="M92" i="66"/>
  <c r="K92" i="66"/>
  <c r="Q63" i="66"/>
  <c r="Q64" i="66" s="1"/>
  <c r="P74" i="66" a="1"/>
  <c r="P74" i="66" s="1"/>
  <c r="Q74" i="66" s="1"/>
  <c r="Q68" i="66"/>
  <c r="M58" i="66"/>
  <c r="R60" i="66"/>
  <c r="P84" i="66"/>
  <c r="J57" i="66"/>
  <c r="J62" i="66"/>
  <c r="K58" i="66" s="1"/>
  <c r="I74" i="66" a="1"/>
  <c r="I74" i="66" s="1"/>
  <c r="J74" i="66" s="1"/>
  <c r="J68" i="66"/>
  <c r="Q71" i="66"/>
  <c r="M81" i="66"/>
  <c r="K81" i="66"/>
  <c r="J97" i="66"/>
  <c r="J98" i="66" s="1"/>
  <c r="I72" i="66" a="1"/>
  <c r="I72" i="66" s="1"/>
  <c r="J72" i="66" s="1"/>
  <c r="Q67" i="66"/>
  <c r="G93" i="66"/>
  <c r="Q55" i="66"/>
  <c r="R55" i="66" s="1"/>
  <c r="J30" i="58"/>
  <c r="J54" i="58"/>
  <c r="J182" i="58"/>
  <c r="J181" i="58"/>
  <c r="J180" i="58"/>
  <c r="K87" i="68" l="1"/>
  <c r="K86" i="68"/>
  <c r="J91" i="68"/>
  <c r="J92" i="68" s="1"/>
  <c r="M90" i="68"/>
  <c r="K73" i="66"/>
  <c r="R68" i="66"/>
  <c r="R50" i="68"/>
  <c r="Q84" i="66"/>
  <c r="R80" i="66" s="1"/>
  <c r="R74" i="66"/>
  <c r="R51" i="68"/>
  <c r="R69" i="66"/>
  <c r="R70" i="66"/>
  <c r="K48" i="68"/>
  <c r="K49" i="68"/>
  <c r="R89" i="68"/>
  <c r="M120" i="68"/>
  <c r="J108" i="68"/>
  <c r="M113" i="68"/>
  <c r="K113" i="68"/>
  <c r="Q95" i="68"/>
  <c r="Q108" i="68" s="1"/>
  <c r="P108" i="68"/>
  <c r="Q91" i="68"/>
  <c r="Q92" i="68" s="1"/>
  <c r="M102" i="68"/>
  <c r="K102" i="68"/>
  <c r="R88" i="68"/>
  <c r="M100" i="68"/>
  <c r="K100" i="68"/>
  <c r="R86" i="68"/>
  <c r="M85" i="68"/>
  <c r="K85" i="68"/>
  <c r="M89" i="68"/>
  <c r="K89" i="68"/>
  <c r="M106" i="68"/>
  <c r="R85" i="68"/>
  <c r="R87" i="68"/>
  <c r="M117" i="68"/>
  <c r="M68" i="68"/>
  <c r="K68" i="68"/>
  <c r="M64" i="68"/>
  <c r="K64" i="68"/>
  <c r="I70" i="68"/>
  <c r="J57" i="68"/>
  <c r="M51" i="68"/>
  <c r="R49" i="68"/>
  <c r="M52" i="68"/>
  <c r="J53" i="68"/>
  <c r="J54" i="68" s="1"/>
  <c r="M75" i="68"/>
  <c r="K50" i="68"/>
  <c r="R47" i="68"/>
  <c r="M62" i="68"/>
  <c r="K62" i="68"/>
  <c r="M79" i="68"/>
  <c r="K79" i="68"/>
  <c r="M59" i="68"/>
  <c r="K59" i="68"/>
  <c r="M47" i="68"/>
  <c r="K47" i="68"/>
  <c r="M82" i="68"/>
  <c r="Q53" i="68"/>
  <c r="Q54" i="68" s="1"/>
  <c r="P70" i="68"/>
  <c r="Q57" i="68"/>
  <c r="Q70" i="68" s="1"/>
  <c r="J110" i="66"/>
  <c r="K137" i="66"/>
  <c r="R71" i="66"/>
  <c r="M75" i="66"/>
  <c r="R61" i="66"/>
  <c r="M107" i="66"/>
  <c r="K107" i="66"/>
  <c r="M113" i="66"/>
  <c r="J130" i="66"/>
  <c r="Q109" i="66"/>
  <c r="Q110" i="66" s="1"/>
  <c r="M123" i="66"/>
  <c r="K123" i="66"/>
  <c r="M122" i="66"/>
  <c r="K122" i="66"/>
  <c r="R140" i="66"/>
  <c r="K138" i="66"/>
  <c r="K114" i="66"/>
  <c r="M114" i="66"/>
  <c r="M120" i="66"/>
  <c r="K120" i="66"/>
  <c r="M128" i="66"/>
  <c r="K128" i="66"/>
  <c r="P139" i="66" a="1"/>
  <c r="P139" i="66" s="1"/>
  <c r="I139" i="66" a="1"/>
  <c r="I139" i="66" s="1"/>
  <c r="M104" i="66"/>
  <c r="K104" i="66"/>
  <c r="M118" i="66"/>
  <c r="R105" i="66"/>
  <c r="K140" i="66"/>
  <c r="R101" i="66"/>
  <c r="R104" i="66"/>
  <c r="K118" i="66"/>
  <c r="Q131" i="66"/>
  <c r="Q132" i="66" s="1"/>
  <c r="R107" i="66"/>
  <c r="M103" i="66"/>
  <c r="K103" i="66"/>
  <c r="R102" i="66"/>
  <c r="M108" i="66"/>
  <c r="M135" i="66"/>
  <c r="K135" i="66"/>
  <c r="R106" i="66"/>
  <c r="Q143" i="66"/>
  <c r="Q144" i="66" s="1"/>
  <c r="M142" i="66"/>
  <c r="J143" i="66"/>
  <c r="J144" i="66" s="1"/>
  <c r="M101" i="66"/>
  <c r="K101" i="66"/>
  <c r="M127" i="66"/>
  <c r="K127" i="66"/>
  <c r="R137" i="66"/>
  <c r="M116" i="66"/>
  <c r="R135" i="66"/>
  <c r="R136" i="66"/>
  <c r="R103" i="66"/>
  <c r="M57" i="66"/>
  <c r="K57" i="66"/>
  <c r="M56" i="66"/>
  <c r="K56" i="66"/>
  <c r="M61" i="66"/>
  <c r="K61" i="66"/>
  <c r="M74" i="66"/>
  <c r="K74" i="66"/>
  <c r="K71" i="66"/>
  <c r="M71" i="66"/>
  <c r="M67" i="66"/>
  <c r="J84" i="66"/>
  <c r="J63" i="66"/>
  <c r="K59" i="66" s="1"/>
  <c r="M62" i="66"/>
  <c r="M55" i="66"/>
  <c r="K55" i="66"/>
  <c r="I93" i="66" a="1"/>
  <c r="I93" i="66" s="1"/>
  <c r="P93" i="66" a="1"/>
  <c r="P93" i="66" s="1"/>
  <c r="M76" i="66"/>
  <c r="K76" i="66"/>
  <c r="M82" i="66"/>
  <c r="K82" i="66"/>
  <c r="K70" i="66"/>
  <c r="M89" i="66"/>
  <c r="K89" i="66"/>
  <c r="M72" i="66"/>
  <c r="K72" i="66"/>
  <c r="K68" i="66"/>
  <c r="M68" i="66"/>
  <c r="M94" i="66"/>
  <c r="K94" i="66"/>
  <c r="K60" i="66"/>
  <c r="R72" i="66"/>
  <c r="H40" i="78"/>
  <c r="H39" i="78"/>
  <c r="H38" i="78"/>
  <c r="H37" i="78"/>
  <c r="H36" i="78"/>
  <c r="H35" i="78"/>
  <c r="H34" i="78"/>
  <c r="H33" i="78"/>
  <c r="H32" i="78"/>
  <c r="H31" i="78"/>
  <c r="H30" i="78"/>
  <c r="H29" i="78"/>
  <c r="H28" i="78"/>
  <c r="H27" i="78"/>
  <c r="H26" i="78"/>
  <c r="H25" i="78"/>
  <c r="H24" i="78"/>
  <c r="H23" i="78"/>
  <c r="H22" i="78"/>
  <c r="B26" i="44"/>
  <c r="C13" i="122"/>
  <c r="C15" i="122" s="1"/>
  <c r="B20" i="122"/>
  <c r="B19" i="122"/>
  <c r="B18" i="122"/>
  <c r="F15" i="122"/>
  <c r="E15" i="122"/>
  <c r="D15" i="122"/>
  <c r="M92" i="68" l="1"/>
  <c r="Q85" i="66"/>
  <c r="Q86" i="66" s="1"/>
  <c r="M144" i="66"/>
  <c r="M95" i="68"/>
  <c r="Q109" i="68"/>
  <c r="Q110" i="68" s="1"/>
  <c r="M108" i="68"/>
  <c r="J109" i="68"/>
  <c r="J110" i="68" s="1"/>
  <c r="M54" i="68"/>
  <c r="J70" i="68"/>
  <c r="M57" i="68"/>
  <c r="Q71" i="68"/>
  <c r="Q72" i="68" s="1"/>
  <c r="M110" i="66"/>
  <c r="Q139" i="66"/>
  <c r="R139" i="66" s="1"/>
  <c r="P141" i="66" a="1"/>
  <c r="P141" i="66" s="1"/>
  <c r="Q141" i="66" s="1"/>
  <c r="R141" i="66" s="1"/>
  <c r="J139" i="66"/>
  <c r="I141" i="66" a="1"/>
  <c r="I141" i="66" s="1"/>
  <c r="J141" i="66" s="1"/>
  <c r="J131" i="66"/>
  <c r="J132" i="66" s="1"/>
  <c r="M132" i="66" s="1"/>
  <c r="M130" i="66"/>
  <c r="K126" i="66"/>
  <c r="J85" i="66"/>
  <c r="J86" i="66" s="1"/>
  <c r="M84" i="66"/>
  <c r="K80" i="66"/>
  <c r="J64" i="66"/>
  <c r="M64" i="66" s="1"/>
  <c r="Q93" i="66"/>
  <c r="Q95" i="66"/>
  <c r="J93" i="66"/>
  <c r="I95" i="66" a="1"/>
  <c r="I95" i="66" s="1"/>
  <c r="J95" i="66" s="1"/>
  <c r="C14" i="122"/>
  <c r="M86" i="66" l="1"/>
  <c r="M110" i="68"/>
  <c r="M70" i="68"/>
  <c r="J71" i="68"/>
  <c r="J72" i="68" s="1"/>
  <c r="M72" i="68" s="1"/>
  <c r="M141" i="66"/>
  <c r="K141" i="66"/>
  <c r="M139" i="66"/>
  <c r="K139" i="66"/>
  <c r="M95" i="66"/>
  <c r="K95" i="66"/>
  <c r="M93" i="66"/>
  <c r="K93" i="66"/>
  <c r="C10" i="78"/>
  <c r="N39" i="78"/>
  <c r="N40" i="78" s="1"/>
  <c r="N35" i="78"/>
  <c r="N36" i="78" s="1"/>
  <c r="N37" i="78" s="1"/>
  <c r="N31" i="78"/>
  <c r="N32" i="78" s="1"/>
  <c r="N33" i="78" s="1"/>
  <c r="N27" i="78"/>
  <c r="N28" i="78" s="1"/>
  <c r="N29" i="78" s="1"/>
  <c r="N25" i="78"/>
  <c r="N24" i="78"/>
  <c r="L32" i="78"/>
  <c r="L28" i="78"/>
  <c r="N104" i="58" l="1"/>
  <c r="N83" i="58"/>
  <c r="N59" i="58"/>
  <c r="G59" i="58"/>
  <c r="G34" i="66"/>
  <c r="G47" i="66" s="1"/>
  <c r="G26" i="66"/>
  <c r="N34" i="58"/>
  <c r="N35" i="58"/>
  <c r="C35" i="58"/>
  <c r="N11" i="58"/>
  <c r="C83" i="58"/>
  <c r="C59" i="58"/>
  <c r="C11" i="58"/>
  <c r="C104" i="58"/>
  <c r="G83" i="58" l="1"/>
  <c r="G104" i="58" l="1"/>
  <c r="G151" i="66"/>
  <c r="G164" i="66"/>
  <c r="G172" i="66" s="1"/>
  <c r="G185" i="66" s="1"/>
  <c r="G197" i="66" s="1"/>
  <c r="G211" i="66" s="1"/>
  <c r="G225" i="66" s="1"/>
  <c r="D10" i="122"/>
  <c r="H8" i="122" l="1"/>
  <c r="D20" i="122" l="1"/>
  <c r="S9" i="57" l="1"/>
  <c r="G39" i="78" l="1"/>
  <c r="F10" i="122" l="1"/>
  <c r="H6" i="122"/>
  <c r="E10" i="122"/>
  <c r="G23" i="78"/>
  <c r="E20" i="122" l="1"/>
  <c r="F20" i="122"/>
  <c r="J100" i="58"/>
  <c r="J79" i="58"/>
  <c r="J55" i="58"/>
  <c r="J31" i="58"/>
  <c r="J7" i="58"/>
  <c r="L40" i="78"/>
  <c r="L37" i="78"/>
  <c r="L29" i="78"/>
  <c r="P96" i="66" s="1" a="1"/>
  <c r="P96" i="66" s="1"/>
  <c r="Q96" i="66" s="1"/>
  <c r="L25" i="78"/>
  <c r="L33" i="78"/>
  <c r="B74" i="120"/>
  <c r="B75" i="120" s="1"/>
  <c r="B76" i="120" s="1"/>
  <c r="A73" i="120"/>
  <c r="B67" i="120"/>
  <c r="B68" i="120" s="1"/>
  <c r="A66" i="120"/>
  <c r="B60" i="120"/>
  <c r="B61" i="120" s="1"/>
  <c r="B62" i="120" s="1"/>
  <c r="A59" i="120"/>
  <c r="B53" i="120"/>
  <c r="B54" i="120" s="1"/>
  <c r="B55" i="120" s="1"/>
  <c r="B56" i="120" s="1"/>
  <c r="A52" i="120"/>
  <c r="B46" i="120"/>
  <c r="A45" i="120"/>
  <c r="J44" i="120"/>
  <c r="D44" i="120"/>
  <c r="B74" i="119"/>
  <c r="B75" i="119" s="1"/>
  <c r="B76" i="119" s="1"/>
  <c r="A73" i="119"/>
  <c r="B67" i="119"/>
  <c r="B68" i="119" s="1"/>
  <c r="A66" i="119"/>
  <c r="B60" i="119"/>
  <c r="B61" i="119" s="1"/>
  <c r="A59" i="119"/>
  <c r="B53" i="119"/>
  <c r="B54" i="119" s="1"/>
  <c r="B55" i="119" s="1"/>
  <c r="B56" i="119" s="1"/>
  <c r="A52" i="119"/>
  <c r="B46" i="119"/>
  <c r="A45" i="119"/>
  <c r="J44" i="119"/>
  <c r="D44" i="119"/>
  <c r="D42" i="52"/>
  <c r="C42" i="52"/>
  <c r="B42" i="52"/>
  <c r="D57" i="52"/>
  <c r="C57" i="52"/>
  <c r="B57" i="52"/>
  <c r="D65" i="52"/>
  <c r="C65" i="52"/>
  <c r="B65" i="52"/>
  <c r="D73" i="52"/>
  <c r="C73" i="52"/>
  <c r="B73" i="52"/>
  <c r="D88" i="52"/>
  <c r="C88" i="52"/>
  <c r="B88" i="52"/>
  <c r="D96" i="52"/>
  <c r="C96" i="52"/>
  <c r="B96" i="52"/>
  <c r="D105" i="52"/>
  <c r="C105" i="52"/>
  <c r="B105" i="52"/>
  <c r="B11" i="52"/>
  <c r="D34" i="52"/>
  <c r="C34" i="52"/>
  <c r="B34" i="52"/>
  <c r="D26" i="52"/>
  <c r="C26" i="52"/>
  <c r="B26" i="52"/>
  <c r="C11" i="52"/>
  <c r="D11" i="52"/>
  <c r="R90" i="66" l="1"/>
  <c r="Q97" i="66"/>
  <c r="R94" i="66"/>
  <c r="R92" i="66"/>
  <c r="M96" i="66"/>
  <c r="R91" i="66"/>
  <c r="R89" i="66"/>
  <c r="R95" i="66"/>
  <c r="B69" i="120"/>
  <c r="B57" i="120"/>
  <c r="B58" i="120"/>
  <c r="B77" i="120"/>
  <c r="B47" i="120"/>
  <c r="B63" i="120"/>
  <c r="B62" i="119"/>
  <c r="B57" i="119"/>
  <c r="B58" i="119"/>
  <c r="B77" i="119"/>
  <c r="B69" i="119"/>
  <c r="B47" i="119"/>
  <c r="B74" i="83"/>
  <c r="B75" i="83" s="1"/>
  <c r="B76" i="83" s="1"/>
  <c r="B77" i="83" s="1"/>
  <c r="B67" i="83"/>
  <c r="B68" i="83" s="1"/>
  <c r="B69" i="83" s="1"/>
  <c r="B70" i="83" s="1"/>
  <c r="B60" i="83"/>
  <c r="B61" i="83" s="1"/>
  <c r="B62" i="83" s="1"/>
  <c r="B63" i="83" s="1"/>
  <c r="B53" i="83"/>
  <c r="B54" i="83" s="1"/>
  <c r="B55" i="83" s="1"/>
  <c r="B56" i="83" s="1"/>
  <c r="Q98" i="66" l="1"/>
  <c r="M98" i="66" s="1"/>
  <c r="R93" i="66"/>
  <c r="B48" i="120"/>
  <c r="B78" i="120"/>
  <c r="B79" i="120"/>
  <c r="B70" i="120"/>
  <c r="B64" i="120"/>
  <c r="B65" i="120"/>
  <c r="B78" i="119"/>
  <c r="B79" i="119"/>
  <c r="B63" i="119"/>
  <c r="B70" i="119"/>
  <c r="B48" i="119"/>
  <c r="B79" i="83"/>
  <c r="B78" i="83"/>
  <c r="B72" i="83"/>
  <c r="B71" i="83"/>
  <c r="B65" i="83"/>
  <c r="B64" i="83"/>
  <c r="B58" i="83"/>
  <c r="B57" i="83"/>
  <c r="B72" i="120" l="1"/>
  <c r="B71" i="120"/>
  <c r="B49" i="120"/>
  <c r="B49" i="119"/>
  <c r="B64" i="119"/>
  <c r="B65" i="119"/>
  <c r="B72" i="119"/>
  <c r="B71" i="119"/>
  <c r="B51" i="120" l="1"/>
  <c r="B50" i="120"/>
  <c r="B50" i="119"/>
  <c r="B51" i="119"/>
  <c r="F38" i="116" l="1"/>
  <c r="F32" i="116"/>
  <c r="AD29" i="116"/>
  <c r="AD25" i="116" s="1"/>
  <c r="AA29" i="116"/>
  <c r="AB25" i="116" s="1"/>
  <c r="U29" i="116"/>
  <c r="V25" i="116" s="1"/>
  <c r="R29" i="116"/>
  <c r="R25" i="116" s="1"/>
  <c r="L29" i="116"/>
  <c r="O25" i="116" s="1"/>
  <c r="I29" i="116"/>
  <c r="J25" i="116" s="1"/>
  <c r="AG24" i="116"/>
  <c r="AF24" i="116"/>
  <c r="AE24" i="116"/>
  <c r="AD24" i="116"/>
  <c r="AB24" i="116"/>
  <c r="AA24" i="116"/>
  <c r="Z24" i="116"/>
  <c r="X24" i="116"/>
  <c r="W24" i="116"/>
  <c r="V24" i="116"/>
  <c r="U24" i="116"/>
  <c r="S24" i="116"/>
  <c r="R24" i="116"/>
  <c r="Q24" i="116"/>
  <c r="O24" i="116"/>
  <c r="N24" i="116"/>
  <c r="M24" i="116"/>
  <c r="L24" i="116"/>
  <c r="J24" i="116"/>
  <c r="I24" i="116"/>
  <c r="H24" i="116"/>
  <c r="AG23" i="116"/>
  <c r="AF23" i="116"/>
  <c r="AE23" i="116"/>
  <c r="AD23" i="116"/>
  <c r="AB23" i="116"/>
  <c r="AA23" i="116"/>
  <c r="Z23" i="116"/>
  <c r="X23" i="116"/>
  <c r="W23" i="116"/>
  <c r="V23" i="116"/>
  <c r="U23" i="116"/>
  <c r="S23" i="116"/>
  <c r="R23" i="116"/>
  <c r="Q23" i="116"/>
  <c r="O23" i="116"/>
  <c r="N23" i="116"/>
  <c r="M23" i="116"/>
  <c r="L23" i="116"/>
  <c r="J23" i="116"/>
  <c r="I23" i="116"/>
  <c r="H23" i="116"/>
  <c r="B16" i="116"/>
  <c r="B15" i="116"/>
  <c r="B9" i="116"/>
  <c r="B6" i="116"/>
  <c r="E3" i="116"/>
  <c r="D3" i="116"/>
  <c r="C3" i="116"/>
  <c r="F38" i="115"/>
  <c r="F32" i="115"/>
  <c r="AD29" i="115"/>
  <c r="AD25" i="115" s="1"/>
  <c r="AA29" i="115"/>
  <c r="AB25" i="115" s="1"/>
  <c r="U29" i="115"/>
  <c r="X25" i="115" s="1"/>
  <c r="R29" i="115"/>
  <c r="R25" i="115" s="1"/>
  <c r="L29" i="115"/>
  <c r="L25" i="115" s="1"/>
  <c r="I29" i="115"/>
  <c r="J25" i="115" s="1"/>
  <c r="AG24" i="115"/>
  <c r="AF24" i="115"/>
  <c r="AE24" i="115"/>
  <c r="AD24" i="115"/>
  <c r="AB24" i="115"/>
  <c r="AA24" i="115"/>
  <c r="Z24" i="115"/>
  <c r="X24" i="115"/>
  <c r="W24" i="115"/>
  <c r="V24" i="115"/>
  <c r="U24" i="115"/>
  <c r="S24" i="115"/>
  <c r="R24" i="115"/>
  <c r="Q24" i="115"/>
  <c r="O24" i="115"/>
  <c r="N24" i="115"/>
  <c r="M24" i="115"/>
  <c r="L24" i="115"/>
  <c r="J24" i="115"/>
  <c r="I24" i="115"/>
  <c r="H24" i="115"/>
  <c r="AG23" i="115"/>
  <c r="AF23" i="115"/>
  <c r="AE23" i="115"/>
  <c r="AD23" i="115"/>
  <c r="AB23" i="115"/>
  <c r="AA23" i="115"/>
  <c r="Z23" i="115"/>
  <c r="X23" i="115"/>
  <c r="W23" i="115"/>
  <c r="V23" i="115"/>
  <c r="U23" i="115"/>
  <c r="S23" i="115"/>
  <c r="R23" i="115"/>
  <c r="Q23" i="115"/>
  <c r="O23" i="115"/>
  <c r="N23" i="115"/>
  <c r="M23" i="115"/>
  <c r="L23" i="115"/>
  <c r="J23" i="115"/>
  <c r="I23" i="115"/>
  <c r="H23" i="115"/>
  <c r="B16" i="115"/>
  <c r="B15" i="115"/>
  <c r="B9" i="115"/>
  <c r="B6" i="115"/>
  <c r="E3" i="115"/>
  <c r="D3" i="115"/>
  <c r="C3" i="115"/>
  <c r="F38" i="114"/>
  <c r="F32" i="114"/>
  <c r="AD29" i="114"/>
  <c r="AD25" i="114" s="1"/>
  <c r="AA29" i="114"/>
  <c r="AB25" i="114" s="1"/>
  <c r="U29" i="114"/>
  <c r="X25" i="114" s="1"/>
  <c r="R29" i="114"/>
  <c r="R25" i="114" s="1"/>
  <c r="L29" i="114"/>
  <c r="M25" i="114" s="1"/>
  <c r="I29" i="114"/>
  <c r="J25" i="114" s="1"/>
  <c r="AG24" i="114"/>
  <c r="AF24" i="114"/>
  <c r="AE24" i="114"/>
  <c r="AD24" i="114"/>
  <c r="AB24" i="114"/>
  <c r="AA24" i="114"/>
  <c r="Z24" i="114"/>
  <c r="X24" i="114"/>
  <c r="W24" i="114"/>
  <c r="V24" i="114"/>
  <c r="U24" i="114"/>
  <c r="S24" i="114"/>
  <c r="R24" i="114"/>
  <c r="Q24" i="114"/>
  <c r="O24" i="114"/>
  <c r="N24" i="114"/>
  <c r="M24" i="114"/>
  <c r="L24" i="114"/>
  <c r="J24" i="114"/>
  <c r="I24" i="114"/>
  <c r="H24" i="114"/>
  <c r="AG23" i="114"/>
  <c r="AF23" i="114"/>
  <c r="AE23" i="114"/>
  <c r="AD23" i="114"/>
  <c r="AB23" i="114"/>
  <c r="AA23" i="114"/>
  <c r="Z23" i="114"/>
  <c r="X23" i="114"/>
  <c r="W23" i="114"/>
  <c r="V23" i="114"/>
  <c r="U23" i="114"/>
  <c r="S23" i="114"/>
  <c r="R23" i="114"/>
  <c r="Q23" i="114"/>
  <c r="O23" i="114"/>
  <c r="N23" i="114"/>
  <c r="M23" i="114"/>
  <c r="L23" i="114"/>
  <c r="J23" i="114"/>
  <c r="I23" i="114"/>
  <c r="H23" i="114"/>
  <c r="B16" i="114"/>
  <c r="B15" i="114"/>
  <c r="B9" i="114"/>
  <c r="B6" i="114"/>
  <c r="E3" i="114"/>
  <c r="D3" i="114"/>
  <c r="C3" i="114"/>
  <c r="F38" i="113"/>
  <c r="F32" i="113"/>
  <c r="AD29" i="113"/>
  <c r="AD25" i="113" s="1"/>
  <c r="AA29" i="113"/>
  <c r="AB25" i="113" s="1"/>
  <c r="U29" i="113"/>
  <c r="X25" i="113" s="1"/>
  <c r="R29" i="113"/>
  <c r="R25" i="113" s="1"/>
  <c r="L29" i="113"/>
  <c r="M25" i="113" s="1"/>
  <c r="I29" i="113"/>
  <c r="J25" i="113" s="1"/>
  <c r="AG24" i="113"/>
  <c r="AF24" i="113"/>
  <c r="AE24" i="113"/>
  <c r="AD24" i="113"/>
  <c r="AB24" i="113"/>
  <c r="AA24" i="113"/>
  <c r="Z24" i="113"/>
  <c r="X24" i="113"/>
  <c r="W24" i="113"/>
  <c r="V24" i="113"/>
  <c r="U24" i="113"/>
  <c r="S24" i="113"/>
  <c r="R24" i="113"/>
  <c r="Q24" i="113"/>
  <c r="O24" i="113"/>
  <c r="N24" i="113"/>
  <c r="M24" i="113"/>
  <c r="L24" i="113"/>
  <c r="J24" i="113"/>
  <c r="I24" i="113"/>
  <c r="H24" i="113"/>
  <c r="AG23" i="113"/>
  <c r="AF23" i="113"/>
  <c r="AE23" i="113"/>
  <c r="AD23" i="113"/>
  <c r="AB23" i="113"/>
  <c r="AA23" i="113"/>
  <c r="Z23" i="113"/>
  <c r="X23" i="113"/>
  <c r="W23" i="113"/>
  <c r="V23" i="113"/>
  <c r="U23" i="113"/>
  <c r="S23" i="113"/>
  <c r="R23" i="113"/>
  <c r="Q23" i="113"/>
  <c r="O23" i="113"/>
  <c r="N23" i="113"/>
  <c r="M23" i="113"/>
  <c r="L23" i="113"/>
  <c r="J23" i="113"/>
  <c r="I23" i="113"/>
  <c r="H23" i="113"/>
  <c r="B16" i="113"/>
  <c r="B15" i="113"/>
  <c r="B9" i="113"/>
  <c r="B6" i="113"/>
  <c r="E3" i="113"/>
  <c r="D3" i="113"/>
  <c r="C3" i="113"/>
  <c r="C9" i="78"/>
  <c r="B9" i="78"/>
  <c r="B10" i="78"/>
  <c r="E19" i="78"/>
  <c r="S25" i="116" l="1"/>
  <c r="U25" i="116"/>
  <c r="X25" i="116"/>
  <c r="I25" i="116"/>
  <c r="AA25" i="116"/>
  <c r="L25" i="116"/>
  <c r="W25" i="116"/>
  <c r="M25" i="116"/>
  <c r="I25" i="115"/>
  <c r="M25" i="115"/>
  <c r="N25" i="115"/>
  <c r="O25" i="115"/>
  <c r="AE25" i="116"/>
  <c r="AA25" i="115"/>
  <c r="AG25" i="116"/>
  <c r="AF25" i="116"/>
  <c r="N25" i="116"/>
  <c r="L25" i="114"/>
  <c r="N25" i="114"/>
  <c r="U25" i="115"/>
  <c r="AF25" i="115"/>
  <c r="O25" i="114"/>
  <c r="AA25" i="114"/>
  <c r="V25" i="115"/>
  <c r="AG25" i="115"/>
  <c r="S25" i="115"/>
  <c r="W25" i="115"/>
  <c r="AE25" i="115"/>
  <c r="N25" i="113"/>
  <c r="S25" i="114"/>
  <c r="AE25" i="114"/>
  <c r="O25" i="113"/>
  <c r="I25" i="114"/>
  <c r="U25" i="114"/>
  <c r="AF25" i="114"/>
  <c r="AA25" i="113"/>
  <c r="V25" i="114"/>
  <c r="AG25" i="114"/>
  <c r="W25" i="114"/>
  <c r="L25" i="113"/>
  <c r="I25" i="113"/>
  <c r="U25" i="113"/>
  <c r="AF25" i="113"/>
  <c r="V25" i="113"/>
  <c r="AG25" i="113"/>
  <c r="S25" i="113"/>
  <c r="W25" i="113"/>
  <c r="AE25" i="113"/>
  <c r="F38" i="108" l="1"/>
  <c r="F32" i="108"/>
  <c r="AD29" i="108"/>
  <c r="AG25" i="108" s="1"/>
  <c r="AA29" i="108"/>
  <c r="AB25" i="108" s="1"/>
  <c r="U29" i="108"/>
  <c r="X25" i="108" s="1"/>
  <c r="R29" i="108"/>
  <c r="S25" i="108" s="1"/>
  <c r="L29" i="108"/>
  <c r="O25" i="108" s="1"/>
  <c r="I29" i="108"/>
  <c r="J25" i="108" s="1"/>
  <c r="AG24" i="108"/>
  <c r="AF24" i="108"/>
  <c r="AE24" i="108"/>
  <c r="AD24" i="108"/>
  <c r="AB24" i="108"/>
  <c r="AA24" i="108"/>
  <c r="Z24" i="108"/>
  <c r="X24" i="108"/>
  <c r="W24" i="108"/>
  <c r="V24" i="108"/>
  <c r="U24" i="108"/>
  <c r="S24" i="108"/>
  <c r="R24" i="108"/>
  <c r="Q24" i="108"/>
  <c r="O24" i="108"/>
  <c r="N24" i="108"/>
  <c r="M24" i="108"/>
  <c r="L24" i="108"/>
  <c r="J24" i="108"/>
  <c r="I24" i="108"/>
  <c r="H24" i="108"/>
  <c r="AG23" i="108"/>
  <c r="AF23" i="108"/>
  <c r="AE23" i="108"/>
  <c r="AD23" i="108"/>
  <c r="AB23" i="108"/>
  <c r="AA23" i="108"/>
  <c r="Z23" i="108"/>
  <c r="X23" i="108"/>
  <c r="W23" i="108"/>
  <c r="V23" i="108"/>
  <c r="U23" i="108"/>
  <c r="S23" i="108"/>
  <c r="R23" i="108"/>
  <c r="Q23" i="108"/>
  <c r="O23" i="108"/>
  <c r="N23" i="108"/>
  <c r="M23" i="108"/>
  <c r="L23" i="108"/>
  <c r="J23" i="108"/>
  <c r="I23" i="108"/>
  <c r="H23" i="108"/>
  <c r="B16" i="108"/>
  <c r="B15" i="108"/>
  <c r="B9" i="108"/>
  <c r="B6" i="108"/>
  <c r="E3" i="108"/>
  <c r="D3" i="108"/>
  <c r="C3" i="108"/>
  <c r="I25" i="108" l="1"/>
  <c r="AA25" i="108"/>
  <c r="AE25" i="108"/>
  <c r="L25" i="108"/>
  <c r="M25" i="108"/>
  <c r="N25" i="108"/>
  <c r="R25" i="108"/>
  <c r="AD25" i="108"/>
  <c r="U25" i="108"/>
  <c r="AF25" i="108"/>
  <c r="V25" i="108"/>
  <c r="W25" i="108"/>
  <c r="N45" i="58" l="1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79" i="58"/>
  <c r="N80" i="58"/>
  <c r="N81" i="58"/>
  <c r="N82" i="58"/>
  <c r="N84" i="58"/>
  <c r="N85" i="58"/>
  <c r="N86" i="58"/>
  <c r="N87" i="58"/>
  <c r="N88" i="58"/>
  <c r="N89" i="58"/>
  <c r="N90" i="58"/>
  <c r="N91" i="58"/>
  <c r="N92" i="58"/>
  <c r="N93" i="58"/>
  <c r="N94" i="58"/>
  <c r="N95" i="58"/>
  <c r="N96" i="58"/>
  <c r="N97" i="58"/>
  <c r="N98" i="58"/>
  <c r="N99" i="58"/>
  <c r="N100" i="58"/>
  <c r="N101" i="58"/>
  <c r="N102" i="58"/>
  <c r="N103" i="58"/>
  <c r="N105" i="58"/>
  <c r="N106" i="58"/>
  <c r="N107" i="58"/>
  <c r="N108" i="58"/>
  <c r="N109" i="58"/>
  <c r="N110" i="58"/>
  <c r="N111" i="58"/>
  <c r="N112" i="58"/>
  <c r="N113" i="58"/>
  <c r="N114" i="58"/>
  <c r="N115" i="58"/>
  <c r="N116" i="58"/>
  <c r="N117" i="58"/>
  <c r="N118" i="58"/>
  <c r="N119" i="58"/>
  <c r="N120" i="58"/>
  <c r="B18" i="98"/>
  <c r="B10" i="52"/>
  <c r="B12" i="52"/>
  <c r="B13" i="52"/>
  <c r="B14" i="52"/>
  <c r="C137" i="52"/>
  <c r="D137" i="52"/>
  <c r="C138" i="52"/>
  <c r="D138" i="52"/>
  <c r="C139" i="52"/>
  <c r="D139" i="52"/>
  <c r="C140" i="52"/>
  <c r="D140" i="52"/>
  <c r="C141" i="52"/>
  <c r="D141" i="52"/>
  <c r="C142" i="52"/>
  <c r="D142" i="52"/>
  <c r="C143" i="52"/>
  <c r="D143" i="52"/>
  <c r="C144" i="52"/>
  <c r="D144" i="52"/>
  <c r="C145" i="52"/>
  <c r="D145" i="52"/>
  <c r="B137" i="52"/>
  <c r="B138" i="52"/>
  <c r="B139" i="52"/>
  <c r="B140" i="52"/>
  <c r="B141" i="52"/>
  <c r="B142" i="52"/>
  <c r="B143" i="52"/>
  <c r="B144" i="52"/>
  <c r="B145" i="52"/>
  <c r="C130" i="52"/>
  <c r="D130" i="52"/>
  <c r="C131" i="52"/>
  <c r="D131" i="52"/>
  <c r="C132" i="52"/>
  <c r="D132" i="52"/>
  <c r="C133" i="52"/>
  <c r="D133" i="52"/>
  <c r="C134" i="52"/>
  <c r="D134" i="52"/>
  <c r="B130" i="52"/>
  <c r="B131" i="52"/>
  <c r="B132" i="52"/>
  <c r="B133" i="52"/>
  <c r="B134" i="52"/>
  <c r="C123" i="52"/>
  <c r="D123" i="52"/>
  <c r="C124" i="52"/>
  <c r="D124" i="52"/>
  <c r="C125" i="52"/>
  <c r="D125" i="52"/>
  <c r="C126" i="52"/>
  <c r="D126" i="52"/>
  <c r="C127" i="52"/>
  <c r="D127" i="52"/>
  <c r="B123" i="52"/>
  <c r="B124" i="52"/>
  <c r="B125" i="52"/>
  <c r="B126" i="52"/>
  <c r="B127" i="52"/>
  <c r="C109" i="52"/>
  <c r="D109" i="52"/>
  <c r="C110" i="52"/>
  <c r="D110" i="52"/>
  <c r="C111" i="52"/>
  <c r="D111" i="52"/>
  <c r="C112" i="52"/>
  <c r="D112" i="52"/>
  <c r="C113" i="52"/>
  <c r="D113" i="52"/>
  <c r="C114" i="52"/>
  <c r="D114" i="52"/>
  <c r="C115" i="52"/>
  <c r="D115" i="52"/>
  <c r="C116" i="52"/>
  <c r="D116" i="52"/>
  <c r="C117" i="52"/>
  <c r="D117" i="52"/>
  <c r="C118" i="52"/>
  <c r="D118" i="52"/>
  <c r="C119" i="52"/>
  <c r="D119" i="52"/>
  <c r="C120" i="52"/>
  <c r="D120" i="52"/>
  <c r="B109" i="52"/>
  <c r="B110" i="52"/>
  <c r="B111" i="52"/>
  <c r="B112" i="52"/>
  <c r="B113" i="52"/>
  <c r="B114" i="52"/>
  <c r="B115" i="52"/>
  <c r="B116" i="52"/>
  <c r="B117" i="52"/>
  <c r="B118" i="52"/>
  <c r="B119" i="52"/>
  <c r="B120" i="52"/>
  <c r="C102" i="52"/>
  <c r="D102" i="52"/>
  <c r="C103" i="52"/>
  <c r="D103" i="52"/>
  <c r="C104" i="52"/>
  <c r="D104" i="52"/>
  <c r="C106" i="52"/>
  <c r="D106" i="52"/>
  <c r="B102" i="52"/>
  <c r="B103" i="52"/>
  <c r="B104" i="52"/>
  <c r="B106" i="52"/>
  <c r="C94" i="52"/>
  <c r="D94" i="52"/>
  <c r="C95" i="52"/>
  <c r="D95" i="52"/>
  <c r="C97" i="52"/>
  <c r="D97" i="52"/>
  <c r="C98" i="52"/>
  <c r="D98" i="52"/>
  <c r="C99" i="52"/>
  <c r="D99" i="52"/>
  <c r="B94" i="52"/>
  <c r="B95" i="52"/>
  <c r="B97" i="52"/>
  <c r="B98" i="52"/>
  <c r="B99" i="52"/>
  <c r="C79" i="52"/>
  <c r="D79" i="52"/>
  <c r="C80" i="52"/>
  <c r="D80" i="52"/>
  <c r="C81" i="52"/>
  <c r="D81" i="52"/>
  <c r="C82" i="52"/>
  <c r="D82" i="52"/>
  <c r="C83" i="52"/>
  <c r="D83" i="52"/>
  <c r="C84" i="52"/>
  <c r="D84" i="52"/>
  <c r="C85" i="52"/>
  <c r="D85" i="52"/>
  <c r="C86" i="52"/>
  <c r="D86" i="52"/>
  <c r="C87" i="52"/>
  <c r="D87" i="52"/>
  <c r="C89" i="52"/>
  <c r="D89" i="52"/>
  <c r="C90" i="52"/>
  <c r="D90" i="52"/>
  <c r="C91" i="52"/>
  <c r="D91" i="52"/>
  <c r="B79" i="52"/>
  <c r="B80" i="52"/>
  <c r="B81" i="52"/>
  <c r="B82" i="52"/>
  <c r="B83" i="52"/>
  <c r="B84" i="52"/>
  <c r="B85" i="52"/>
  <c r="B86" i="52"/>
  <c r="B87" i="52"/>
  <c r="B89" i="52"/>
  <c r="B90" i="52"/>
  <c r="B91" i="52"/>
  <c r="C71" i="52"/>
  <c r="D71" i="52"/>
  <c r="C72" i="52"/>
  <c r="D72" i="52"/>
  <c r="C74" i="52"/>
  <c r="D74" i="52"/>
  <c r="C75" i="52"/>
  <c r="D75" i="52"/>
  <c r="C76" i="52"/>
  <c r="D76" i="52"/>
  <c r="B71" i="52"/>
  <c r="B72" i="52"/>
  <c r="B74" i="52"/>
  <c r="B75" i="52"/>
  <c r="B76" i="52"/>
  <c r="C63" i="52"/>
  <c r="D63" i="52"/>
  <c r="C64" i="52"/>
  <c r="D64" i="52"/>
  <c r="C66" i="52"/>
  <c r="D66" i="52"/>
  <c r="C67" i="52"/>
  <c r="D67" i="52"/>
  <c r="C68" i="52"/>
  <c r="D68" i="52"/>
  <c r="B63" i="52"/>
  <c r="B64" i="52"/>
  <c r="B66" i="52"/>
  <c r="B67" i="52"/>
  <c r="B68" i="52"/>
  <c r="C48" i="52"/>
  <c r="D48" i="52"/>
  <c r="C49" i="52"/>
  <c r="D49" i="52"/>
  <c r="C50" i="52"/>
  <c r="D50" i="52"/>
  <c r="C51" i="52"/>
  <c r="D51" i="52"/>
  <c r="C52" i="52"/>
  <c r="D52" i="52"/>
  <c r="C53" i="52"/>
  <c r="D53" i="52"/>
  <c r="C54" i="52"/>
  <c r="D54" i="52"/>
  <c r="C55" i="52"/>
  <c r="D55" i="52"/>
  <c r="C56" i="52"/>
  <c r="D56" i="52"/>
  <c r="C58" i="52"/>
  <c r="D58" i="52"/>
  <c r="C59" i="52"/>
  <c r="D59" i="52"/>
  <c r="C60" i="52"/>
  <c r="D60" i="52"/>
  <c r="B48" i="52"/>
  <c r="B49" i="52"/>
  <c r="B50" i="52"/>
  <c r="B51" i="52"/>
  <c r="B52" i="52"/>
  <c r="B53" i="52"/>
  <c r="B54" i="52"/>
  <c r="B55" i="52"/>
  <c r="B56" i="52"/>
  <c r="B58" i="52"/>
  <c r="B59" i="52"/>
  <c r="B60" i="52"/>
  <c r="C40" i="52"/>
  <c r="D40" i="52"/>
  <c r="C41" i="52"/>
  <c r="D41" i="52"/>
  <c r="C43" i="52"/>
  <c r="D43" i="52"/>
  <c r="C44" i="52"/>
  <c r="D44" i="52"/>
  <c r="C45" i="52"/>
  <c r="D45" i="52"/>
  <c r="B40" i="52"/>
  <c r="B41" i="52"/>
  <c r="B43" i="52"/>
  <c r="B44" i="52"/>
  <c r="B45" i="52"/>
  <c r="C32" i="52"/>
  <c r="D32" i="52"/>
  <c r="C33" i="52"/>
  <c r="D33" i="52"/>
  <c r="C35" i="52"/>
  <c r="D35" i="52"/>
  <c r="C36" i="52"/>
  <c r="D36" i="52"/>
  <c r="C37" i="52"/>
  <c r="D37" i="52"/>
  <c r="B32" i="52"/>
  <c r="B33" i="52"/>
  <c r="B35" i="52"/>
  <c r="B36" i="52"/>
  <c r="B37" i="52"/>
  <c r="C17" i="52"/>
  <c r="D17" i="52"/>
  <c r="C18" i="52"/>
  <c r="D18" i="52"/>
  <c r="C19" i="52"/>
  <c r="D19" i="52"/>
  <c r="C20" i="52"/>
  <c r="D20" i="52"/>
  <c r="C21" i="52"/>
  <c r="D21" i="52"/>
  <c r="C22" i="52"/>
  <c r="D22" i="52"/>
  <c r="C23" i="52"/>
  <c r="D23" i="52"/>
  <c r="C24" i="52"/>
  <c r="D24" i="52"/>
  <c r="C25" i="52"/>
  <c r="D25" i="52"/>
  <c r="C27" i="52"/>
  <c r="D27" i="52"/>
  <c r="C28" i="52"/>
  <c r="D28" i="52"/>
  <c r="C29" i="52"/>
  <c r="D29" i="52"/>
  <c r="B17" i="52"/>
  <c r="B18" i="52"/>
  <c r="B19" i="52"/>
  <c r="B20" i="52"/>
  <c r="B21" i="52"/>
  <c r="B22" i="52"/>
  <c r="B23" i="52"/>
  <c r="B24" i="52"/>
  <c r="B25" i="52"/>
  <c r="B27" i="52"/>
  <c r="B28" i="52"/>
  <c r="B29" i="52"/>
  <c r="C10" i="52"/>
  <c r="D10" i="52"/>
  <c r="C12" i="52"/>
  <c r="D12" i="52"/>
  <c r="C13" i="52"/>
  <c r="D13" i="52"/>
  <c r="C14" i="52"/>
  <c r="D14" i="52"/>
  <c r="C9" i="52"/>
  <c r="D9" i="52"/>
  <c r="B9" i="52"/>
  <c r="C179" i="58" l="1"/>
  <c r="C165" i="58"/>
  <c r="C166" i="58"/>
  <c r="C167" i="58"/>
  <c r="C168" i="58"/>
  <c r="C169" i="58"/>
  <c r="C170" i="58"/>
  <c r="C171" i="58"/>
  <c r="C172" i="58"/>
  <c r="C173" i="58"/>
  <c r="C174" i="58"/>
  <c r="C175" i="58"/>
  <c r="C176" i="58"/>
  <c r="C177" i="58"/>
  <c r="C178" i="58"/>
  <c r="N24" i="58" l="1"/>
  <c r="N25" i="58"/>
  <c r="B36" i="98" l="1"/>
  <c r="B37" i="98" s="1"/>
  <c r="B27" i="98"/>
  <c r="B28" i="98" s="1"/>
  <c r="B117" i="98"/>
  <c r="B118" i="98" s="1"/>
  <c r="D135" i="98"/>
  <c r="D136" i="98" s="1"/>
  <c r="D137" i="98" s="1"/>
  <c r="D138" i="98" s="1"/>
  <c r="D139" i="98" s="1"/>
  <c r="D140" i="98" s="1"/>
  <c r="D141" i="98" s="1"/>
  <c r="C135" i="98"/>
  <c r="C136" i="98" s="1"/>
  <c r="C137" i="98" s="1"/>
  <c r="C138" i="98" s="1"/>
  <c r="C139" i="98" s="1"/>
  <c r="C140" i="98" s="1"/>
  <c r="C141" i="98" s="1"/>
  <c r="B135" i="98"/>
  <c r="D126" i="98"/>
  <c r="D127" i="98" s="1"/>
  <c r="D128" i="98" s="1"/>
  <c r="D129" i="98" s="1"/>
  <c r="D130" i="98" s="1"/>
  <c r="D131" i="98" s="1"/>
  <c r="D132" i="98" s="1"/>
  <c r="D133" i="98" s="1"/>
  <c r="C126" i="98"/>
  <c r="C127" i="98" s="1"/>
  <c r="C128" i="98" s="1"/>
  <c r="C129" i="98" s="1"/>
  <c r="C130" i="98" s="1"/>
  <c r="C131" i="98" s="1"/>
  <c r="C132" i="98" s="1"/>
  <c r="C133" i="98" s="1"/>
  <c r="B126" i="98"/>
  <c r="B127" i="98" s="1"/>
  <c r="D117" i="98"/>
  <c r="D118" i="98" s="1"/>
  <c r="D119" i="98" s="1"/>
  <c r="D120" i="98" s="1"/>
  <c r="D121" i="98" s="1"/>
  <c r="D122" i="98" s="1"/>
  <c r="D123" i="98" s="1"/>
  <c r="D124" i="98" s="1"/>
  <c r="C117" i="98"/>
  <c r="C118" i="98" s="1"/>
  <c r="C119" i="98" s="1"/>
  <c r="C120" i="98" s="1"/>
  <c r="C121" i="98" s="1"/>
  <c r="C122" i="98" s="1"/>
  <c r="C123" i="98" s="1"/>
  <c r="C124" i="98" s="1"/>
  <c r="D108" i="98"/>
  <c r="D109" i="98" s="1"/>
  <c r="D110" i="98" s="1"/>
  <c r="D111" i="98" s="1"/>
  <c r="D112" i="98" s="1"/>
  <c r="D113" i="98" s="1"/>
  <c r="D114" i="98" s="1"/>
  <c r="D115" i="98" s="1"/>
  <c r="C108" i="98"/>
  <c r="C109" i="98" s="1"/>
  <c r="C110" i="98" s="1"/>
  <c r="C111" i="98" s="1"/>
  <c r="C112" i="98" s="1"/>
  <c r="C113" i="98" s="1"/>
  <c r="C114" i="98" s="1"/>
  <c r="C115" i="98" s="1"/>
  <c r="B108" i="98"/>
  <c r="B109" i="98" s="1"/>
  <c r="D99" i="98"/>
  <c r="D100" i="98" s="1"/>
  <c r="D101" i="98" s="1"/>
  <c r="D102" i="98" s="1"/>
  <c r="D103" i="98" s="1"/>
  <c r="D104" i="98" s="1"/>
  <c r="D105" i="98" s="1"/>
  <c r="D106" i="98" s="1"/>
  <c r="C99" i="98"/>
  <c r="C100" i="98" s="1"/>
  <c r="C101" i="98" s="1"/>
  <c r="C102" i="98" s="1"/>
  <c r="C103" i="98" s="1"/>
  <c r="C104" i="98" s="1"/>
  <c r="C105" i="98" s="1"/>
  <c r="C106" i="98" s="1"/>
  <c r="B99" i="98"/>
  <c r="B100" i="98" s="1"/>
  <c r="D90" i="98"/>
  <c r="D91" i="98" s="1"/>
  <c r="D92" i="98" s="1"/>
  <c r="D93" i="98" s="1"/>
  <c r="D94" i="98" s="1"/>
  <c r="D95" i="98" s="1"/>
  <c r="D96" i="98" s="1"/>
  <c r="D97" i="98" s="1"/>
  <c r="C90" i="98"/>
  <c r="C91" i="98" s="1"/>
  <c r="C92" i="98" s="1"/>
  <c r="C93" i="98" s="1"/>
  <c r="C94" i="98" s="1"/>
  <c r="C95" i="98" s="1"/>
  <c r="C96" i="98" s="1"/>
  <c r="C97" i="98" s="1"/>
  <c r="B90" i="98"/>
  <c r="B91" i="98" s="1"/>
  <c r="D81" i="98"/>
  <c r="D82" i="98" s="1"/>
  <c r="D83" i="98" s="1"/>
  <c r="D84" i="98" s="1"/>
  <c r="D85" i="98" s="1"/>
  <c r="D86" i="98" s="1"/>
  <c r="D87" i="98" s="1"/>
  <c r="D88" i="98" s="1"/>
  <c r="C81" i="98"/>
  <c r="C82" i="98" s="1"/>
  <c r="C83" i="98" s="1"/>
  <c r="C84" i="98" s="1"/>
  <c r="C85" i="98" s="1"/>
  <c r="C86" i="98" s="1"/>
  <c r="C87" i="98" s="1"/>
  <c r="C88" i="98" s="1"/>
  <c r="B81" i="98"/>
  <c r="B82" i="98" s="1"/>
  <c r="D72" i="98"/>
  <c r="D73" i="98" s="1"/>
  <c r="D74" i="98" s="1"/>
  <c r="D75" i="98" s="1"/>
  <c r="D76" i="98" s="1"/>
  <c r="D77" i="98" s="1"/>
  <c r="D78" i="98" s="1"/>
  <c r="D79" i="98" s="1"/>
  <c r="C72" i="98"/>
  <c r="C73" i="98" s="1"/>
  <c r="C74" i="98" s="1"/>
  <c r="C75" i="98" s="1"/>
  <c r="C76" i="98" s="1"/>
  <c r="C77" i="98" s="1"/>
  <c r="C78" i="98" s="1"/>
  <c r="C79" i="98" s="1"/>
  <c r="B72" i="98"/>
  <c r="B73" i="98" s="1"/>
  <c r="D63" i="98"/>
  <c r="D64" i="98" s="1"/>
  <c r="D65" i="98" s="1"/>
  <c r="D66" i="98" s="1"/>
  <c r="D67" i="98" s="1"/>
  <c r="D68" i="98" s="1"/>
  <c r="D69" i="98" s="1"/>
  <c r="D70" i="98" s="1"/>
  <c r="C63" i="98"/>
  <c r="C64" i="98" s="1"/>
  <c r="C65" i="98" s="1"/>
  <c r="C66" i="98" s="1"/>
  <c r="C67" i="98" s="1"/>
  <c r="C68" i="98" s="1"/>
  <c r="C69" i="98" s="1"/>
  <c r="C70" i="98" s="1"/>
  <c r="B63" i="98"/>
  <c r="B64" i="98" s="1"/>
  <c r="D54" i="98"/>
  <c r="D55" i="98" s="1"/>
  <c r="D56" i="98" s="1"/>
  <c r="D57" i="98" s="1"/>
  <c r="D58" i="98" s="1"/>
  <c r="D59" i="98" s="1"/>
  <c r="D60" i="98" s="1"/>
  <c r="D61" i="98" s="1"/>
  <c r="C54" i="98"/>
  <c r="C55" i="98" s="1"/>
  <c r="C56" i="98" s="1"/>
  <c r="C57" i="98" s="1"/>
  <c r="C58" i="98" s="1"/>
  <c r="C59" i="98" s="1"/>
  <c r="C60" i="98" s="1"/>
  <c r="C61" i="98" s="1"/>
  <c r="B54" i="98"/>
  <c r="B55" i="98" s="1"/>
  <c r="D45" i="98"/>
  <c r="D46" i="98" s="1"/>
  <c r="D47" i="98" s="1"/>
  <c r="D48" i="98" s="1"/>
  <c r="D49" i="98" s="1"/>
  <c r="D50" i="98" s="1"/>
  <c r="D51" i="98" s="1"/>
  <c r="D52" i="98" s="1"/>
  <c r="C45" i="98"/>
  <c r="C46" i="98" s="1"/>
  <c r="C47" i="98" s="1"/>
  <c r="C48" i="98" s="1"/>
  <c r="C49" i="98" s="1"/>
  <c r="C50" i="98" s="1"/>
  <c r="C51" i="98" s="1"/>
  <c r="C52" i="98" s="1"/>
  <c r="B45" i="98"/>
  <c r="B46" i="98" s="1"/>
  <c r="D36" i="98"/>
  <c r="D37" i="98" s="1"/>
  <c r="D38" i="98" s="1"/>
  <c r="D39" i="98" s="1"/>
  <c r="D40" i="98" s="1"/>
  <c r="D41" i="98" s="1"/>
  <c r="D42" i="98" s="1"/>
  <c r="D43" i="98" s="1"/>
  <c r="C36" i="98"/>
  <c r="C37" i="98" s="1"/>
  <c r="C38" i="98" s="1"/>
  <c r="C39" i="98" s="1"/>
  <c r="C40" i="98" s="1"/>
  <c r="C41" i="98" s="1"/>
  <c r="C42" i="98" s="1"/>
  <c r="C43" i="98" s="1"/>
  <c r="D27" i="98"/>
  <c r="D28" i="98" s="1"/>
  <c r="D29" i="98" s="1"/>
  <c r="D30" i="98" s="1"/>
  <c r="D31" i="98" s="1"/>
  <c r="D32" i="98" s="1"/>
  <c r="D33" i="98" s="1"/>
  <c r="D34" i="98" s="1"/>
  <c r="C27" i="98"/>
  <c r="C28" i="98" s="1"/>
  <c r="C29" i="98" s="1"/>
  <c r="C30" i="98" s="1"/>
  <c r="C31" i="98" s="1"/>
  <c r="C32" i="98" s="1"/>
  <c r="C33" i="98" s="1"/>
  <c r="C34" i="98" s="1"/>
  <c r="D18" i="98"/>
  <c r="D19" i="98" s="1"/>
  <c r="D20" i="98" s="1"/>
  <c r="D21" i="98" s="1"/>
  <c r="D22" i="98" s="1"/>
  <c r="D23" i="98" s="1"/>
  <c r="D24" i="98" s="1"/>
  <c r="D25" i="98" s="1"/>
  <c r="C18" i="98"/>
  <c r="C19" i="98" s="1"/>
  <c r="C20" i="98" s="1"/>
  <c r="C21" i="98" s="1"/>
  <c r="C22" i="98" s="1"/>
  <c r="C23" i="98" s="1"/>
  <c r="C24" i="98" s="1"/>
  <c r="C25" i="98" s="1"/>
  <c r="B19" i="98"/>
  <c r="D9" i="98"/>
  <c r="D10" i="98" s="1"/>
  <c r="D11" i="98" s="1"/>
  <c r="D12" i="98" s="1"/>
  <c r="D13" i="98" s="1"/>
  <c r="D14" i="98" s="1"/>
  <c r="D15" i="98" s="1"/>
  <c r="D16" i="98" s="1"/>
  <c r="C9" i="98"/>
  <c r="C10" i="98" s="1"/>
  <c r="C11" i="98" s="1"/>
  <c r="C12" i="98" s="1"/>
  <c r="C13" i="98" s="1"/>
  <c r="C14" i="98" s="1"/>
  <c r="C15" i="98" s="1"/>
  <c r="C16" i="98" s="1"/>
  <c r="B9" i="98"/>
  <c r="B10" i="98" s="1"/>
  <c r="M4" i="98"/>
  <c r="O3" i="98"/>
  <c r="Q4" i="98" s="1"/>
  <c r="M3" i="98"/>
  <c r="H3" i="98"/>
  <c r="F4" i="98" s="1"/>
  <c r="C120" i="58"/>
  <c r="C97" i="58"/>
  <c r="C75" i="58"/>
  <c r="C51" i="58"/>
  <c r="N23" i="58"/>
  <c r="N22" i="58"/>
  <c r="N27" i="58"/>
  <c r="C27" i="58"/>
  <c r="N26" i="58"/>
  <c r="N21" i="58"/>
  <c r="C110" i="58"/>
  <c r="B4" i="57"/>
  <c r="A2" i="57"/>
  <c r="C109" i="58"/>
  <c r="C64" i="58"/>
  <c r="C40" i="58"/>
  <c r="N40" i="58"/>
  <c r="C16" i="58"/>
  <c r="N16" i="58"/>
  <c r="B11" i="98" l="1"/>
  <c r="B136" i="98"/>
  <c r="B92" i="98"/>
  <c r="B20" i="98"/>
  <c r="B74" i="98"/>
  <c r="B119" i="98"/>
  <c r="B101" i="98"/>
  <c r="B56" i="98"/>
  <c r="B128" i="98"/>
  <c r="B38" i="98"/>
  <c r="B65" i="98"/>
  <c r="B47" i="98"/>
  <c r="B83" i="98"/>
  <c r="B29" i="98"/>
  <c r="B110" i="98"/>
  <c r="K4" i="98"/>
  <c r="O4" i="98"/>
  <c r="R4" i="98"/>
  <c r="H4" i="98"/>
  <c r="I4" i="98"/>
  <c r="J4" i="98"/>
  <c r="P4" i="98"/>
  <c r="B111" i="98" l="1"/>
  <c r="B48" i="98"/>
  <c r="B30" i="98"/>
  <c r="B93" i="98"/>
  <c r="B66" i="98"/>
  <c r="B75" i="98"/>
  <c r="B137" i="98"/>
  <c r="B84" i="98"/>
  <c r="B39" i="98"/>
  <c r="B57" i="98"/>
  <c r="B102" i="98"/>
  <c r="B21" i="98"/>
  <c r="B12" i="98"/>
  <c r="B129" i="98"/>
  <c r="B120" i="98"/>
  <c r="F19" i="78"/>
  <c r="B58" i="98" l="1"/>
  <c r="B76" i="98"/>
  <c r="B130" i="98"/>
  <c r="B13" i="98"/>
  <c r="B138" i="98"/>
  <c r="B94" i="98"/>
  <c r="B22" i="98"/>
  <c r="B121" i="98"/>
  <c r="B103" i="98"/>
  <c r="B40" i="98"/>
  <c r="B49" i="98"/>
  <c r="B31" i="98"/>
  <c r="B67" i="98"/>
  <c r="B112" i="98"/>
  <c r="B85" i="98"/>
  <c r="B113" i="98" l="1"/>
  <c r="B114" i="98" s="1"/>
  <c r="B115" i="98" s="1"/>
  <c r="B41" i="98"/>
  <c r="B42" i="98" s="1"/>
  <c r="B43" i="98" s="1"/>
  <c r="B104" i="98"/>
  <c r="B105" i="98" s="1"/>
  <c r="B106" i="98" s="1"/>
  <c r="B68" i="98"/>
  <c r="B69" i="98" s="1"/>
  <c r="B70" i="98" s="1"/>
  <c r="B32" i="98"/>
  <c r="B33" i="98" s="1"/>
  <c r="B34" i="98" s="1"/>
  <c r="B14" i="98"/>
  <c r="B15" i="98" s="1"/>
  <c r="B16" i="98" s="1"/>
  <c r="B131" i="98"/>
  <c r="B132" i="98" s="1"/>
  <c r="B133" i="98" s="1"/>
  <c r="B122" i="98"/>
  <c r="B123" i="98" s="1"/>
  <c r="B124" i="98" s="1"/>
  <c r="B95" i="98"/>
  <c r="B96" i="98" s="1"/>
  <c r="B97" i="98" s="1"/>
  <c r="B77" i="98"/>
  <c r="B78" i="98" s="1"/>
  <c r="B79" i="98" s="1"/>
  <c r="B50" i="98"/>
  <c r="B51" i="98" s="1"/>
  <c r="B52" i="98" s="1"/>
  <c r="B86" i="98"/>
  <c r="B87" i="98" s="1"/>
  <c r="B88" i="98" s="1"/>
  <c r="B23" i="98"/>
  <c r="B24" i="98" s="1"/>
  <c r="B25" i="98" s="1"/>
  <c r="B59" i="98"/>
  <c r="B60" i="98" s="1"/>
  <c r="B61" i="98" s="1"/>
  <c r="B139" i="98"/>
  <c r="B140" i="98" l="1"/>
  <c r="B141" i="98" s="1"/>
  <c r="R17" i="78" l="1"/>
  <c r="Q17" i="78"/>
  <c r="P17" i="78"/>
  <c r="O17" i="78"/>
  <c r="F10" i="93"/>
  <c r="U4" i="57"/>
  <c r="L4" i="57"/>
  <c r="N193" i="58" l="1"/>
  <c r="N44" i="58"/>
  <c r="N43" i="58"/>
  <c r="N42" i="58"/>
  <c r="N41" i="58"/>
  <c r="N39" i="58"/>
  <c r="N38" i="58"/>
  <c r="N37" i="58"/>
  <c r="N36" i="58"/>
  <c r="N33" i="58"/>
  <c r="N32" i="58"/>
  <c r="N31" i="58"/>
  <c r="N30" i="58"/>
  <c r="N29" i="58"/>
  <c r="N28" i="58"/>
  <c r="N20" i="58"/>
  <c r="N19" i="58"/>
  <c r="N18" i="58"/>
  <c r="N17" i="58"/>
  <c r="N15" i="58"/>
  <c r="N14" i="58"/>
  <c r="N13" i="58"/>
  <c r="N12" i="58"/>
  <c r="N10" i="58"/>
  <c r="N9" i="58"/>
  <c r="N8" i="58"/>
  <c r="N7" i="58"/>
  <c r="N6" i="58"/>
  <c r="N5" i="58"/>
  <c r="N4" i="58"/>
  <c r="C9" i="61" l="1"/>
  <c r="H18" i="78" l="1"/>
  <c r="G18" i="78"/>
  <c r="F18" i="78"/>
  <c r="E18" i="78"/>
  <c r="J18" i="78"/>
  <c r="I18" i="78"/>
  <c r="H19" i="78" l="1"/>
  <c r="G19" i="78"/>
  <c r="J19" i="78"/>
  <c r="I19" i="78"/>
  <c r="T9" i="57" l="1"/>
  <c r="T10" i="57" s="1"/>
  <c r="T11" i="57" s="1"/>
  <c r="T12" i="57" s="1"/>
  <c r="T13" i="57" s="1"/>
  <c r="T15" i="57"/>
  <c r="T16" i="57" s="1"/>
  <c r="T17" i="57" s="1"/>
  <c r="T18" i="57" s="1"/>
  <c r="T19" i="57" s="1"/>
  <c r="T21" i="57"/>
  <c r="T22" i="57" s="1"/>
  <c r="T23" i="57" s="1"/>
  <c r="T24" i="57" s="1"/>
  <c r="T25" i="57" s="1"/>
  <c r="F11" i="43" l="1"/>
  <c r="A73" i="83" l="1"/>
  <c r="A66" i="83"/>
  <c r="A59" i="83"/>
  <c r="A52" i="83"/>
  <c r="A45" i="83"/>
  <c r="F10" i="92" l="1"/>
  <c r="F10" i="91"/>
  <c r="F10" i="90"/>
  <c r="F10" i="88"/>
  <c r="B23" i="44"/>
  <c r="B24" i="44" s="1"/>
  <c r="B25" i="44" s="1"/>
  <c r="B18" i="44"/>
  <c r="B19" i="44" s="1"/>
  <c r="B20" i="44" s="1"/>
  <c r="B21" i="44" s="1"/>
  <c r="B12" i="44"/>
  <c r="B13" i="44" s="1"/>
  <c r="B14" i="44" s="1"/>
  <c r="B15" i="44" s="1"/>
  <c r="B16" i="44" s="1"/>
  <c r="B8" i="44"/>
  <c r="B9" i="44" s="1"/>
  <c r="B10" i="44" s="1"/>
  <c r="B5" i="44"/>
  <c r="B6" i="44" s="1"/>
  <c r="M9" i="87" l="1"/>
  <c r="K9" i="87"/>
  <c r="J9" i="87"/>
  <c r="I9" i="87"/>
  <c r="E9" i="87"/>
  <c r="S21" i="57"/>
  <c r="S22" i="57" s="1"/>
  <c r="S15" i="57"/>
  <c r="S16" i="57" s="1"/>
  <c r="L20" i="57"/>
  <c r="U20" i="57" s="1"/>
  <c r="L14" i="57"/>
  <c r="U14" i="57" s="1"/>
  <c r="L8" i="57"/>
  <c r="U8" i="57" s="1"/>
  <c r="S10" i="57" l="1"/>
  <c r="M3" i="58"/>
  <c r="L3" i="58"/>
  <c r="S23" i="57" l="1"/>
  <c r="S11" i="57"/>
  <c r="S17" i="57"/>
  <c r="L11" i="87"/>
  <c r="G11" i="87"/>
  <c r="G13" i="87"/>
  <c r="G14" i="87"/>
  <c r="L7" i="87"/>
  <c r="F7" i="87"/>
  <c r="D7" i="87"/>
  <c r="D11" i="87"/>
  <c r="F11" i="87"/>
  <c r="D12" i="87"/>
  <c r="L12" i="87"/>
  <c r="D13" i="87"/>
  <c r="F13" i="87"/>
  <c r="L13" i="87"/>
  <c r="D14" i="87"/>
  <c r="F14" i="87"/>
  <c r="L14" i="87"/>
  <c r="D15" i="87"/>
  <c r="F15" i="87"/>
  <c r="G15" i="87" s="1"/>
  <c r="L15" i="87"/>
  <c r="S18" i="57" l="1"/>
  <c r="S12" i="57"/>
  <c r="S24" i="57"/>
  <c r="S19" i="57" l="1"/>
  <c r="S25" i="57"/>
  <c r="S13" i="57"/>
  <c r="J44" i="83" l="1"/>
  <c r="D44" i="83"/>
  <c r="C113" i="58" l="1"/>
  <c r="C112" i="58"/>
  <c r="C90" i="58"/>
  <c r="C89" i="58"/>
  <c r="C88" i="58"/>
  <c r="C68" i="58"/>
  <c r="C67" i="58"/>
  <c r="C66" i="58"/>
  <c r="C44" i="58"/>
  <c r="C43" i="58"/>
  <c r="C42" i="58"/>
  <c r="C20" i="58"/>
  <c r="C19" i="58"/>
  <c r="C18" i="58"/>
  <c r="B46" i="83" l="1"/>
  <c r="B47" i="83" s="1"/>
  <c r="B48" i="83" l="1"/>
  <c r="B49" i="83" s="1"/>
  <c r="B50" i="83" s="1"/>
  <c r="B51" i="83" l="1"/>
  <c r="N206" i="58" l="1"/>
  <c r="N207" i="58"/>
  <c r="N208" i="58"/>
  <c r="N209" i="58"/>
  <c r="N210" i="58"/>
  <c r="N211" i="58"/>
  <c r="N212" i="58"/>
  <c r="N213" i="58"/>
  <c r="N214" i="58"/>
  <c r="N215" i="58"/>
  <c r="N216" i="58"/>
  <c r="N217" i="58"/>
  <c r="N218" i="58"/>
  <c r="N219" i="58"/>
  <c r="N220" i="58"/>
  <c r="N221" i="58"/>
  <c r="N222" i="58"/>
  <c r="N223" i="58"/>
  <c r="N224" i="58"/>
  <c r="N225" i="58"/>
  <c r="N226" i="58"/>
  <c r="N227" i="58"/>
  <c r="N228" i="58"/>
  <c r="N229" i="58"/>
  <c r="N230" i="58"/>
  <c r="N231" i="58"/>
  <c r="N232" i="58"/>
  <c r="N233" i="58"/>
  <c r="N234" i="58"/>
  <c r="N235" i="58"/>
  <c r="N236" i="58"/>
  <c r="N237" i="58"/>
  <c r="N238" i="58"/>
  <c r="N239" i="58"/>
  <c r="N240" i="58"/>
  <c r="N241" i="58"/>
  <c r="N242" i="58"/>
  <c r="N243" i="58"/>
  <c r="N244" i="58"/>
  <c r="N245" i="58"/>
  <c r="N246" i="58"/>
  <c r="N18" i="78" l="1"/>
  <c r="M18" i="78"/>
  <c r="L18" i="78"/>
  <c r="K18" i="78"/>
  <c r="M3" i="68" l="1"/>
  <c r="M3" i="66"/>
  <c r="M3" i="52"/>
  <c r="F10" i="43"/>
  <c r="N19" i="78"/>
  <c r="M19" i="78"/>
  <c r="L19" i="78"/>
  <c r="K19" i="78"/>
  <c r="C164" i="58" l="1"/>
  <c r="C163" i="58"/>
  <c r="C162" i="58"/>
  <c r="C161" i="58"/>
  <c r="C160" i="58"/>
  <c r="C159" i="58"/>
  <c r="C158" i="58"/>
  <c r="C157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C134" i="58"/>
  <c r="C133" i="58"/>
  <c r="C132" i="58"/>
  <c r="C131" i="58"/>
  <c r="C130" i="58"/>
  <c r="C129" i="58"/>
  <c r="C128" i="58"/>
  <c r="C127" i="58"/>
  <c r="C126" i="58"/>
  <c r="C125" i="58"/>
  <c r="C124" i="58"/>
  <c r="C123" i="58"/>
  <c r="C122" i="58"/>
  <c r="C121" i="58"/>
  <c r="C111" i="58"/>
  <c r="C108" i="58"/>
  <c r="C107" i="58"/>
  <c r="C106" i="58"/>
  <c r="C105" i="58"/>
  <c r="C103" i="58"/>
  <c r="C102" i="58"/>
  <c r="C101" i="58"/>
  <c r="C100" i="58"/>
  <c r="C99" i="58"/>
  <c r="C98" i="58"/>
  <c r="C87" i="58"/>
  <c r="C86" i="58"/>
  <c r="C85" i="58"/>
  <c r="C84" i="58"/>
  <c r="C82" i="58"/>
  <c r="C81" i="58"/>
  <c r="C80" i="58"/>
  <c r="C79" i="58"/>
  <c r="C78" i="58"/>
  <c r="C77" i="58"/>
  <c r="C76" i="58"/>
  <c r="C65" i="58"/>
  <c r="C63" i="58"/>
  <c r="C62" i="58"/>
  <c r="C61" i="58"/>
  <c r="C60" i="58"/>
  <c r="C58" i="58"/>
  <c r="C57" i="58"/>
  <c r="C56" i="58"/>
  <c r="C55" i="58"/>
  <c r="C54" i="58"/>
  <c r="C53" i="58"/>
  <c r="C52" i="58"/>
  <c r="C41" i="58"/>
  <c r="C39" i="58"/>
  <c r="C38" i="58"/>
  <c r="C37" i="58"/>
  <c r="C36" i="58"/>
  <c r="C34" i="58"/>
  <c r="C33" i="58"/>
  <c r="C32" i="58"/>
  <c r="C31" i="58"/>
  <c r="C30" i="58"/>
  <c r="C29" i="58"/>
  <c r="C28" i="58"/>
  <c r="C17" i="58"/>
  <c r="C15" i="58"/>
  <c r="C14" i="58"/>
  <c r="C13" i="58"/>
  <c r="C12" i="58"/>
  <c r="C10" i="58"/>
  <c r="C9" i="58"/>
  <c r="C8" i="58"/>
  <c r="C7" i="58"/>
  <c r="C6" i="58"/>
  <c r="C5" i="58"/>
  <c r="C4" i="58"/>
  <c r="D148" i="52" l="1"/>
  <c r="D149" i="52" s="1"/>
  <c r="D150" i="52" s="1"/>
  <c r="C148" i="52"/>
  <c r="C149" i="52" s="1"/>
  <c r="C150" i="52" s="1"/>
  <c r="D175" i="68"/>
  <c r="D176" i="68" s="1"/>
  <c r="D177" i="68" s="1"/>
  <c r="C175" i="68"/>
  <c r="C176" i="68" s="1"/>
  <c r="C177" i="68" s="1"/>
  <c r="B175" i="68"/>
  <c r="D163" i="68"/>
  <c r="D164" i="68" s="1"/>
  <c r="D165" i="68" s="1"/>
  <c r="D166" i="68" s="1"/>
  <c r="C163" i="68"/>
  <c r="C164" i="68" s="1"/>
  <c r="C165" i="68" s="1"/>
  <c r="C166" i="68" s="1"/>
  <c r="B163" i="68"/>
  <c r="B164" i="68" s="1"/>
  <c r="D153" i="68"/>
  <c r="D154" i="68" s="1"/>
  <c r="D155" i="68" s="1"/>
  <c r="C153" i="68"/>
  <c r="C154" i="68" s="1"/>
  <c r="C155" i="68" s="1"/>
  <c r="B153" i="68"/>
  <c r="D145" i="68"/>
  <c r="D146" i="68" s="1"/>
  <c r="D147" i="68" s="1"/>
  <c r="D148" i="68" s="1"/>
  <c r="D149" i="68" s="1"/>
  <c r="D150" i="68" s="1"/>
  <c r="C145" i="68"/>
  <c r="C146" i="68" s="1"/>
  <c r="C147" i="68" s="1"/>
  <c r="C148" i="68" s="1"/>
  <c r="C149" i="68" s="1"/>
  <c r="C150" i="68" s="1"/>
  <c r="B145" i="68"/>
  <c r="D131" i="68"/>
  <c r="D132" i="68" s="1"/>
  <c r="D133" i="68" s="1"/>
  <c r="D134" i="68" s="1"/>
  <c r="D135" i="68" s="1"/>
  <c r="D136" i="68" s="1"/>
  <c r="D137" i="68" s="1"/>
  <c r="D138" i="68" s="1"/>
  <c r="D139" i="68" s="1"/>
  <c r="D140" i="68" s="1"/>
  <c r="D141" i="68" s="1"/>
  <c r="D142" i="68" s="1"/>
  <c r="C131" i="68"/>
  <c r="C132" i="68" s="1"/>
  <c r="C133" i="68" s="1"/>
  <c r="C134" i="68" s="1"/>
  <c r="C135" i="68" s="1"/>
  <c r="C136" i="68" s="1"/>
  <c r="C137" i="68" s="1"/>
  <c r="C138" i="68" s="1"/>
  <c r="C139" i="68" s="1"/>
  <c r="C140" i="68" s="1"/>
  <c r="C141" i="68" s="1"/>
  <c r="C142" i="68" s="1"/>
  <c r="B131" i="68"/>
  <c r="B132" i="68" s="1"/>
  <c r="D123" i="68"/>
  <c r="D124" i="68" s="1"/>
  <c r="D125" i="68" s="1"/>
  <c r="D126" i="68" s="1"/>
  <c r="D127" i="68" s="1"/>
  <c r="D128" i="68" s="1"/>
  <c r="C123" i="68"/>
  <c r="C124" i="68" s="1"/>
  <c r="C125" i="68" s="1"/>
  <c r="C126" i="68" s="1"/>
  <c r="C127" i="68" s="1"/>
  <c r="C128" i="68" s="1"/>
  <c r="B123" i="68"/>
  <c r="D113" i="68"/>
  <c r="D114" i="68" s="1"/>
  <c r="D115" i="68" s="1"/>
  <c r="C113" i="68"/>
  <c r="C114" i="68" s="1"/>
  <c r="C115" i="68" s="1"/>
  <c r="B113" i="68"/>
  <c r="D95" i="68"/>
  <c r="D96" i="68" s="1"/>
  <c r="D97" i="68" s="1"/>
  <c r="D98" i="68" s="1"/>
  <c r="C95" i="68"/>
  <c r="C96" i="68" s="1"/>
  <c r="C97" i="68" s="1"/>
  <c r="C98" i="68" s="1"/>
  <c r="B95" i="68"/>
  <c r="B96" i="68" s="1"/>
  <c r="D85" i="68"/>
  <c r="D86" i="68" s="1"/>
  <c r="D87" i="68" s="1"/>
  <c r="C85" i="68"/>
  <c r="C86" i="68" s="1"/>
  <c r="C87" i="68" s="1"/>
  <c r="B85" i="68"/>
  <c r="D75" i="68"/>
  <c r="D76" i="68" s="1"/>
  <c r="D77" i="68" s="1"/>
  <c r="C75" i="68"/>
  <c r="C76" i="68" s="1"/>
  <c r="B75" i="68"/>
  <c r="D57" i="68"/>
  <c r="D58" i="68" s="1"/>
  <c r="D59" i="68" s="1"/>
  <c r="D60" i="68" s="1"/>
  <c r="C57" i="68"/>
  <c r="C58" i="68" s="1"/>
  <c r="C59" i="68" s="1"/>
  <c r="C60" i="68" s="1"/>
  <c r="B57" i="68"/>
  <c r="B58" i="68" s="1"/>
  <c r="D47" i="68"/>
  <c r="D48" i="68" s="1"/>
  <c r="D49" i="68" s="1"/>
  <c r="C47" i="68"/>
  <c r="C48" i="68" s="1"/>
  <c r="C49" i="68" s="1"/>
  <c r="B47" i="68"/>
  <c r="D37" i="68"/>
  <c r="D38" i="68" s="1"/>
  <c r="D39" i="68" s="1"/>
  <c r="C37" i="68"/>
  <c r="C38" i="68" s="1"/>
  <c r="C39" i="68" s="1"/>
  <c r="B37" i="68"/>
  <c r="D19" i="68"/>
  <c r="D20" i="68" s="1"/>
  <c r="D21" i="68" s="1"/>
  <c r="D22" i="68" s="1"/>
  <c r="C19" i="68"/>
  <c r="C20" i="68" s="1"/>
  <c r="C21" i="68" s="1"/>
  <c r="C22" i="68" s="1"/>
  <c r="B19" i="68"/>
  <c r="B20" i="68" s="1"/>
  <c r="D9" i="68"/>
  <c r="D10" i="68" s="1"/>
  <c r="D11" i="68" s="1"/>
  <c r="C9" i="68"/>
  <c r="C10" i="68" s="1"/>
  <c r="C11" i="68" s="1"/>
  <c r="B9" i="68"/>
  <c r="D221" i="66"/>
  <c r="D222" i="66" s="1"/>
  <c r="D223" i="66" s="1"/>
  <c r="D224" i="66" s="1"/>
  <c r="C221" i="66"/>
  <c r="C222" i="66" s="1"/>
  <c r="C223" i="66" s="1"/>
  <c r="C224" i="66" s="1"/>
  <c r="B221" i="66"/>
  <c r="D206" i="66"/>
  <c r="D207" i="66" s="1"/>
  <c r="D208" i="66" s="1"/>
  <c r="D209" i="66" s="1"/>
  <c r="D210" i="66" s="1"/>
  <c r="D211" i="66" s="1"/>
  <c r="D212" i="66" s="1"/>
  <c r="D213" i="66" s="1"/>
  <c r="D214" i="66" s="1"/>
  <c r="D215" i="66" s="1"/>
  <c r="D216" i="66" s="1"/>
  <c r="C206" i="66"/>
  <c r="C207" i="66" s="1"/>
  <c r="C208" i="66" s="1"/>
  <c r="C209" i="66" s="1"/>
  <c r="C210" i="66" s="1"/>
  <c r="C211" i="66" s="1"/>
  <c r="C212" i="66" s="1"/>
  <c r="C213" i="66" s="1"/>
  <c r="C214" i="66" s="1"/>
  <c r="C215" i="66" s="1"/>
  <c r="C216" i="66" s="1"/>
  <c r="B206" i="66"/>
  <c r="B207" i="66" s="1"/>
  <c r="D193" i="66"/>
  <c r="D194" i="66" s="1"/>
  <c r="D195" i="66" s="1"/>
  <c r="D196" i="66" s="1"/>
  <c r="C193" i="66"/>
  <c r="C194" i="66" s="1"/>
  <c r="C195" i="66" s="1"/>
  <c r="C196" i="66" s="1"/>
  <c r="B193" i="66"/>
  <c r="D181" i="66"/>
  <c r="D182" i="66" s="1"/>
  <c r="D183" i="66" s="1"/>
  <c r="D184" i="66" s="1"/>
  <c r="C181" i="66"/>
  <c r="C182" i="66" s="1"/>
  <c r="C183" i="66" s="1"/>
  <c r="C184" i="66" s="1"/>
  <c r="B181" i="66"/>
  <c r="D159" i="66"/>
  <c r="D160" i="66" s="1"/>
  <c r="D161" i="66" s="1"/>
  <c r="D162" i="66" s="1"/>
  <c r="D163" i="66" s="1"/>
  <c r="C159" i="66"/>
  <c r="C160" i="66" s="1"/>
  <c r="C161" i="66" s="1"/>
  <c r="C162" i="66" s="1"/>
  <c r="C163" i="66" s="1"/>
  <c r="B159" i="66"/>
  <c r="B160" i="66" s="1"/>
  <c r="D147" i="66"/>
  <c r="D148" i="66" s="1"/>
  <c r="D149" i="66" s="1"/>
  <c r="D150" i="66" s="1"/>
  <c r="C147" i="66"/>
  <c r="C148" i="66" s="1"/>
  <c r="C149" i="66" s="1"/>
  <c r="C150" i="66" s="1"/>
  <c r="B147" i="66"/>
  <c r="D135" i="66"/>
  <c r="D136" i="66" s="1"/>
  <c r="D137" i="66" s="1"/>
  <c r="D138" i="66" s="1"/>
  <c r="C135" i="66"/>
  <c r="C136" i="66" s="1"/>
  <c r="C137" i="66" s="1"/>
  <c r="C138" i="66" s="1"/>
  <c r="B135" i="66"/>
  <c r="D113" i="66"/>
  <c r="D114" i="66" s="1"/>
  <c r="D115" i="66" s="1"/>
  <c r="D116" i="66" s="1"/>
  <c r="D117" i="66" s="1"/>
  <c r="C113" i="66"/>
  <c r="C114" i="66" s="1"/>
  <c r="C115" i="66" s="1"/>
  <c r="C116" i="66" s="1"/>
  <c r="C117" i="66" s="1"/>
  <c r="B113" i="66"/>
  <c r="B114" i="66" s="1"/>
  <c r="D101" i="66"/>
  <c r="D102" i="66" s="1"/>
  <c r="D103" i="66" s="1"/>
  <c r="D104" i="66" s="1"/>
  <c r="C101" i="66"/>
  <c r="C102" i="66" s="1"/>
  <c r="C103" i="66" s="1"/>
  <c r="C104" i="66" s="1"/>
  <c r="B101" i="66"/>
  <c r="D89" i="66"/>
  <c r="D90" i="66" s="1"/>
  <c r="D91" i="66" s="1"/>
  <c r="D92" i="66" s="1"/>
  <c r="C89" i="66"/>
  <c r="C90" i="66" s="1"/>
  <c r="C91" i="66" s="1"/>
  <c r="C92" i="66" s="1"/>
  <c r="B89" i="66"/>
  <c r="D67" i="66"/>
  <c r="D68" i="66" s="1"/>
  <c r="D69" i="66" s="1"/>
  <c r="D70" i="66" s="1"/>
  <c r="D71" i="66" s="1"/>
  <c r="C67" i="66"/>
  <c r="C68" i="66" s="1"/>
  <c r="C69" i="66" s="1"/>
  <c r="C70" i="66" s="1"/>
  <c r="C71" i="66" s="1"/>
  <c r="B67" i="66"/>
  <c r="B68" i="66" s="1"/>
  <c r="D55" i="66"/>
  <c r="D56" i="66" s="1"/>
  <c r="D57" i="66" s="1"/>
  <c r="D58" i="66" s="1"/>
  <c r="C55" i="66"/>
  <c r="C56" i="66" s="1"/>
  <c r="C57" i="66" s="1"/>
  <c r="C58" i="66" s="1"/>
  <c r="B55" i="66"/>
  <c r="D43" i="66"/>
  <c r="D44" i="66" s="1"/>
  <c r="D45" i="66" s="1"/>
  <c r="C43" i="66"/>
  <c r="C44" i="66" s="1"/>
  <c r="C45" i="66" s="1"/>
  <c r="B43" i="66"/>
  <c r="D21" i="66"/>
  <c r="D22" i="66" s="1"/>
  <c r="D23" i="66" s="1"/>
  <c r="D24" i="66" s="1"/>
  <c r="D25" i="66" s="1"/>
  <c r="C21" i="66"/>
  <c r="C22" i="66" s="1"/>
  <c r="C23" i="66" s="1"/>
  <c r="C24" i="66" s="1"/>
  <c r="C25" i="66" s="1"/>
  <c r="B21" i="66"/>
  <c r="B22" i="66" s="1"/>
  <c r="D9" i="66"/>
  <c r="D10" i="66" s="1"/>
  <c r="D11" i="66" s="1"/>
  <c r="D12" i="66" s="1"/>
  <c r="C9" i="66"/>
  <c r="B9" i="66"/>
  <c r="R190" i="68"/>
  <c r="K190" i="68"/>
  <c r="R189" i="68"/>
  <c r="K189" i="68"/>
  <c r="R188" i="68"/>
  <c r="K188" i="68"/>
  <c r="R187" i="68"/>
  <c r="K187" i="68"/>
  <c r="R186" i="68"/>
  <c r="K186" i="68"/>
  <c r="R185" i="68"/>
  <c r="K185" i="68"/>
  <c r="R184" i="68"/>
  <c r="K184" i="68"/>
  <c r="R183" i="68"/>
  <c r="K183" i="68"/>
  <c r="M4" i="68"/>
  <c r="O3" i="68"/>
  <c r="P4" i="68" s="1"/>
  <c r="H3" i="68"/>
  <c r="I4" i="68" s="1"/>
  <c r="R239" i="66"/>
  <c r="R238" i="66"/>
  <c r="R237" i="66"/>
  <c r="R236" i="66"/>
  <c r="R235" i="66"/>
  <c r="R234" i="66"/>
  <c r="R233" i="66"/>
  <c r="R232" i="66"/>
  <c r="K239" i="66"/>
  <c r="K238" i="66"/>
  <c r="K237" i="66"/>
  <c r="K236" i="66"/>
  <c r="K235" i="66"/>
  <c r="K234" i="66"/>
  <c r="K233" i="66"/>
  <c r="K232" i="66"/>
  <c r="B148" i="52"/>
  <c r="M39" i="52"/>
  <c r="D226" i="66" l="1"/>
  <c r="D225" i="66"/>
  <c r="C198" i="66"/>
  <c r="C197" i="66"/>
  <c r="D198" i="66"/>
  <c r="D199" i="66" s="1"/>
  <c r="D200" i="66" s="1"/>
  <c r="D201" i="66" s="1"/>
  <c r="D202" i="66" s="1"/>
  <c r="D203" i="66" s="1"/>
  <c r="D197" i="66"/>
  <c r="C226" i="66"/>
  <c r="C227" i="66" s="1"/>
  <c r="C228" i="66" s="1"/>
  <c r="C229" i="66" s="1"/>
  <c r="C230" i="66" s="1"/>
  <c r="C231" i="66" s="1"/>
  <c r="C225" i="66"/>
  <c r="C186" i="66"/>
  <c r="C187" i="66" s="1"/>
  <c r="C188" i="66" s="1"/>
  <c r="C189" i="66" s="1"/>
  <c r="C190" i="66" s="1"/>
  <c r="C185" i="66"/>
  <c r="D186" i="66"/>
  <c r="D187" i="66" s="1"/>
  <c r="D188" i="66" s="1"/>
  <c r="D189" i="66" s="1"/>
  <c r="D190" i="66" s="1"/>
  <c r="D185" i="66"/>
  <c r="C151" i="66"/>
  <c r="C152" i="66" s="1"/>
  <c r="C153" i="66" s="1"/>
  <c r="C154" i="66" s="1"/>
  <c r="C155" i="66" s="1"/>
  <c r="C156" i="66" s="1"/>
  <c r="D151" i="66"/>
  <c r="D152" i="66" s="1"/>
  <c r="D153" i="66" s="1"/>
  <c r="D154" i="66" s="1"/>
  <c r="D155" i="66" s="1"/>
  <c r="D156" i="66" s="1"/>
  <c r="C164" i="66"/>
  <c r="C165" i="66" s="1"/>
  <c r="C166" i="66" s="1"/>
  <c r="C167" i="66" s="1"/>
  <c r="C168" i="66" s="1"/>
  <c r="C169" i="66" s="1"/>
  <c r="C170" i="66" s="1"/>
  <c r="C171" i="66" s="1"/>
  <c r="C172" i="66" s="1"/>
  <c r="C173" i="66" s="1"/>
  <c r="C174" i="66" s="1"/>
  <c r="C175" i="66" s="1"/>
  <c r="C176" i="66" s="1"/>
  <c r="C177" i="66" s="1"/>
  <c r="C178" i="66" s="1"/>
  <c r="D164" i="66"/>
  <c r="D165" i="66" s="1"/>
  <c r="D166" i="66" s="1"/>
  <c r="D167" i="66" s="1"/>
  <c r="D168" i="66" s="1"/>
  <c r="D169" i="66" s="1"/>
  <c r="D170" i="66" s="1"/>
  <c r="D171" i="66" s="1"/>
  <c r="D172" i="66" s="1"/>
  <c r="D173" i="66" s="1"/>
  <c r="D174" i="66" s="1"/>
  <c r="D175" i="66" s="1"/>
  <c r="D176" i="66" s="1"/>
  <c r="D177" i="66" s="1"/>
  <c r="D178" i="66" s="1"/>
  <c r="C93" i="66"/>
  <c r="C94" i="66" s="1"/>
  <c r="C95" i="66" s="1"/>
  <c r="C96" i="66" s="1"/>
  <c r="C97" i="66" s="1"/>
  <c r="C98" i="66" s="1"/>
  <c r="D93" i="66"/>
  <c r="D94" i="66" s="1"/>
  <c r="D95" i="66" s="1"/>
  <c r="D96" i="66" s="1"/>
  <c r="D97" i="66" s="1"/>
  <c r="D98" i="66" s="1"/>
  <c r="C59" i="66"/>
  <c r="C60" i="66" s="1"/>
  <c r="C61" i="66" s="1"/>
  <c r="C62" i="66" s="1"/>
  <c r="C63" i="66" s="1"/>
  <c r="C64" i="66" s="1"/>
  <c r="D59" i="66"/>
  <c r="D60" i="66" s="1"/>
  <c r="D61" i="66" s="1"/>
  <c r="D62" i="66" s="1"/>
  <c r="D63" i="66" s="1"/>
  <c r="D64" i="66" s="1"/>
  <c r="C72" i="66"/>
  <c r="C73" i="66" s="1"/>
  <c r="C74" i="66" s="1"/>
  <c r="C75" i="66" s="1"/>
  <c r="C76" i="66" s="1"/>
  <c r="C77" i="66" s="1"/>
  <c r="C78" i="66" s="1"/>
  <c r="C79" i="66" s="1"/>
  <c r="C80" i="66" s="1"/>
  <c r="C81" i="66" s="1"/>
  <c r="C82" i="66" s="1"/>
  <c r="C83" i="66" s="1"/>
  <c r="C84" i="66" s="1"/>
  <c r="C85" i="66" s="1"/>
  <c r="C86" i="66" s="1"/>
  <c r="D72" i="66"/>
  <c r="D73" i="66" s="1"/>
  <c r="D74" i="66" s="1"/>
  <c r="D75" i="66" s="1"/>
  <c r="D76" i="66" s="1"/>
  <c r="D77" i="66" s="1"/>
  <c r="D78" i="66" s="1"/>
  <c r="D79" i="66" s="1"/>
  <c r="D80" i="66" s="1"/>
  <c r="D81" i="66" s="1"/>
  <c r="D82" i="66" s="1"/>
  <c r="D83" i="66" s="1"/>
  <c r="D84" i="66" s="1"/>
  <c r="D85" i="66" s="1"/>
  <c r="D86" i="66" s="1"/>
  <c r="C139" i="66"/>
  <c r="C140" i="66" s="1"/>
  <c r="C141" i="66" s="1"/>
  <c r="C142" i="66" s="1"/>
  <c r="C143" i="66" s="1"/>
  <c r="C144" i="66" s="1"/>
  <c r="D139" i="66"/>
  <c r="D140" i="66" s="1"/>
  <c r="D141" i="66" s="1"/>
  <c r="D142" i="66" s="1"/>
  <c r="D143" i="66" s="1"/>
  <c r="D144" i="66" s="1"/>
  <c r="C118" i="66"/>
  <c r="C119" i="66" s="1"/>
  <c r="C120" i="66" s="1"/>
  <c r="C121" i="66" s="1"/>
  <c r="C122" i="66" s="1"/>
  <c r="C123" i="66" s="1"/>
  <c r="C124" i="66" s="1"/>
  <c r="C125" i="66" s="1"/>
  <c r="D118" i="66"/>
  <c r="D119" i="66" s="1"/>
  <c r="D120" i="66" s="1"/>
  <c r="D121" i="66" s="1"/>
  <c r="D122" i="66" s="1"/>
  <c r="D123" i="66" s="1"/>
  <c r="D124" i="66" s="1"/>
  <c r="D125" i="66" s="1"/>
  <c r="D105" i="66"/>
  <c r="D106" i="66" s="1"/>
  <c r="D107" i="66" s="1"/>
  <c r="D108" i="66" s="1"/>
  <c r="D109" i="66" s="1"/>
  <c r="D110" i="66" s="1"/>
  <c r="C105" i="66"/>
  <c r="C106" i="66" s="1"/>
  <c r="C107" i="66" s="1"/>
  <c r="C108" i="66" s="1"/>
  <c r="C109" i="66" s="1"/>
  <c r="C110" i="66" s="1"/>
  <c r="D26" i="66"/>
  <c r="D27" i="66" s="1"/>
  <c r="D28" i="66" s="1"/>
  <c r="D29" i="66" s="1"/>
  <c r="D30" i="66" s="1"/>
  <c r="D31" i="66" s="1"/>
  <c r="D32" i="66" s="1"/>
  <c r="D33" i="66" s="1"/>
  <c r="D34" i="66" s="1"/>
  <c r="D35" i="66" s="1"/>
  <c r="D36" i="66" s="1"/>
  <c r="D37" i="66" s="1"/>
  <c r="D38" i="66" s="1"/>
  <c r="D39" i="66" s="1"/>
  <c r="D40" i="66" s="1"/>
  <c r="C26" i="66"/>
  <c r="C27" i="66" s="1"/>
  <c r="C28" i="66" s="1"/>
  <c r="C29" i="66" s="1"/>
  <c r="C30" i="66" s="1"/>
  <c r="C31" i="66" s="1"/>
  <c r="C32" i="66" s="1"/>
  <c r="C33" i="66" s="1"/>
  <c r="C34" i="66" s="1"/>
  <c r="C35" i="66" s="1"/>
  <c r="C36" i="66" s="1"/>
  <c r="C37" i="66" s="1"/>
  <c r="C38" i="66" s="1"/>
  <c r="C39" i="66" s="1"/>
  <c r="C40" i="66" s="1"/>
  <c r="D14" i="66"/>
  <c r="D16" i="66" s="1"/>
  <c r="D18" i="66" s="1"/>
  <c r="D13" i="66"/>
  <c r="D15" i="66" s="1"/>
  <c r="D17" i="66" s="1"/>
  <c r="C151" i="52"/>
  <c r="C152" i="52"/>
  <c r="C153" i="52"/>
  <c r="C154" i="52"/>
  <c r="C155" i="52"/>
  <c r="D151" i="52"/>
  <c r="D155" i="52"/>
  <c r="D152" i="52"/>
  <c r="D153" i="52"/>
  <c r="D154" i="52"/>
  <c r="C199" i="66"/>
  <c r="C200" i="66" s="1"/>
  <c r="C201" i="66" s="1"/>
  <c r="C202" i="66" s="1"/>
  <c r="C203" i="66" s="1"/>
  <c r="C217" i="66"/>
  <c r="C218" i="66" s="1"/>
  <c r="D217" i="66"/>
  <c r="D218" i="66" s="1"/>
  <c r="D227" i="66"/>
  <c r="D228" i="66" s="1"/>
  <c r="D229" i="66" s="1"/>
  <c r="D230" i="66" s="1"/>
  <c r="D231" i="66" s="1"/>
  <c r="D78" i="68"/>
  <c r="D79" i="68" s="1"/>
  <c r="D80" i="68" s="1"/>
  <c r="D81" i="68" s="1"/>
  <c r="D82" i="68" s="1"/>
  <c r="C116" i="68"/>
  <c r="C117" i="68" s="1"/>
  <c r="C118" i="68" s="1"/>
  <c r="C119" i="68" s="1"/>
  <c r="C120" i="68" s="1"/>
  <c r="D167" i="68"/>
  <c r="D168" i="68" s="1"/>
  <c r="D169" i="68" s="1"/>
  <c r="D170" i="68" s="1"/>
  <c r="D171" i="68" s="1"/>
  <c r="D172" i="68" s="1"/>
  <c r="C50" i="68"/>
  <c r="C51" i="68" s="1"/>
  <c r="C52" i="68" s="1"/>
  <c r="C53" i="68" s="1"/>
  <c r="C54" i="68" s="1"/>
  <c r="D116" i="68"/>
  <c r="D117" i="68" s="1"/>
  <c r="D118" i="68" s="1"/>
  <c r="D119" i="68" s="1"/>
  <c r="D120" i="68" s="1"/>
  <c r="D40" i="68"/>
  <c r="D41" i="68" s="1"/>
  <c r="D42" i="68" s="1"/>
  <c r="D43" i="68" s="1"/>
  <c r="D44" i="68" s="1"/>
  <c r="D50" i="68"/>
  <c r="D51" i="68" s="1"/>
  <c r="D52" i="68" s="1"/>
  <c r="D53" i="68" s="1"/>
  <c r="D54" i="68" s="1"/>
  <c r="C88" i="68"/>
  <c r="C89" i="68" s="1"/>
  <c r="C90" i="68" s="1"/>
  <c r="C91" i="68" s="1"/>
  <c r="C92" i="68" s="1"/>
  <c r="C178" i="68"/>
  <c r="C179" i="68" s="1"/>
  <c r="C180" i="68" s="1"/>
  <c r="C181" i="68" s="1"/>
  <c r="C182" i="68" s="1"/>
  <c r="D88" i="68"/>
  <c r="D89" i="68" s="1"/>
  <c r="D90" i="68" s="1"/>
  <c r="D91" i="68" s="1"/>
  <c r="D92" i="68" s="1"/>
  <c r="D178" i="68"/>
  <c r="D179" i="68" s="1"/>
  <c r="D180" i="68" s="1"/>
  <c r="D181" i="68" s="1"/>
  <c r="D182" i="68" s="1"/>
  <c r="C156" i="68"/>
  <c r="C157" i="68" s="1"/>
  <c r="C158" i="68" s="1"/>
  <c r="C159" i="68" s="1"/>
  <c r="C160" i="68" s="1"/>
  <c r="D61" i="68"/>
  <c r="D62" i="68" s="1"/>
  <c r="D63" i="68" s="1"/>
  <c r="D64" i="68" s="1"/>
  <c r="D65" i="68" s="1"/>
  <c r="D66" i="68" s="1"/>
  <c r="C99" i="68"/>
  <c r="C100" i="68" s="1"/>
  <c r="C101" i="68" s="1"/>
  <c r="C102" i="68" s="1"/>
  <c r="C103" i="68" s="1"/>
  <c r="C104" i="68" s="1"/>
  <c r="D156" i="68"/>
  <c r="D157" i="68" s="1"/>
  <c r="D158" i="68" s="1"/>
  <c r="D159" i="68" s="1"/>
  <c r="D160" i="68" s="1"/>
  <c r="C61" i="68"/>
  <c r="C62" i="68" s="1"/>
  <c r="C63" i="68" s="1"/>
  <c r="C64" i="68" s="1"/>
  <c r="C65" i="68" s="1"/>
  <c r="C66" i="68" s="1"/>
  <c r="C40" i="68"/>
  <c r="C41" i="68" s="1"/>
  <c r="C42" i="68" s="1"/>
  <c r="C43" i="68" s="1"/>
  <c r="C44" i="68" s="1"/>
  <c r="D99" i="68"/>
  <c r="D100" i="68" s="1"/>
  <c r="D101" i="68" s="1"/>
  <c r="D102" i="68" s="1"/>
  <c r="D103" i="68" s="1"/>
  <c r="D104" i="68" s="1"/>
  <c r="C167" i="68"/>
  <c r="C168" i="68" s="1"/>
  <c r="C169" i="68" s="1"/>
  <c r="C170" i="68" s="1"/>
  <c r="C171" i="68" s="1"/>
  <c r="C172" i="68" s="1"/>
  <c r="C23" i="68"/>
  <c r="C24" i="68" s="1"/>
  <c r="C25" i="68" s="1"/>
  <c r="C26" i="68" s="1"/>
  <c r="C27" i="68" s="1"/>
  <c r="C28" i="68" s="1"/>
  <c r="D23" i="68"/>
  <c r="D24" i="68" s="1"/>
  <c r="D25" i="68" s="1"/>
  <c r="D26" i="68" s="1"/>
  <c r="D27" i="68" s="1"/>
  <c r="D28" i="68" s="1"/>
  <c r="C12" i="68"/>
  <c r="C13" i="68" s="1"/>
  <c r="C14" i="68" s="1"/>
  <c r="C15" i="68" s="1"/>
  <c r="C16" i="68" s="1"/>
  <c r="D12" i="68"/>
  <c r="D13" i="68" s="1"/>
  <c r="D14" i="68" s="1"/>
  <c r="D15" i="68" s="1"/>
  <c r="D16" i="68" s="1"/>
  <c r="B21" i="68"/>
  <c r="B76" i="68"/>
  <c r="B124" i="68"/>
  <c r="B165" i="68"/>
  <c r="B133" i="68"/>
  <c r="B176" i="68"/>
  <c r="B59" i="68"/>
  <c r="B114" i="68"/>
  <c r="B115" i="68" s="1"/>
  <c r="B116" i="68" s="1"/>
  <c r="B117" i="68" s="1"/>
  <c r="B154" i="68"/>
  <c r="B38" i="68"/>
  <c r="B86" i="68"/>
  <c r="B48" i="68"/>
  <c r="B97" i="68"/>
  <c r="B146" i="68"/>
  <c r="C10" i="66"/>
  <c r="C11" i="66" s="1"/>
  <c r="C12" i="66" s="1"/>
  <c r="C46" i="66"/>
  <c r="D46" i="66"/>
  <c r="B148" i="66"/>
  <c r="B69" i="66"/>
  <c r="B136" i="66"/>
  <c r="B194" i="66"/>
  <c r="B23" i="66"/>
  <c r="B90" i="66"/>
  <c r="B56" i="66"/>
  <c r="B115" i="66"/>
  <c r="B182" i="66"/>
  <c r="B208" i="66"/>
  <c r="B44" i="66"/>
  <c r="B102" i="66"/>
  <c r="B222" i="66"/>
  <c r="B149" i="52"/>
  <c r="B10" i="68"/>
  <c r="B161" i="66"/>
  <c r="B10" i="66"/>
  <c r="C77" i="68"/>
  <c r="F4" i="68"/>
  <c r="H4" i="68"/>
  <c r="K4" i="68"/>
  <c r="Q4" i="68"/>
  <c r="J4" i="68"/>
  <c r="R4" i="68"/>
  <c r="O4" i="68"/>
  <c r="D126" i="66" l="1"/>
  <c r="D127" i="66" s="1"/>
  <c r="D128" i="66" s="1"/>
  <c r="D129" i="66" s="1"/>
  <c r="D130" i="66" s="1"/>
  <c r="D131" i="66" s="1"/>
  <c r="D132" i="66" s="1"/>
  <c r="C126" i="66"/>
  <c r="C127" i="66" s="1"/>
  <c r="C128" i="66" s="1"/>
  <c r="C129" i="66" s="1"/>
  <c r="C130" i="66" s="1"/>
  <c r="C131" i="66" s="1"/>
  <c r="C132" i="66" s="1"/>
  <c r="D47" i="66"/>
  <c r="D48" i="66" s="1"/>
  <c r="D49" i="66" s="1"/>
  <c r="D50" i="66" s="1"/>
  <c r="D51" i="66" s="1"/>
  <c r="D52" i="66" s="1"/>
  <c r="C47" i="66"/>
  <c r="C48" i="66" s="1"/>
  <c r="C49" i="66" s="1"/>
  <c r="C50" i="66" s="1"/>
  <c r="C51" i="66" s="1"/>
  <c r="C52" i="66" s="1"/>
  <c r="C14" i="66"/>
  <c r="C16" i="66" s="1"/>
  <c r="C18" i="66" s="1"/>
  <c r="C13" i="66"/>
  <c r="C15" i="66" s="1"/>
  <c r="C17" i="66" s="1"/>
  <c r="D67" i="68"/>
  <c r="D68" i="68" s="1"/>
  <c r="D69" i="68" s="1"/>
  <c r="D70" i="68" s="1"/>
  <c r="D71" i="68" s="1"/>
  <c r="D72" i="68" s="1"/>
  <c r="C78" i="68"/>
  <c r="C79" i="68" s="1"/>
  <c r="C80" i="68" s="1"/>
  <c r="C81" i="68" s="1"/>
  <c r="C82" i="68" s="1"/>
  <c r="C67" i="68"/>
  <c r="C68" i="68" s="1"/>
  <c r="C69" i="68" s="1"/>
  <c r="C70" i="68" s="1"/>
  <c r="C71" i="68" s="1"/>
  <c r="C72" i="68" s="1"/>
  <c r="C105" i="68"/>
  <c r="C106" i="68" s="1"/>
  <c r="C107" i="68" s="1"/>
  <c r="C108" i="68" s="1"/>
  <c r="C109" i="68" s="1"/>
  <c r="C110" i="68" s="1"/>
  <c r="D105" i="68"/>
  <c r="D106" i="68" s="1"/>
  <c r="D107" i="68" s="1"/>
  <c r="D108" i="68" s="1"/>
  <c r="D109" i="68" s="1"/>
  <c r="D110" i="68" s="1"/>
  <c r="D29" i="68"/>
  <c r="D30" i="68" s="1"/>
  <c r="D31" i="68" s="1"/>
  <c r="D32" i="68" s="1"/>
  <c r="D33" i="68" s="1"/>
  <c r="D34" i="68" s="1"/>
  <c r="C29" i="68"/>
  <c r="C30" i="68" s="1"/>
  <c r="C31" i="68" s="1"/>
  <c r="C32" i="68" s="1"/>
  <c r="C33" i="68" s="1"/>
  <c r="C34" i="68" s="1"/>
  <c r="B177" i="68"/>
  <c r="B178" i="68" s="1"/>
  <c r="B179" i="68" s="1"/>
  <c r="B87" i="68"/>
  <c r="B88" i="68" s="1"/>
  <c r="B89" i="68" s="1"/>
  <c r="B60" i="68"/>
  <c r="B61" i="68" s="1"/>
  <c r="B62" i="68" s="1"/>
  <c r="B125" i="68"/>
  <c r="B39" i="68"/>
  <c r="B40" i="68" s="1"/>
  <c r="B41" i="68" s="1"/>
  <c r="B49" i="68"/>
  <c r="B50" i="68" s="1"/>
  <c r="B51" i="68" s="1"/>
  <c r="B166" i="68"/>
  <c r="B167" i="68" s="1"/>
  <c r="B168" i="68" s="1"/>
  <c r="B77" i="68"/>
  <c r="B78" i="68" s="1"/>
  <c r="B79" i="68" s="1"/>
  <c r="B147" i="68"/>
  <c r="B148" i="68" s="1"/>
  <c r="B98" i="68"/>
  <c r="B99" i="68" s="1"/>
  <c r="B100" i="68" s="1"/>
  <c r="B155" i="68"/>
  <c r="B134" i="68"/>
  <c r="B22" i="68"/>
  <c r="B23" i="68" s="1"/>
  <c r="B24" i="68" s="1"/>
  <c r="B137" i="66"/>
  <c r="B195" i="66"/>
  <c r="B183" i="66"/>
  <c r="B24" i="66"/>
  <c r="B162" i="66"/>
  <c r="B116" i="66"/>
  <c r="B209" i="66"/>
  <c r="B91" i="66"/>
  <c r="B70" i="66"/>
  <c r="B103" i="66"/>
  <c r="B223" i="66"/>
  <c r="B45" i="66"/>
  <c r="B57" i="66"/>
  <c r="B149" i="66"/>
  <c r="B150" i="52"/>
  <c r="B11" i="68"/>
  <c r="B12" i="68" s="1"/>
  <c r="B13" i="68" s="1"/>
  <c r="B11" i="66"/>
  <c r="B152" i="52" l="1"/>
  <c r="B153" i="52"/>
  <c r="B154" i="52"/>
  <c r="B155" i="52"/>
  <c r="B151" i="52"/>
  <c r="B156" i="68"/>
  <c r="B157" i="68" s="1"/>
  <c r="I148" i="68" a="1"/>
  <c r="I148" i="68" s="1"/>
  <c r="P148" i="68" a="1"/>
  <c r="P148" i="68" s="1"/>
  <c r="B135" i="68"/>
  <c r="B126" i="68"/>
  <c r="B58" i="66"/>
  <c r="B59" i="66" s="1"/>
  <c r="B71" i="66"/>
  <c r="B72" i="66" s="1"/>
  <c r="B163" i="66"/>
  <c r="B164" i="66" s="1"/>
  <c r="B46" i="66"/>
  <c r="B47" i="66" s="1"/>
  <c r="B92" i="66"/>
  <c r="B93" i="66" s="1"/>
  <c r="B25" i="66"/>
  <c r="B26" i="66" s="1"/>
  <c r="B224" i="66"/>
  <c r="B225" i="66" s="1"/>
  <c r="B210" i="66"/>
  <c r="B211" i="66" s="1"/>
  <c r="B184" i="66"/>
  <c r="B185" i="66" s="1"/>
  <c r="B150" i="66"/>
  <c r="B151" i="66" s="1"/>
  <c r="B104" i="66"/>
  <c r="B105" i="66" s="1"/>
  <c r="B117" i="66"/>
  <c r="B118" i="66" s="1"/>
  <c r="B196" i="66"/>
  <c r="B197" i="66" s="1"/>
  <c r="B138" i="66"/>
  <c r="B139" i="66" s="1"/>
  <c r="B12" i="66"/>
  <c r="B149" i="68"/>
  <c r="B150" i="68" s="1"/>
  <c r="B118" i="68"/>
  <c r="B212" i="66" l="1"/>
  <c r="B213" i="66" s="1"/>
  <c r="B214" i="66" s="1"/>
  <c r="B215" i="66" s="1"/>
  <c r="B216" i="66" s="1"/>
  <c r="B165" i="66"/>
  <c r="B166" i="66" s="1"/>
  <c r="B167" i="66" s="1"/>
  <c r="B168" i="66" s="1"/>
  <c r="B169" i="66" s="1"/>
  <c r="B170" i="66" s="1"/>
  <c r="B171" i="66" s="1"/>
  <c r="B172" i="66" s="1"/>
  <c r="B152" i="66"/>
  <c r="B153" i="66" s="1"/>
  <c r="B154" i="66" s="1"/>
  <c r="B94" i="66"/>
  <c r="B60" i="66"/>
  <c r="B61" i="66" s="1"/>
  <c r="B62" i="66" s="1"/>
  <c r="B73" i="66"/>
  <c r="B74" i="66" s="1"/>
  <c r="B75" i="66" s="1"/>
  <c r="B76" i="66" s="1"/>
  <c r="B77" i="66" s="1"/>
  <c r="B78" i="66" s="1"/>
  <c r="B79" i="66" s="1"/>
  <c r="B80" i="66" s="1"/>
  <c r="B140" i="66"/>
  <c r="B119" i="66"/>
  <c r="B106" i="66"/>
  <c r="B107" i="66" s="1"/>
  <c r="B108" i="66" s="1"/>
  <c r="B48" i="66"/>
  <c r="B27" i="66"/>
  <c r="B28" i="66" s="1"/>
  <c r="B29" i="66" s="1"/>
  <c r="B30" i="66" s="1"/>
  <c r="B31" i="66" s="1"/>
  <c r="B32" i="66" s="1"/>
  <c r="B33" i="66" s="1"/>
  <c r="B34" i="66" s="1"/>
  <c r="B13" i="66"/>
  <c r="P126" i="68" a="1"/>
  <c r="P126" i="68" s="1"/>
  <c r="I126" i="68" a="1"/>
  <c r="I126" i="68" s="1"/>
  <c r="P135" i="68" a="1"/>
  <c r="P135" i="68" s="1"/>
  <c r="I135" i="68" a="1"/>
  <c r="I135" i="68" s="1"/>
  <c r="B169" i="68"/>
  <c r="B136" i="68"/>
  <c r="B180" i="68"/>
  <c r="B90" i="68"/>
  <c r="B80" i="68"/>
  <c r="B52" i="68"/>
  <c r="B158" i="68"/>
  <c r="B42" i="68"/>
  <c r="B25" i="68"/>
  <c r="B127" i="68"/>
  <c r="B128" i="68" s="1"/>
  <c r="B63" i="68"/>
  <c r="B101" i="68"/>
  <c r="B226" i="66"/>
  <c r="B227" i="66" s="1"/>
  <c r="B228" i="66" s="1"/>
  <c r="B198" i="66"/>
  <c r="B199" i="66" s="1"/>
  <c r="B200" i="66" s="1"/>
  <c r="B186" i="66"/>
  <c r="B14" i="66"/>
  <c r="B16" i="66" s="1"/>
  <c r="B14" i="68"/>
  <c r="I14" i="68" s="1" a="1"/>
  <c r="I14" i="68" s="1"/>
  <c r="B119" i="68"/>
  <c r="B120" i="68" s="1"/>
  <c r="B18" i="66" l="1"/>
  <c r="B173" i="66"/>
  <c r="B174" i="66" s="1"/>
  <c r="B175" i="66" s="1"/>
  <c r="B95" i="66"/>
  <c r="B81" i="66"/>
  <c r="B82" i="66" s="1"/>
  <c r="B83" i="66" s="1"/>
  <c r="B84" i="66" s="1"/>
  <c r="B141" i="66"/>
  <c r="B120" i="66"/>
  <c r="B49" i="66"/>
  <c r="B35" i="66"/>
  <c r="B36" i="66" s="1"/>
  <c r="B37" i="66" s="1"/>
  <c r="B15" i="66"/>
  <c r="P14" i="68" a="1"/>
  <c r="P14" i="68" s="1"/>
  <c r="I25" i="68" a="1"/>
  <c r="I25" i="68" s="1"/>
  <c r="P25" i="68" a="1"/>
  <c r="P25" i="68" s="1"/>
  <c r="P169" i="68" a="1"/>
  <c r="P169" i="68" s="1"/>
  <c r="I169" i="68" a="1"/>
  <c r="I169" i="68" s="1"/>
  <c r="P42" i="68" a="1"/>
  <c r="P42" i="68" s="1"/>
  <c r="I42" i="68" a="1"/>
  <c r="I42" i="68" s="1"/>
  <c r="P158" i="68" a="1"/>
  <c r="P158" i="68" s="1"/>
  <c r="I158" i="68" a="1"/>
  <c r="I158" i="68" s="1"/>
  <c r="I180" i="68" a="1"/>
  <c r="I180" i="68" s="1"/>
  <c r="P180" i="68" a="1"/>
  <c r="P180" i="68" s="1"/>
  <c r="B102" i="68"/>
  <c r="B91" i="68"/>
  <c r="B92" i="68" s="1"/>
  <c r="B26" i="68"/>
  <c r="B81" i="68"/>
  <c r="B82" i="68" s="1"/>
  <c r="B170" i="68"/>
  <c r="B171" i="68" s="1"/>
  <c r="B172" i="68" s="1"/>
  <c r="B53" i="68"/>
  <c r="B54" i="68" s="1"/>
  <c r="B43" i="68"/>
  <c r="B44" i="68" s="1"/>
  <c r="B137" i="68"/>
  <c r="B64" i="68"/>
  <c r="B159" i="68"/>
  <c r="B160" i="68" s="1"/>
  <c r="B181" i="68"/>
  <c r="B182" i="68" s="1"/>
  <c r="B201" i="66"/>
  <c r="B187" i="66"/>
  <c r="B155" i="66"/>
  <c r="B156" i="66" s="1"/>
  <c r="B15" i="68"/>
  <c r="B17" i="66" l="1"/>
  <c r="B96" i="66"/>
  <c r="B142" i="66"/>
  <c r="B121" i="66"/>
  <c r="B50" i="66"/>
  <c r="B202" i="66"/>
  <c r="B203" i="66" s="1"/>
  <c r="B138" i="68"/>
  <c r="B65" i="68"/>
  <c r="B27" i="68"/>
  <c r="B103" i="68"/>
  <c r="B109" i="66"/>
  <c r="B110" i="66" s="1"/>
  <c r="B188" i="66"/>
  <c r="B63" i="66"/>
  <c r="B64" i="66" s="1"/>
  <c r="B229" i="66"/>
  <c r="B230" i="66" s="1"/>
  <c r="B231" i="66" s="1"/>
  <c r="B217" i="66"/>
  <c r="B218" i="66" s="1"/>
  <c r="B122" i="66"/>
  <c r="B16" i="68"/>
  <c r="B97" i="66" l="1"/>
  <c r="B98" i="66" s="1"/>
  <c r="B143" i="66"/>
  <c r="B144" i="66" s="1"/>
  <c r="B189" i="66"/>
  <c r="B190" i="66" s="1"/>
  <c r="B28" i="68"/>
  <c r="B29" i="68" s="1"/>
  <c r="B30" i="68" s="1"/>
  <c r="B66" i="68"/>
  <c r="B67" i="68" s="1"/>
  <c r="B68" i="68" s="1"/>
  <c r="B104" i="68"/>
  <c r="B105" i="68" s="1"/>
  <c r="B106" i="68" s="1"/>
  <c r="B139" i="68"/>
  <c r="B123" i="66"/>
  <c r="P139" i="68" l="1" a="1"/>
  <c r="P139" i="68" s="1"/>
  <c r="I139" i="68" a="1"/>
  <c r="I139" i="68" s="1"/>
  <c r="B140" i="68"/>
  <c r="B141" i="68" s="1"/>
  <c r="B142" i="68" s="1"/>
  <c r="B124" i="66"/>
  <c r="B107" i="68" l="1"/>
  <c r="B69" i="68"/>
  <c r="B31" i="68"/>
  <c r="B125" i="66"/>
  <c r="B126" i="66" s="1"/>
  <c r="B127" i="66" l="1"/>
  <c r="B128" i="66" s="1"/>
  <c r="B129" i="66" s="1"/>
  <c r="B130" i="66" s="1"/>
  <c r="B51" i="66"/>
  <c r="B52" i="66" s="1"/>
  <c r="P31" i="68" a="1"/>
  <c r="P31" i="68" s="1"/>
  <c r="I31" i="68" a="1"/>
  <c r="I31" i="68" s="1"/>
  <c r="B108" i="68"/>
  <c r="B109" i="68" s="1"/>
  <c r="B110" i="68" s="1"/>
  <c r="B70" i="68"/>
  <c r="B71" i="68" s="1"/>
  <c r="B72" i="68" s="1"/>
  <c r="B32" i="68"/>
  <c r="B33" i="68" s="1"/>
  <c r="B34" i="68" s="1"/>
  <c r="B176" i="66" l="1"/>
  <c r="B177" i="66" s="1"/>
  <c r="B178" i="66" s="1"/>
  <c r="B131" i="66"/>
  <c r="B132" i="66" s="1"/>
  <c r="B38" i="66"/>
  <c r="B39" i="66" s="1"/>
  <c r="B40" i="66" s="1"/>
  <c r="B85" i="66"/>
  <c r="B86" i="66" s="1"/>
  <c r="M4" i="66" l="1"/>
  <c r="O3" i="66"/>
  <c r="P4" i="66" s="1"/>
  <c r="H3" i="66"/>
  <c r="J4" i="66" s="1"/>
  <c r="P16" i="66" l="1" a="1"/>
  <c r="P16" i="66" s="1"/>
  <c r="P167" i="66" a="1"/>
  <c r="P167" i="66" s="1"/>
  <c r="P175" i="66" a="1"/>
  <c r="P175" i="66" s="1"/>
  <c r="P201" i="66" a="1"/>
  <c r="P201" i="66" s="1"/>
  <c r="P50" i="66" a="1"/>
  <c r="P50" i="66" s="1"/>
  <c r="P188" i="66" a="1"/>
  <c r="P188" i="66" s="1"/>
  <c r="P229" i="66" a="1"/>
  <c r="P229" i="66" s="1"/>
  <c r="P154" i="66" a="1"/>
  <c r="P154" i="66" s="1"/>
  <c r="P37" i="66" a="1"/>
  <c r="P37" i="66" s="1"/>
  <c r="P21" i="66" a="1"/>
  <c r="P21" i="66" s="1"/>
  <c r="P206" i="66" a="1"/>
  <c r="P206" i="66" s="1"/>
  <c r="P215" i="66" a="1"/>
  <c r="P215" i="66" s="1"/>
  <c r="P29" i="66" a="1"/>
  <c r="P29" i="66" s="1"/>
  <c r="P159" i="66" a="1"/>
  <c r="P159" i="66" s="1"/>
  <c r="O4" i="66"/>
  <c r="H4" i="66"/>
  <c r="I4" i="66"/>
  <c r="Q4" i="66"/>
  <c r="K4" i="66"/>
  <c r="R4" i="66"/>
  <c r="F4" i="66"/>
  <c r="I16" i="66" l="1" a="1"/>
  <c r="I16" i="66" s="1"/>
  <c r="I159" i="66" a="1"/>
  <c r="I159" i="66" s="1"/>
  <c r="I229" i="66" a="1"/>
  <c r="I229" i="66" s="1"/>
  <c r="I201" i="66" a="1"/>
  <c r="I201" i="66" s="1"/>
  <c r="I175" i="66" a="1"/>
  <c r="I175" i="66" s="1"/>
  <c r="I154" i="66" a="1"/>
  <c r="I154" i="66" s="1"/>
  <c r="I37" i="66" a="1"/>
  <c r="I37" i="66" s="1"/>
  <c r="I29" i="66" a="1"/>
  <c r="I29" i="66" s="1"/>
  <c r="I21" i="66" a="1"/>
  <c r="I21" i="66" s="1"/>
  <c r="I206" i="66" a="1"/>
  <c r="I206" i="66" s="1"/>
  <c r="I215" i="66" a="1"/>
  <c r="I215" i="66" s="1"/>
  <c r="I188" i="66" a="1"/>
  <c r="I188" i="66" s="1"/>
  <c r="I167" i="66" a="1"/>
  <c r="I167" i="66" s="1"/>
  <c r="I50" i="66" a="1"/>
  <c r="I50" i="66" s="1"/>
  <c r="M4" i="52"/>
  <c r="N273" i="58"/>
  <c r="N272" i="58"/>
  <c r="N271" i="58"/>
  <c r="N270" i="58"/>
  <c r="N269" i="58"/>
  <c r="N268" i="58"/>
  <c r="N267" i="58"/>
  <c r="N266" i="58"/>
  <c r="N265" i="58"/>
  <c r="N264" i="58"/>
  <c r="N263" i="58"/>
  <c r="N262" i="58"/>
  <c r="N261" i="58"/>
  <c r="N260" i="58"/>
  <c r="N259" i="58"/>
  <c r="N258" i="58"/>
  <c r="N257" i="58"/>
  <c r="N256" i="58"/>
  <c r="N255" i="58"/>
  <c r="N254" i="58"/>
  <c r="N253" i="58"/>
  <c r="N252" i="58"/>
  <c r="N251" i="58"/>
  <c r="N250" i="58"/>
  <c r="N249" i="58"/>
  <c r="N248" i="58"/>
  <c r="N247" i="58"/>
  <c r="H7" i="61" l="1"/>
  <c r="I7" i="61"/>
  <c r="M8" i="61"/>
  <c r="K8" i="61"/>
  <c r="J8" i="61"/>
  <c r="I8" i="61"/>
  <c r="H8" i="61"/>
  <c r="E8" i="61"/>
  <c r="C8" i="61"/>
  <c r="M7" i="61"/>
  <c r="K7" i="61"/>
  <c r="J7" i="61"/>
  <c r="F7" i="61"/>
  <c r="E7" i="61"/>
  <c r="C7" i="61"/>
  <c r="M6" i="61"/>
  <c r="K6" i="61"/>
  <c r="J6" i="61"/>
  <c r="I6" i="61"/>
  <c r="H6" i="61"/>
  <c r="F6" i="61"/>
  <c r="E6" i="61"/>
  <c r="C6" i="61"/>
  <c r="M5" i="61"/>
  <c r="K5" i="61"/>
  <c r="J5" i="61"/>
  <c r="I5" i="61"/>
  <c r="H5" i="61"/>
  <c r="F5" i="61"/>
  <c r="E5" i="61"/>
  <c r="C5" i="61"/>
  <c r="F65" i="52" l="1" a="1"/>
  <c r="F65" i="52" s="1"/>
  <c r="F96" i="52" a="1"/>
  <c r="F96" i="52" s="1"/>
  <c r="F34" i="52" a="1"/>
  <c r="F34" i="52" s="1"/>
  <c r="E12" i="114" a="1"/>
  <c r="E12" i="114" s="1"/>
  <c r="E11" i="114" s="1"/>
  <c r="E12" i="115" a="1"/>
  <c r="E12" i="115" s="1"/>
  <c r="E11" i="115" s="1"/>
  <c r="E12" i="116" a="1"/>
  <c r="E12" i="116" s="1"/>
  <c r="E11" i="116" s="1"/>
  <c r="E12" i="113" a="1"/>
  <c r="E12" i="113" s="1"/>
  <c r="E11" i="113" s="1"/>
  <c r="E12" i="108" a="1"/>
  <c r="E12" i="108" s="1"/>
  <c r="E11" i="108" s="1"/>
  <c r="F55" i="98" a="1"/>
  <c r="F55" i="98" s="1"/>
  <c r="F82" i="98" a="1"/>
  <c r="F82" i="98" s="1"/>
  <c r="F135" i="98" a="1"/>
  <c r="F135" i="98" s="1"/>
  <c r="F28" i="98" a="1"/>
  <c r="F28" i="98" s="1"/>
  <c r="F54" i="98" a="1"/>
  <c r="F54" i="98" s="1"/>
  <c r="F109" i="98" a="1"/>
  <c r="F109" i="98" s="1"/>
  <c r="F27" i="98" a="1"/>
  <c r="F27" i="98" s="1"/>
  <c r="F108" i="98" a="1"/>
  <c r="F108" i="98" s="1"/>
  <c r="F81" i="98" a="1"/>
  <c r="F81" i="98" s="1"/>
  <c r="F110" i="98" a="1"/>
  <c r="F110" i="98" s="1"/>
  <c r="F136" i="98" a="1"/>
  <c r="F136" i="98" s="1"/>
  <c r="F29" i="98" a="1"/>
  <c r="F29" i="98" s="1"/>
  <c r="F83" i="98" a="1"/>
  <c r="F83" i="98" s="1"/>
  <c r="F56" i="98" a="1"/>
  <c r="F56" i="98" s="1"/>
  <c r="F57" i="98" a="1"/>
  <c r="F57" i="98" s="1"/>
  <c r="F111" i="98" a="1"/>
  <c r="F111" i="98" s="1"/>
  <c r="F84" i="98" a="1"/>
  <c r="F84" i="98" s="1"/>
  <c r="F137" i="98" a="1"/>
  <c r="F137" i="98" s="1"/>
  <c r="F30" i="98" a="1"/>
  <c r="F30" i="98" s="1"/>
  <c r="F58" i="98" a="1"/>
  <c r="F58" i="98" s="1"/>
  <c r="F112" i="98" a="1"/>
  <c r="F112" i="98" s="1"/>
  <c r="F138" i="98" a="1"/>
  <c r="F138" i="98" s="1"/>
  <c r="F31" i="98" a="1"/>
  <c r="F31" i="98" s="1"/>
  <c r="F85" i="98" a="1"/>
  <c r="F85" i="98" s="1"/>
  <c r="F139" i="98" a="1"/>
  <c r="F139" i="98" s="1"/>
  <c r="F116" i="68" a="1"/>
  <c r="F116" i="68" s="1"/>
  <c r="F178" i="68" a="1"/>
  <c r="F178" i="68" s="1"/>
  <c r="F78" i="68" a="1"/>
  <c r="F78" i="68" s="1"/>
  <c r="F40" i="68" a="1"/>
  <c r="F40" i="68" s="1"/>
  <c r="F185" i="66" a="1"/>
  <c r="F185" i="66" s="1"/>
  <c r="F225" i="66" a="1"/>
  <c r="F225" i="66" s="1"/>
  <c r="F47" i="66" a="1"/>
  <c r="F47" i="66" s="1"/>
  <c r="F48" i="66" a="1"/>
  <c r="F48" i="66" s="1"/>
  <c r="F227" i="66" a="1"/>
  <c r="F227" i="66" s="1"/>
  <c r="F49" i="66" a="1"/>
  <c r="F49" i="66" s="1"/>
  <c r="F50" i="66" a="1"/>
  <c r="F50" i="66" s="1"/>
  <c r="L10" i="87" a="1"/>
  <c r="L10" i="87" s="1"/>
  <c r="L16" i="87" s="1"/>
  <c r="L17" i="87" s="1"/>
  <c r="L18" i="87" s="1"/>
  <c r="M10" i="87" a="1"/>
  <c r="M10" i="87" s="1"/>
  <c r="F67" i="52" a="1"/>
  <c r="F67" i="52" s="1"/>
  <c r="F66" i="52" a="1"/>
  <c r="F66" i="52" s="1"/>
  <c r="F97" i="52" a="1"/>
  <c r="F97" i="52" s="1"/>
  <c r="F125" i="52" a="1"/>
  <c r="F125" i="52" s="1"/>
  <c r="F35" i="52" a="1"/>
  <c r="F35" i="52" s="1"/>
  <c r="F153" i="52" a="1"/>
  <c r="F153" i="52" s="1"/>
  <c r="F80" i="68" a="1"/>
  <c r="F80" i="68" s="1"/>
  <c r="F188" i="66" a="1"/>
  <c r="F188" i="66" s="1"/>
  <c r="F180" i="68" a="1"/>
  <c r="F180" i="68" s="1"/>
  <c r="F42" i="68" a="1"/>
  <c r="F42" i="68" s="1"/>
  <c r="F148" i="68" a="1"/>
  <c r="F148" i="68" s="1"/>
  <c r="F229" i="66" a="1"/>
  <c r="F229" i="66" s="1"/>
  <c r="F118" i="68" a="1"/>
  <c r="F118" i="68" s="1"/>
  <c r="F175" i="68" a="1"/>
  <c r="F175" i="68" s="1"/>
  <c r="F113" i="68" a="1"/>
  <c r="F113" i="68" s="1"/>
  <c r="F176" i="68" a="1"/>
  <c r="F176" i="68" s="1"/>
  <c r="F38" i="68" a="1"/>
  <c r="F38" i="68" s="1"/>
  <c r="F145" i="68" a="1"/>
  <c r="F145" i="68" s="1"/>
  <c r="F37" i="68" a="1"/>
  <c r="F37" i="68" s="1"/>
  <c r="F146" i="68" a="1"/>
  <c r="F146" i="68" s="1"/>
  <c r="F114" i="68" a="1"/>
  <c r="F114" i="68" s="1"/>
  <c r="F75" i="68" a="1"/>
  <c r="F75" i="68" s="1"/>
  <c r="F223" i="66" a="1"/>
  <c r="F223" i="66" s="1"/>
  <c r="F177" i="68" a="1"/>
  <c r="F177" i="68" s="1"/>
  <c r="F76" i="68" a="1"/>
  <c r="F76" i="68" s="1"/>
  <c r="F45" i="66" a="1"/>
  <c r="F45" i="66" s="1"/>
  <c r="F39" i="68" a="1"/>
  <c r="F39" i="68" s="1"/>
  <c r="F183" i="66" a="1"/>
  <c r="F183" i="66" s="1"/>
  <c r="F77" i="68" a="1"/>
  <c r="F77" i="68" s="1"/>
  <c r="F147" i="68" a="1"/>
  <c r="F147" i="68" s="1"/>
  <c r="F179" i="68" a="1"/>
  <c r="F179" i="68" s="1"/>
  <c r="F41" i="68" a="1"/>
  <c r="F41" i="68" s="1"/>
  <c r="F79" i="68" a="1"/>
  <c r="F79" i="68" s="1"/>
  <c r="F115" i="68" a="1"/>
  <c r="F115" i="68" s="1"/>
  <c r="F117" i="68" a="1"/>
  <c r="F117" i="68" s="1"/>
  <c r="F151" i="52" a="1"/>
  <c r="F151" i="52" s="1"/>
  <c r="F148" i="52" a="1"/>
  <c r="F148" i="52" s="1"/>
  <c r="F150" i="52" a="1"/>
  <c r="F150" i="52" s="1"/>
  <c r="F149" i="52" a="1"/>
  <c r="F149" i="52" s="1"/>
  <c r="F152" i="52" a="1"/>
  <c r="F152" i="52" s="1"/>
  <c r="F94" i="52" a="1"/>
  <c r="F94" i="52" s="1"/>
  <c r="F123" i="52" a="1"/>
  <c r="F123" i="52" s="1"/>
  <c r="F124" i="52" a="1"/>
  <c r="F124" i="52" s="1"/>
  <c r="F95" i="52" a="1"/>
  <c r="F95" i="52" s="1"/>
  <c r="J4" i="61"/>
  <c r="H4" i="61"/>
  <c r="C4" i="61"/>
  <c r="F4" i="61"/>
  <c r="K4" i="61"/>
  <c r="E4" i="61"/>
  <c r="M4" i="61"/>
  <c r="I4" i="61"/>
  <c r="H15" i="57" a="1"/>
  <c r="H33" i="57" a="1"/>
  <c r="H27" i="57" a="1"/>
  <c r="H21" i="57" a="1"/>
  <c r="H27" i="57" l="1"/>
  <c r="H33" i="57"/>
  <c r="H15" i="57"/>
  <c r="H21" i="57"/>
  <c r="J229" i="66"/>
  <c r="Q229" i="66"/>
  <c r="J180" i="68"/>
  <c r="Q180" i="68"/>
  <c r="J148" i="68"/>
  <c r="Q148" i="68"/>
  <c r="J188" i="66"/>
  <c r="Q188" i="66"/>
  <c r="Q50" i="66"/>
  <c r="J50" i="66"/>
  <c r="J42" i="68"/>
  <c r="Q42" i="68"/>
  <c r="O3" i="52" l="1"/>
  <c r="R4" i="52" s="1"/>
  <c r="H3" i="52"/>
  <c r="H9" i="57" a="1"/>
  <c r="K4" i="52" l="1"/>
  <c r="H4" i="52"/>
  <c r="H9" i="57"/>
  <c r="F4" i="52"/>
  <c r="I4" i="52"/>
  <c r="J4" i="52"/>
  <c r="P4" i="52"/>
  <c r="O4" i="52"/>
  <c r="Q4" i="52"/>
  <c r="P9" i="52" l="1" a="1"/>
  <c r="P9" i="52" s="1"/>
  <c r="H9" i="52" a="1"/>
  <c r="H9" i="52" s="1"/>
  <c r="H21" i="52" a="1"/>
  <c r="H21" i="52" s="1"/>
  <c r="H17" i="52" a="1"/>
  <c r="H17" i="52" s="1"/>
  <c r="H32" i="52" a="1"/>
  <c r="H32" i="52" s="1"/>
  <c r="H18" i="52" a="1"/>
  <c r="H18" i="52" s="1"/>
  <c r="H20" i="52" a="1"/>
  <c r="H20" i="52" s="1"/>
  <c r="I130" i="52" a="1"/>
  <c r="I130" i="52" s="1"/>
  <c r="I71" i="52" a="1"/>
  <c r="I71" i="52" s="1"/>
  <c r="I94" i="52" a="1"/>
  <c r="I94" i="52" s="1"/>
  <c r="I151" i="52" a="1"/>
  <c r="I151" i="52" s="1"/>
  <c r="I79" i="52" a="1"/>
  <c r="I79" i="52" s="1"/>
  <c r="I137" i="52" a="1"/>
  <c r="I137" i="52" s="1"/>
  <c r="I82" i="52" a="1"/>
  <c r="I82" i="52" s="1"/>
  <c r="I140" i="52" a="1"/>
  <c r="I140" i="52" s="1"/>
  <c r="I85" i="52" a="1"/>
  <c r="I85" i="52" s="1"/>
  <c r="P151" i="52" a="1"/>
  <c r="P151" i="52" s="1"/>
  <c r="P71" i="52" a="1"/>
  <c r="P71" i="52" s="1"/>
  <c r="P94" i="52" a="1"/>
  <c r="P94" i="52" s="1"/>
  <c r="P130" i="52" a="1"/>
  <c r="P130" i="52" s="1"/>
  <c r="P79" i="52" a="1"/>
  <c r="P79" i="52" s="1"/>
  <c r="P137" i="52" a="1"/>
  <c r="P137" i="52" s="1"/>
  <c r="P82" i="52" a="1"/>
  <c r="P82" i="52" s="1"/>
  <c r="P140" i="52" a="1"/>
  <c r="P140" i="52" s="1"/>
  <c r="P85" i="52" a="1"/>
  <c r="P85" i="52" s="1"/>
  <c r="O71" i="52" a="1"/>
  <c r="O71" i="52" s="1"/>
  <c r="O94" i="52" a="1"/>
  <c r="O94" i="52" s="1"/>
  <c r="O151" i="52" a="1"/>
  <c r="O151" i="52" s="1"/>
  <c r="O130" i="52" a="1"/>
  <c r="O130" i="52" s="1"/>
  <c r="O79" i="52" a="1"/>
  <c r="O79" i="52" s="1"/>
  <c r="O138" i="52" a="1"/>
  <c r="O138" i="52" s="1"/>
  <c r="O95" i="52" a="1"/>
  <c r="O95" i="52" s="1"/>
  <c r="O137" i="52" a="1"/>
  <c r="O137" i="52" s="1"/>
  <c r="O152" i="52" a="1"/>
  <c r="O152" i="52" s="1"/>
  <c r="O72" i="52" a="1"/>
  <c r="O72" i="52" s="1"/>
  <c r="O131" i="52" a="1"/>
  <c r="O131" i="52" s="1"/>
  <c r="O80" i="52" a="1"/>
  <c r="O80" i="52" s="1"/>
  <c r="O140" i="52" a="1"/>
  <c r="O140" i="52" s="1"/>
  <c r="O141" i="52" a="1"/>
  <c r="O141" i="52" s="1"/>
  <c r="O82" i="52" a="1"/>
  <c r="O82" i="52" s="1"/>
  <c r="O83" i="52" a="1"/>
  <c r="O83" i="52" s="1"/>
  <c r="O85" i="52" a="1"/>
  <c r="O85" i="52" s="1"/>
  <c r="O86" i="52" a="1"/>
  <c r="O86" i="52" s="1"/>
  <c r="H151" i="52" a="1"/>
  <c r="H151" i="52" s="1"/>
  <c r="H130" i="52" a="1"/>
  <c r="H130" i="52" s="1"/>
  <c r="H71" i="52" a="1"/>
  <c r="H71" i="52" s="1"/>
  <c r="H94" i="52" a="1"/>
  <c r="H94" i="52" s="1"/>
  <c r="H137" i="52" a="1"/>
  <c r="H137" i="52" s="1"/>
  <c r="H95" i="52" a="1"/>
  <c r="H95" i="52" s="1"/>
  <c r="H152" i="52" a="1"/>
  <c r="H152" i="52" s="1"/>
  <c r="H138" i="52" a="1"/>
  <c r="H138" i="52" s="1"/>
  <c r="H72" i="52" a="1"/>
  <c r="H72" i="52" s="1"/>
  <c r="H131" i="52" a="1"/>
  <c r="H131" i="52" s="1"/>
  <c r="H79" i="52" a="1"/>
  <c r="H79" i="52" s="1"/>
  <c r="H80" i="52" a="1"/>
  <c r="H80" i="52" s="1"/>
  <c r="H141" i="52" a="1"/>
  <c r="H141" i="52" s="1"/>
  <c r="H140" i="52" a="1"/>
  <c r="H140" i="52" s="1"/>
  <c r="H82" i="52" a="1"/>
  <c r="H82" i="52" s="1"/>
  <c r="H83" i="52" a="1"/>
  <c r="H83" i="52" s="1"/>
  <c r="H85" i="52" a="1"/>
  <c r="H85" i="52" s="1"/>
  <c r="H86" i="52" a="1"/>
  <c r="H86" i="52" s="1"/>
  <c r="P63" i="52" a="1"/>
  <c r="P63" i="52" s="1"/>
  <c r="P123" i="52" a="1"/>
  <c r="P123" i="52" s="1"/>
  <c r="P102" i="52" a="1"/>
  <c r="P102" i="52" s="1"/>
  <c r="P109" i="52" a="1"/>
  <c r="P109" i="52" s="1"/>
  <c r="P40" i="52" a="1"/>
  <c r="P40" i="52" s="1"/>
  <c r="P48" i="52" a="1"/>
  <c r="P48" i="52" s="1"/>
  <c r="P112" i="52" a="1"/>
  <c r="P112" i="52" s="1"/>
  <c r="P51" i="52" a="1"/>
  <c r="P51" i="52" s="1"/>
  <c r="P115" i="52" a="1"/>
  <c r="P115" i="52" s="1"/>
  <c r="P54" i="52" a="1"/>
  <c r="P54" i="52" s="1"/>
  <c r="O64" i="52" a="1"/>
  <c r="O64" i="52" s="1"/>
  <c r="O63" i="52" a="1"/>
  <c r="O63" i="52" s="1"/>
  <c r="O109" i="52" a="1"/>
  <c r="O109" i="52" s="1"/>
  <c r="O123" i="52" a="1"/>
  <c r="O123" i="52" s="1"/>
  <c r="O102" i="52" a="1"/>
  <c r="O102" i="52" s="1"/>
  <c r="O103" i="52" a="1"/>
  <c r="O103" i="52" s="1"/>
  <c r="O124" i="52" a="1"/>
  <c r="O124" i="52" s="1"/>
  <c r="O110" i="52" a="1"/>
  <c r="O110" i="52" s="1"/>
  <c r="O40" i="52" a="1"/>
  <c r="O40" i="52" s="1"/>
  <c r="O41" i="52" a="1"/>
  <c r="O41" i="52" s="1"/>
  <c r="O48" i="52" a="1"/>
  <c r="O48" i="52" s="1"/>
  <c r="O49" i="52" a="1"/>
  <c r="O49" i="52" s="1"/>
  <c r="O112" i="52" a="1"/>
  <c r="O112" i="52" s="1"/>
  <c r="O113" i="52" a="1"/>
  <c r="O113" i="52" s="1"/>
  <c r="O51" i="52" a="1"/>
  <c r="O51" i="52" s="1"/>
  <c r="O52" i="52" a="1"/>
  <c r="O52" i="52" s="1"/>
  <c r="O115" i="52" a="1"/>
  <c r="O115" i="52" s="1"/>
  <c r="O116" i="52" a="1"/>
  <c r="O116" i="52" s="1"/>
  <c r="O54" i="52" a="1"/>
  <c r="O54" i="52" s="1"/>
  <c r="O55" i="52" a="1"/>
  <c r="O55" i="52" s="1"/>
  <c r="I63" i="52" a="1"/>
  <c r="I63" i="52" s="1"/>
  <c r="I109" i="52" a="1"/>
  <c r="I109" i="52" s="1"/>
  <c r="I123" i="52" a="1"/>
  <c r="I123" i="52" s="1"/>
  <c r="I102" i="52" a="1"/>
  <c r="I102" i="52" s="1"/>
  <c r="I40" i="52" a="1"/>
  <c r="I40" i="52" s="1"/>
  <c r="I48" i="52" a="1"/>
  <c r="I48" i="52" s="1"/>
  <c r="I112" i="52" a="1"/>
  <c r="I112" i="52" s="1"/>
  <c r="I51" i="52" a="1"/>
  <c r="I51" i="52" s="1"/>
  <c r="I115" i="52" a="1"/>
  <c r="I115" i="52" s="1"/>
  <c r="I54" i="52" a="1"/>
  <c r="I54" i="52" s="1"/>
  <c r="H64" i="52" a="1"/>
  <c r="H64" i="52" s="1"/>
  <c r="H63" i="52" a="1"/>
  <c r="H63" i="52" s="1"/>
  <c r="H123" i="52" a="1"/>
  <c r="H123" i="52" s="1"/>
  <c r="H102" i="52" a="1"/>
  <c r="H102" i="52" s="1"/>
  <c r="H109" i="52" a="1"/>
  <c r="H109" i="52" s="1"/>
  <c r="H124" i="52" a="1"/>
  <c r="H124" i="52" s="1"/>
  <c r="H103" i="52" a="1"/>
  <c r="H103" i="52" s="1"/>
  <c r="H110" i="52" a="1"/>
  <c r="H110" i="52" s="1"/>
  <c r="H40" i="52" a="1"/>
  <c r="H40" i="52" s="1"/>
  <c r="H48" i="52" a="1"/>
  <c r="H48" i="52" s="1"/>
  <c r="H41" i="52" a="1"/>
  <c r="H41" i="52" s="1"/>
  <c r="H49" i="52" a="1"/>
  <c r="H49" i="52" s="1"/>
  <c r="H112" i="52" a="1"/>
  <c r="H112" i="52" s="1"/>
  <c r="H113" i="52" a="1"/>
  <c r="H113" i="52" s="1"/>
  <c r="H51" i="52" a="1"/>
  <c r="H51" i="52" s="1"/>
  <c r="H52" i="52" a="1"/>
  <c r="H52" i="52" s="1"/>
  <c r="H115" i="52" a="1"/>
  <c r="H115" i="52" s="1"/>
  <c r="H116" i="52" a="1"/>
  <c r="H116" i="52" s="1"/>
  <c r="H54" i="52" a="1"/>
  <c r="H54" i="52" s="1"/>
  <c r="H55" i="52" a="1"/>
  <c r="H55" i="52" s="1"/>
  <c r="H33" i="52" a="1"/>
  <c r="H33" i="52" s="1"/>
  <c r="H23" i="52" a="1"/>
  <c r="H23" i="52" s="1"/>
  <c r="H24" i="52" a="1"/>
  <c r="H24" i="52" s="1"/>
  <c r="O32" i="52" a="1"/>
  <c r="O32" i="52" s="1"/>
  <c r="O33" i="52" a="1"/>
  <c r="O33" i="52" s="1"/>
  <c r="O23" i="52" a="1"/>
  <c r="O23" i="52" s="1"/>
  <c r="O24" i="52" a="1"/>
  <c r="O24" i="52" s="1"/>
  <c r="P32" i="52" a="1"/>
  <c r="P32" i="52" s="1"/>
  <c r="P23" i="52" a="1"/>
  <c r="P23" i="52" s="1"/>
  <c r="I32" i="52" a="1"/>
  <c r="I32" i="52" s="1"/>
  <c r="I23" i="52" a="1"/>
  <c r="I23" i="52" s="1"/>
  <c r="I9" i="52" a="1"/>
  <c r="I9" i="52" s="1"/>
  <c r="H10" i="52" a="1"/>
  <c r="H10" i="52" s="1"/>
  <c r="O9" i="52" a="1"/>
  <c r="O9" i="52" s="1"/>
  <c r="O17" i="52" a="1"/>
  <c r="O17" i="52" s="1"/>
  <c r="O18" i="52" a="1"/>
  <c r="O18" i="52" s="1"/>
  <c r="O10" i="52" a="1"/>
  <c r="O10" i="52" s="1"/>
  <c r="O20" i="52" a="1"/>
  <c r="O20" i="52" s="1"/>
  <c r="O21" i="52" a="1"/>
  <c r="O21" i="52" s="1"/>
  <c r="I17" i="52" a="1"/>
  <c r="I17" i="52" s="1"/>
  <c r="I20" i="52" a="1"/>
  <c r="I20" i="52" s="1"/>
  <c r="P17" i="52" a="1"/>
  <c r="P17" i="52" s="1"/>
  <c r="P20" i="52" a="1"/>
  <c r="P20" i="52" s="1"/>
  <c r="J3" i="58"/>
  <c r="O34" i="52" s="1" a="1"/>
  <c r="O34" i="52" s="1"/>
  <c r="I3" i="58"/>
  <c r="Q151" i="52" l="1"/>
  <c r="P185" i="66" a="1"/>
  <c r="P185" i="66" s="1"/>
  <c r="Q185" i="66" s="1"/>
  <c r="P172" i="66" a="1"/>
  <c r="P172" i="66" s="1"/>
  <c r="P47" i="66" a="1"/>
  <c r="P47" i="66" s="1"/>
  <c r="Q47" i="66" s="1"/>
  <c r="P211" i="66" a="1"/>
  <c r="P211" i="66" s="1"/>
  <c r="P225" i="66" a="1"/>
  <c r="P225" i="66" s="1"/>
  <c r="Q225" i="66" s="1"/>
  <c r="P13" i="66" a="1"/>
  <c r="P13" i="66" s="1"/>
  <c r="P197" i="66" a="1"/>
  <c r="P197" i="66" s="1"/>
  <c r="P26" i="66" a="1"/>
  <c r="P26" i="66" s="1"/>
  <c r="P34" i="66" a="1"/>
  <c r="P34" i="66" s="1"/>
  <c r="P164" i="66" a="1"/>
  <c r="P164" i="66" s="1"/>
  <c r="P151" i="66" a="1"/>
  <c r="P151" i="66" s="1"/>
  <c r="I185" i="66" a="1"/>
  <c r="I185" i="66" s="1"/>
  <c r="J185" i="66" s="1"/>
  <c r="I211" i="66" a="1"/>
  <c r="I211" i="66" s="1"/>
  <c r="I26" i="66" a="1"/>
  <c r="I26" i="66" s="1"/>
  <c r="I225" i="66" a="1"/>
  <c r="I225" i="66" s="1"/>
  <c r="J225" i="66" s="1"/>
  <c r="I34" i="66" a="1"/>
  <c r="I34" i="66" s="1"/>
  <c r="I47" i="66" a="1"/>
  <c r="I47" i="66" s="1"/>
  <c r="J47" i="66" s="1"/>
  <c r="I197" i="66" a="1"/>
  <c r="I197" i="66" s="1"/>
  <c r="I12" i="66" a="1"/>
  <c r="I12" i="66" s="1"/>
  <c r="I172" i="66" a="1"/>
  <c r="I172" i="66" s="1"/>
  <c r="I13" i="66" a="1"/>
  <c r="I13" i="66" s="1"/>
  <c r="I164" i="66" a="1"/>
  <c r="I164" i="66" s="1"/>
  <c r="I151" i="66" a="1"/>
  <c r="I151" i="66" s="1"/>
  <c r="H11" i="52" a="1"/>
  <c r="H11" i="52" s="1"/>
  <c r="P12" i="66" a="1"/>
  <c r="P12" i="66" s="1"/>
  <c r="P10" i="52"/>
  <c r="P11" i="52" a="1"/>
  <c r="P11" i="52" s="1"/>
  <c r="O11" i="52" a="1"/>
  <c r="O11" i="52" s="1"/>
  <c r="H136" i="98" a="1"/>
  <c r="H136" i="98" s="1"/>
  <c r="H109" i="98" a="1"/>
  <c r="H109" i="98" s="1"/>
  <c r="H82" i="98" a="1"/>
  <c r="H82" i="98" s="1"/>
  <c r="I9" i="66" a="1"/>
  <c r="I9" i="66" s="1"/>
  <c r="I11" i="66" a="1"/>
  <c r="I11" i="66" s="1"/>
  <c r="H26" i="52" a="1"/>
  <c r="H26" i="52" s="1"/>
  <c r="H65" i="52" a="1"/>
  <c r="H65" i="52" s="1"/>
  <c r="H88" i="52" a="1"/>
  <c r="H88" i="52" s="1"/>
  <c r="H57" i="52" a="1"/>
  <c r="H57" i="52" s="1"/>
  <c r="H73" i="52" a="1"/>
  <c r="H73" i="52" s="1"/>
  <c r="I57" i="52" a="1"/>
  <c r="I57" i="52" s="1"/>
  <c r="H34" i="52" a="1"/>
  <c r="H34" i="52" s="1"/>
  <c r="P57" i="52" a="1"/>
  <c r="P57" i="52" s="1"/>
  <c r="H96" i="52" a="1"/>
  <c r="H96" i="52" s="1"/>
  <c r="O57" i="52" a="1"/>
  <c r="O57" i="52" s="1"/>
  <c r="O96" i="52" a="1"/>
  <c r="O96" i="52" s="1"/>
  <c r="I34" i="52" a="1"/>
  <c r="I34" i="52" s="1"/>
  <c r="P34" i="52" a="1"/>
  <c r="P34" i="52" s="1"/>
  <c r="Q34" i="52" s="1"/>
  <c r="H42" i="52" a="1"/>
  <c r="H42" i="52" s="1"/>
  <c r="O65" i="52" a="1"/>
  <c r="O65" i="52" s="1"/>
  <c r="I11" i="52" a="1"/>
  <c r="I11" i="52" s="1"/>
  <c r="P42" i="52" a="1"/>
  <c r="P42" i="52" s="1"/>
  <c r="O42" i="52" a="1"/>
  <c r="O42" i="52" s="1"/>
  <c r="I42" i="52" a="1"/>
  <c r="I42" i="52" s="1"/>
  <c r="P73" i="52" a="1"/>
  <c r="P73" i="52" s="1"/>
  <c r="O26" i="52" a="1"/>
  <c r="O26" i="52" s="1"/>
  <c r="I65" i="52" a="1"/>
  <c r="I65" i="52" s="1"/>
  <c r="O73" i="52" a="1"/>
  <c r="O73" i="52" s="1"/>
  <c r="O88" i="52" a="1"/>
  <c r="O88" i="52" s="1"/>
  <c r="I88" i="52" a="1"/>
  <c r="I88" i="52" s="1"/>
  <c r="P65" i="52" a="1"/>
  <c r="P65" i="52" s="1"/>
  <c r="I96" i="52" a="1"/>
  <c r="I96" i="52" s="1"/>
  <c r="I26" i="52" a="1"/>
  <c r="I26" i="52" s="1"/>
  <c r="P88" i="52" a="1"/>
  <c r="P88" i="52" s="1"/>
  <c r="I73" i="52" a="1"/>
  <c r="I73" i="52" s="1"/>
  <c r="P96" i="52" a="1"/>
  <c r="P96" i="52" s="1"/>
  <c r="P26" i="52" a="1"/>
  <c r="P26" i="52" s="1"/>
  <c r="Z32" i="116" a="1"/>
  <c r="Z32" i="116" s="1"/>
  <c r="H32" i="116" a="1"/>
  <c r="H32" i="116" s="1"/>
  <c r="Q32" i="116" a="1"/>
  <c r="Q32" i="116" s="1"/>
  <c r="Z32" i="115" a="1"/>
  <c r="Z32" i="115" s="1"/>
  <c r="Q32" i="115" a="1"/>
  <c r="Q32" i="115" s="1"/>
  <c r="H32" i="115" a="1"/>
  <c r="H32" i="115" s="1"/>
  <c r="Z32" i="114" a="1"/>
  <c r="Z32" i="114" s="1"/>
  <c r="H32" i="114" a="1"/>
  <c r="H32" i="114" s="1"/>
  <c r="Q32" i="114" a="1"/>
  <c r="Q32" i="114" s="1"/>
  <c r="Z32" i="113" a="1"/>
  <c r="Z32" i="113" s="1"/>
  <c r="H32" i="113" a="1"/>
  <c r="H32" i="113" s="1"/>
  <c r="Q32" i="113" a="1"/>
  <c r="Q32" i="113" s="1"/>
  <c r="O10" i="98" a="1"/>
  <c r="O10" i="98" s="1"/>
  <c r="P221" i="66" a="1"/>
  <c r="P221" i="66" s="1"/>
  <c r="H32" i="108" a="1"/>
  <c r="H32" i="108" s="1"/>
  <c r="Z32" i="108" a="1"/>
  <c r="Z32" i="108" s="1"/>
  <c r="Q32" i="108" a="1"/>
  <c r="Q32" i="108" s="1"/>
  <c r="O9" i="98" a="1"/>
  <c r="O9" i="98" s="1"/>
  <c r="O28" i="98" a="1"/>
  <c r="O28" i="98" s="1"/>
  <c r="O136" i="98" a="1"/>
  <c r="O136" i="98" s="1"/>
  <c r="O109" i="98" a="1"/>
  <c r="O109" i="98" s="1"/>
  <c r="O82" i="98" a="1"/>
  <c r="O82" i="98" s="1"/>
  <c r="O55" i="98" a="1"/>
  <c r="O55" i="98" s="1"/>
  <c r="Q55" i="98" s="1"/>
  <c r="H55" i="98" a="1"/>
  <c r="H55" i="98" s="1"/>
  <c r="H46" i="98" a="1"/>
  <c r="H46" i="98" s="1"/>
  <c r="H37" i="98" a="1"/>
  <c r="H37" i="98" s="1"/>
  <c r="H10" i="98" a="1"/>
  <c r="H10" i="98" s="1"/>
  <c r="H19" i="98" a="1"/>
  <c r="H19" i="98" s="1"/>
  <c r="H28" i="98" a="1"/>
  <c r="H28" i="98" s="1"/>
  <c r="H9" i="98" a="1"/>
  <c r="H9" i="98" s="1"/>
  <c r="O63" i="98" a="1"/>
  <c r="O63" i="98" s="1"/>
  <c r="O92" i="98" a="1"/>
  <c r="O92" i="98" s="1"/>
  <c r="O20" i="98" a="1"/>
  <c r="O20" i="98" s="1"/>
  <c r="O91" i="98" a="1"/>
  <c r="O91" i="98" s="1"/>
  <c r="O19" i="98" a="1"/>
  <c r="O19" i="98" s="1"/>
  <c r="H91" i="98" a="1"/>
  <c r="H91" i="98" s="1"/>
  <c r="H92" i="98" a="1"/>
  <c r="H92" i="98" s="1"/>
  <c r="H20" i="98" a="1"/>
  <c r="H20" i="98" s="1"/>
  <c r="H99" i="98" a="1"/>
  <c r="H99" i="98" s="1"/>
  <c r="O90" i="98" a="1"/>
  <c r="O90" i="98" s="1"/>
  <c r="O11" i="98" a="1"/>
  <c r="O11" i="98" s="1"/>
  <c r="O83" i="98" a="1"/>
  <c r="O83" i="98" s="1"/>
  <c r="O36" i="98" a="1"/>
  <c r="O36" i="98" s="1"/>
  <c r="H83" i="98" a="1"/>
  <c r="H83" i="98" s="1"/>
  <c r="H135" i="98" a="1"/>
  <c r="H135" i="98" s="1"/>
  <c r="O99" i="98" a="1"/>
  <c r="O99" i="98" s="1"/>
  <c r="O74" i="98" a="1"/>
  <c r="O74" i="98" s="1"/>
  <c r="O117" i="98" a="1"/>
  <c r="O117" i="98" s="1"/>
  <c r="O73" i="98" a="1"/>
  <c r="O73" i="98" s="1"/>
  <c r="H81" i="98" a="1"/>
  <c r="H81" i="98" s="1"/>
  <c r="H73" i="98" a="1"/>
  <c r="H73" i="98" s="1"/>
  <c r="H11" i="98" a="1"/>
  <c r="H11" i="98" s="1"/>
  <c r="H74" i="98" a="1"/>
  <c r="H74" i="98" s="1"/>
  <c r="H72" i="98" a="1"/>
  <c r="H72" i="98" s="1"/>
  <c r="O137" i="98" a="1"/>
  <c r="O137" i="98" s="1"/>
  <c r="O65" i="98" a="1"/>
  <c r="O65" i="98" s="1"/>
  <c r="O64" i="98" a="1"/>
  <c r="O64" i="98" s="1"/>
  <c r="H64" i="98" a="1"/>
  <c r="H64" i="98" s="1"/>
  <c r="H137" i="98" a="1"/>
  <c r="H137" i="98" s="1"/>
  <c r="H65" i="98" a="1"/>
  <c r="H65" i="98" s="1"/>
  <c r="O135" i="98" a="1"/>
  <c r="O135" i="98" s="1"/>
  <c r="H63" i="98" a="1"/>
  <c r="H63" i="98" s="1"/>
  <c r="H90" i="98" a="1"/>
  <c r="H90" i="98" s="1"/>
  <c r="O128" i="98" a="1"/>
  <c r="O128" i="98" s="1"/>
  <c r="O56" i="98" a="1"/>
  <c r="O56" i="98" s="1"/>
  <c r="O127" i="98" a="1"/>
  <c r="O127" i="98" s="1"/>
  <c r="H127" i="98" a="1"/>
  <c r="H127" i="98" s="1"/>
  <c r="H128" i="98" a="1"/>
  <c r="H128" i="98" s="1"/>
  <c r="H56" i="98" a="1"/>
  <c r="H56" i="98" s="1"/>
  <c r="O126" i="98" a="1"/>
  <c r="O126" i="98" s="1"/>
  <c r="H117" i="98" a="1"/>
  <c r="H117" i="98" s="1"/>
  <c r="H36" i="98" a="1"/>
  <c r="H36" i="98" s="1"/>
  <c r="O119" i="98" a="1"/>
  <c r="O119" i="98" s="1"/>
  <c r="O47" i="98" a="1"/>
  <c r="O47" i="98" s="1"/>
  <c r="O118" i="98" a="1"/>
  <c r="O118" i="98" s="1"/>
  <c r="O46" i="98" a="1"/>
  <c r="O46" i="98" s="1"/>
  <c r="H118" i="98" a="1"/>
  <c r="H118" i="98" s="1"/>
  <c r="H119" i="98" a="1"/>
  <c r="H119" i="98" s="1"/>
  <c r="H47" i="98" a="1"/>
  <c r="H47" i="98" s="1"/>
  <c r="H18" i="98" a="1"/>
  <c r="H18" i="98" s="1"/>
  <c r="O45" i="98" a="1"/>
  <c r="O45" i="98" s="1"/>
  <c r="O54" i="98" a="1"/>
  <c r="O54" i="98" s="1"/>
  <c r="H45" i="98" a="1"/>
  <c r="H45" i="98" s="1"/>
  <c r="H27" i="98" a="1"/>
  <c r="H27" i="98" s="1"/>
  <c r="O110" i="98" a="1"/>
  <c r="O110" i="98" s="1"/>
  <c r="O38" i="98" a="1"/>
  <c r="O38" i="98" s="1"/>
  <c r="O37" i="98" a="1"/>
  <c r="O37" i="98" s="1"/>
  <c r="H110" i="98" a="1"/>
  <c r="H110" i="98" s="1"/>
  <c r="H38" i="98" a="1"/>
  <c r="H38" i="98" s="1"/>
  <c r="H108" i="98" a="1"/>
  <c r="H108" i="98" s="1"/>
  <c r="O81" i="98" a="1"/>
  <c r="O81" i="98" s="1"/>
  <c r="H54" i="98" a="1"/>
  <c r="H54" i="98" s="1"/>
  <c r="O18" i="98" a="1"/>
  <c r="O18" i="98" s="1"/>
  <c r="O101" i="98" a="1"/>
  <c r="O101" i="98" s="1"/>
  <c r="O29" i="98" a="1"/>
  <c r="O29" i="98" s="1"/>
  <c r="O100" i="98" a="1"/>
  <c r="O100" i="98" s="1"/>
  <c r="H100" i="98" a="1"/>
  <c r="H100" i="98" s="1"/>
  <c r="H101" i="98" a="1"/>
  <c r="H101" i="98" s="1"/>
  <c r="H29" i="98" a="1"/>
  <c r="H29" i="98" s="1"/>
  <c r="H126" i="98" a="1"/>
  <c r="H126" i="98" s="1"/>
  <c r="O72" i="98" a="1"/>
  <c r="O72" i="98" s="1"/>
  <c r="O108" i="98" a="1"/>
  <c r="O108" i="98" s="1"/>
  <c r="O27" i="98" a="1"/>
  <c r="O27" i="98" s="1"/>
  <c r="P199" i="66" a="1"/>
  <c r="P199" i="66" s="1"/>
  <c r="I167" i="68" a="1"/>
  <c r="I167" i="68" s="1"/>
  <c r="P12" i="68" a="1"/>
  <c r="P12" i="68" s="1"/>
  <c r="P167" i="68" a="1"/>
  <c r="P167" i="68" s="1"/>
  <c r="P178" i="68" a="1"/>
  <c r="P178" i="68" s="1"/>
  <c r="Q178" i="68" s="1"/>
  <c r="R178" i="68" s="1"/>
  <c r="I40" i="68" a="1"/>
  <c r="I40" i="68" s="1"/>
  <c r="J40" i="68" s="1"/>
  <c r="K40" i="68" s="1"/>
  <c r="I23" i="68" a="1"/>
  <c r="I23" i="68" s="1"/>
  <c r="P40" i="68" a="1"/>
  <c r="P40" i="68" s="1"/>
  <c r="Q40" i="68" s="1"/>
  <c r="R40" i="68" s="1"/>
  <c r="I155" i="68" a="1"/>
  <c r="I155" i="68" s="1"/>
  <c r="P23" i="68" a="1"/>
  <c r="P23" i="68" s="1"/>
  <c r="I12" i="68" a="1"/>
  <c r="I12" i="68" s="1"/>
  <c r="I178" i="68" a="1"/>
  <c r="I178" i="68" s="1"/>
  <c r="J178" i="68" s="1"/>
  <c r="K178" i="68" s="1"/>
  <c r="I156" i="68" a="1"/>
  <c r="I156" i="68" s="1"/>
  <c r="P156" i="68" a="1"/>
  <c r="P156" i="68" s="1"/>
  <c r="P29" i="68" a="1"/>
  <c r="P29" i="68" s="1"/>
  <c r="I29" i="68" a="1"/>
  <c r="I29" i="68" s="1"/>
  <c r="P227" i="66" a="1"/>
  <c r="P227" i="66" s="1"/>
  <c r="Q227" i="66" s="1"/>
  <c r="R227" i="66" s="1"/>
  <c r="P213" i="66" a="1"/>
  <c r="P213" i="66" s="1"/>
  <c r="I227" i="66" a="1"/>
  <c r="I227" i="66" s="1"/>
  <c r="J227" i="66" s="1"/>
  <c r="K227" i="66" s="1"/>
  <c r="I213" i="66" a="1"/>
  <c r="I213" i="66" s="1"/>
  <c r="I199" i="66" a="1"/>
  <c r="I199" i="66" s="1"/>
  <c r="Q94" i="52"/>
  <c r="P160" i="66" a="1"/>
  <c r="P160" i="66" s="1"/>
  <c r="P43" i="66" a="1"/>
  <c r="P43" i="66" s="1"/>
  <c r="P168" i="66" a="1"/>
  <c r="P168" i="66" s="1"/>
  <c r="P147" i="66" a="1"/>
  <c r="P147" i="66" s="1"/>
  <c r="P193" i="66" a="1"/>
  <c r="P193" i="66" s="1"/>
  <c r="P181" i="66" a="1"/>
  <c r="P181" i="66" s="1"/>
  <c r="P113" i="52"/>
  <c r="P64" i="52"/>
  <c r="P18" i="52"/>
  <c r="I113" i="52"/>
  <c r="I64" i="52"/>
  <c r="I18" i="52"/>
  <c r="P110" i="52"/>
  <c r="P55" i="52"/>
  <c r="I110" i="52"/>
  <c r="I55" i="52"/>
  <c r="P152" i="52"/>
  <c r="Q152" i="52" s="1"/>
  <c r="P103" i="52"/>
  <c r="P52" i="52"/>
  <c r="I152" i="52"/>
  <c r="J152" i="52" s="1"/>
  <c r="I103" i="52"/>
  <c r="I52" i="52"/>
  <c r="I138" i="52"/>
  <c r="I86" i="52"/>
  <c r="P131" i="52"/>
  <c r="I131" i="52"/>
  <c r="I33" i="52"/>
  <c r="I10" i="52"/>
  <c r="P141" i="52"/>
  <c r="P95" i="52"/>
  <c r="Q95" i="52" s="1"/>
  <c r="P49" i="52"/>
  <c r="I141" i="52"/>
  <c r="I95" i="52"/>
  <c r="J95" i="52" s="1"/>
  <c r="I49" i="52"/>
  <c r="P41" i="52"/>
  <c r="I41" i="52"/>
  <c r="P33" i="52"/>
  <c r="I21" i="52"/>
  <c r="P138" i="52"/>
  <c r="P86" i="52"/>
  <c r="P83" i="52"/>
  <c r="I83" i="52"/>
  <c r="P124" i="52"/>
  <c r="Q124" i="52" s="1"/>
  <c r="P80" i="52"/>
  <c r="P24" i="52"/>
  <c r="I124" i="52"/>
  <c r="J124" i="52" s="1"/>
  <c r="I80" i="52"/>
  <c r="I24" i="52"/>
  <c r="P116" i="52"/>
  <c r="P72" i="52"/>
  <c r="P21" i="52"/>
  <c r="I116" i="52"/>
  <c r="I72" i="52"/>
  <c r="I168" i="66" a="1"/>
  <c r="I168" i="66" s="1"/>
  <c r="J123" i="52"/>
  <c r="I148" i="52" a="1"/>
  <c r="I148" i="52" s="1"/>
  <c r="H149" i="52" a="1"/>
  <c r="H149" i="52" s="1"/>
  <c r="I150" i="52" a="1"/>
  <c r="I150" i="52" s="1"/>
  <c r="O149" i="52" a="1"/>
  <c r="O149" i="52" s="1"/>
  <c r="O150" i="52" a="1"/>
  <c r="O150" i="52" s="1"/>
  <c r="H150" i="52" a="1"/>
  <c r="H150" i="52" s="1"/>
  <c r="I149" i="52" a="1"/>
  <c r="I149" i="52" s="1"/>
  <c r="P149" i="52" a="1"/>
  <c r="P149" i="52" s="1"/>
  <c r="P148" i="52" a="1"/>
  <c r="P148" i="52" s="1"/>
  <c r="P150" i="52" a="1"/>
  <c r="P150" i="52" s="1"/>
  <c r="O148" i="52" a="1"/>
  <c r="O148" i="52" s="1"/>
  <c r="H148" i="52" a="1"/>
  <c r="H148" i="52" s="1"/>
  <c r="J151" i="52"/>
  <c r="J94" i="52"/>
  <c r="Q123" i="52"/>
  <c r="F15" i="61" a="1"/>
  <c r="F15" i="61" s="1"/>
  <c r="G15" i="61" s="1"/>
  <c r="J16" i="61" a="1"/>
  <c r="J16" i="61" s="1"/>
  <c r="E17" i="61" a="1"/>
  <c r="E17" i="61" s="1"/>
  <c r="C18" i="61" a="1"/>
  <c r="C18" i="61" s="1"/>
  <c r="F197" i="66" s="1" a="1"/>
  <c r="F197" i="66" s="1"/>
  <c r="E15" i="61" a="1"/>
  <c r="E15" i="61" s="1"/>
  <c r="F18" i="61" a="1"/>
  <c r="F18" i="61" s="1"/>
  <c r="F14" i="61" a="1"/>
  <c r="F14" i="61" s="1"/>
  <c r="J15" i="61" a="1"/>
  <c r="J15" i="61" s="1"/>
  <c r="E16" i="61" a="1"/>
  <c r="E16" i="61" s="1"/>
  <c r="C17" i="61" a="1"/>
  <c r="C17" i="61" s="1"/>
  <c r="F13" i="122" s="1"/>
  <c r="F18" i="122" s="1"/>
  <c r="J14" i="61" a="1"/>
  <c r="J14" i="61" s="1"/>
  <c r="F17" i="61" a="1"/>
  <c r="F17" i="61" s="1"/>
  <c r="J18" i="61" a="1"/>
  <c r="J18" i="61" s="1"/>
  <c r="F16" i="61" a="1"/>
  <c r="F16" i="61" s="1"/>
  <c r="J17" i="61" a="1"/>
  <c r="J17" i="61" s="1"/>
  <c r="E18" i="61" a="1"/>
  <c r="E18" i="61" s="1"/>
  <c r="E14" i="61" a="1"/>
  <c r="E14" i="61" s="1"/>
  <c r="C15" i="61" a="1"/>
  <c r="C15" i="61" s="1"/>
  <c r="E13" i="122" s="1"/>
  <c r="E18" i="122" s="1"/>
  <c r="C14" i="61" a="1"/>
  <c r="C14" i="61" s="1"/>
  <c r="C16" i="61" a="1"/>
  <c r="C16" i="61" s="1"/>
  <c r="M15" i="87" a="1"/>
  <c r="M15" i="87" s="1"/>
  <c r="M11" i="87" a="1"/>
  <c r="M11" i="87" s="1"/>
  <c r="J11" i="87" a="1"/>
  <c r="J11" i="87" s="1"/>
  <c r="M14" i="87" a="1"/>
  <c r="M14" i="87" s="1"/>
  <c r="I15" i="87" a="1"/>
  <c r="I15" i="87" s="1"/>
  <c r="I11" i="87" a="1"/>
  <c r="I11" i="87" s="1"/>
  <c r="E12" i="87" a="1"/>
  <c r="E12" i="87" s="1"/>
  <c r="E11" i="87" a="1"/>
  <c r="E11" i="87" s="1"/>
  <c r="E13" i="87" a="1"/>
  <c r="E13" i="87" s="1"/>
  <c r="M13" i="87" a="1"/>
  <c r="M13" i="87" s="1"/>
  <c r="J15" i="87" a="1"/>
  <c r="J15" i="87" s="1"/>
  <c r="I14" i="87" a="1"/>
  <c r="I14" i="87" s="1"/>
  <c r="E15" i="87" a="1"/>
  <c r="E15" i="87" s="1"/>
  <c r="J13" i="87" a="1"/>
  <c r="J13" i="87" s="1"/>
  <c r="M12" i="87" a="1"/>
  <c r="M12" i="87" s="1"/>
  <c r="J14" i="87" a="1"/>
  <c r="J14" i="87" s="1"/>
  <c r="I13" i="87" a="1"/>
  <c r="I13" i="87" s="1"/>
  <c r="E14" i="87" a="1"/>
  <c r="E14" i="87" s="1"/>
  <c r="P20" i="68" a="1"/>
  <c r="P20" i="68" s="1"/>
  <c r="I164" i="68" a="1"/>
  <c r="I164" i="68" s="1"/>
  <c r="I132" i="68" a="1"/>
  <c r="I132" i="68" s="1"/>
  <c r="I153" i="68" a="1"/>
  <c r="I153" i="68" s="1"/>
  <c r="P9" i="68" a="1"/>
  <c r="P9" i="68" s="1"/>
  <c r="P145" i="68" a="1"/>
  <c r="P145" i="68" s="1"/>
  <c r="P123" i="68" a="1"/>
  <c r="P123" i="68" s="1"/>
  <c r="P164" i="68" a="1"/>
  <c r="P164" i="68" s="1"/>
  <c r="I9" i="68" a="1"/>
  <c r="I9" i="68" s="1"/>
  <c r="P175" i="68" a="1"/>
  <c r="P175" i="68" s="1"/>
  <c r="I37" i="68" a="1"/>
  <c r="I37" i="68" s="1"/>
  <c r="I123" i="68" a="1"/>
  <c r="I123" i="68" s="1"/>
  <c r="I20" i="68" a="1"/>
  <c r="I20" i="68" s="1"/>
  <c r="P132" i="68" a="1"/>
  <c r="P132" i="68" s="1"/>
  <c r="I175" i="68" a="1"/>
  <c r="I175" i="68" s="1"/>
  <c r="P153" i="68" a="1"/>
  <c r="P153" i="68" s="1"/>
  <c r="P37" i="68" a="1"/>
  <c r="P37" i="68" s="1"/>
  <c r="I145" i="68" a="1"/>
  <c r="I145" i="68" s="1"/>
  <c r="P146" i="68" a="1"/>
  <c r="P146" i="68" s="1"/>
  <c r="P154" i="68" a="1"/>
  <c r="P154" i="68" s="1"/>
  <c r="P21" i="68" a="1"/>
  <c r="P21" i="68" s="1"/>
  <c r="I154" i="68" a="1"/>
  <c r="I154" i="68" s="1"/>
  <c r="I176" i="68" a="1"/>
  <c r="I176" i="68" s="1"/>
  <c r="P38" i="68" a="1"/>
  <c r="P38" i="68" s="1"/>
  <c r="P165" i="68" a="1"/>
  <c r="P165" i="68" s="1"/>
  <c r="I10" i="68" a="1"/>
  <c r="I10" i="68" s="1"/>
  <c r="P176" i="68" a="1"/>
  <c r="P176" i="68" s="1"/>
  <c r="I124" i="68" a="1"/>
  <c r="I124" i="68" s="1"/>
  <c r="I38" i="68" a="1"/>
  <c r="I38" i="68" s="1"/>
  <c r="I165" i="68" a="1"/>
  <c r="I165" i="68" s="1"/>
  <c r="I133" i="68" a="1"/>
  <c r="I133" i="68" s="1"/>
  <c r="I21" i="68" a="1"/>
  <c r="I21" i="68" s="1"/>
  <c r="P10" i="68" a="1"/>
  <c r="P10" i="68" s="1"/>
  <c r="P124" i="68" a="1"/>
  <c r="P124" i="68" s="1"/>
  <c r="I146" i="68" a="1"/>
  <c r="I146" i="68" s="1"/>
  <c r="P133" i="68" a="1"/>
  <c r="P133" i="68" s="1"/>
  <c r="P155" i="68" a="1"/>
  <c r="P155" i="68" s="1"/>
  <c r="P22" i="68" a="1"/>
  <c r="P22" i="68" s="1"/>
  <c r="I166" i="68" a="1"/>
  <c r="I166" i="68" s="1"/>
  <c r="P177" i="68" a="1"/>
  <c r="P177" i="68" s="1"/>
  <c r="P11" i="68" a="1"/>
  <c r="P11" i="68" s="1"/>
  <c r="I177" i="68" a="1"/>
  <c r="I177" i="68" s="1"/>
  <c r="P166" i="68" a="1"/>
  <c r="P166" i="68" s="1"/>
  <c r="I22" i="68" a="1"/>
  <c r="I22" i="68" s="1"/>
  <c r="P39" i="68" a="1"/>
  <c r="P39" i="68" s="1"/>
  <c r="I11" i="68" a="1"/>
  <c r="I11" i="68" s="1"/>
  <c r="I39" i="68" a="1"/>
  <c r="I39" i="68" s="1"/>
  <c r="P136" i="68" a="1"/>
  <c r="P136" i="68" s="1"/>
  <c r="I136" i="68" a="1"/>
  <c r="I136" i="68" s="1"/>
  <c r="P137" i="68" a="1"/>
  <c r="P137" i="68" s="1"/>
  <c r="I137" i="68" a="1"/>
  <c r="I137" i="68" s="1"/>
  <c r="P26" i="68" a="1"/>
  <c r="P26" i="68" s="1"/>
  <c r="I26" i="68" a="1"/>
  <c r="I26" i="68" s="1"/>
  <c r="I27" i="68" a="1"/>
  <c r="I27" i="68" s="1"/>
  <c r="P27" i="68" a="1"/>
  <c r="P27" i="68" s="1"/>
  <c r="P28" i="68" a="1"/>
  <c r="P28" i="68" s="1"/>
  <c r="I28" i="68" a="1"/>
  <c r="I28" i="68" s="1"/>
  <c r="P207" i="66" a="1"/>
  <c r="P207" i="66" s="1"/>
  <c r="P148" i="66" a="1"/>
  <c r="P148" i="66" s="1"/>
  <c r="P162" i="66" a="1"/>
  <c r="P162" i="66" s="1"/>
  <c r="P195" i="66" a="1"/>
  <c r="P195" i="66" s="1"/>
  <c r="P184" i="66" a="1"/>
  <c r="P184" i="66" s="1"/>
  <c r="P210" i="66" a="1"/>
  <c r="P210" i="66" s="1"/>
  <c r="P27" i="66" a="1"/>
  <c r="P27" i="66" s="1"/>
  <c r="P31" i="66" a="1"/>
  <c r="P31" i="66" s="1"/>
  <c r="P170" i="66" a="1"/>
  <c r="P170" i="66" s="1"/>
  <c r="P165" i="66" a="1"/>
  <c r="P165" i="66" s="1"/>
  <c r="P161" i="66" a="1"/>
  <c r="P161" i="66" s="1"/>
  <c r="P23" i="66" a="1"/>
  <c r="P23" i="66" s="1"/>
  <c r="P222" i="66" a="1"/>
  <c r="P222" i="66" s="1"/>
  <c r="P149" i="66" a="1"/>
  <c r="P149" i="66" s="1"/>
  <c r="P183" i="66" a="1"/>
  <c r="P183" i="66" s="1"/>
  <c r="P25" i="66" a="1"/>
  <c r="P25" i="66" s="1"/>
  <c r="P196" i="66" a="1"/>
  <c r="P196" i="66" s="1"/>
  <c r="P186" i="66" a="1"/>
  <c r="P186" i="66" s="1"/>
  <c r="P198" i="66" a="1"/>
  <c r="P198" i="66" s="1"/>
  <c r="P169" i="66" a="1"/>
  <c r="P169" i="66" s="1"/>
  <c r="P32" i="66" a="1"/>
  <c r="P32" i="66" s="1"/>
  <c r="P171" i="66" a="1"/>
  <c r="P171" i="66" s="1"/>
  <c r="P173" i="66" a="1"/>
  <c r="P173" i="66" s="1"/>
  <c r="P212" i="66" a="1"/>
  <c r="P212" i="66" s="1"/>
  <c r="P208" i="66" a="1"/>
  <c r="P208" i="66" s="1"/>
  <c r="P10" i="66" a="1"/>
  <c r="P10" i="66" s="1"/>
  <c r="P11" i="66" a="1"/>
  <c r="P11" i="66" s="1"/>
  <c r="P45" i="66" a="1"/>
  <c r="P45" i="66" s="1"/>
  <c r="P150" i="66" a="1"/>
  <c r="P150" i="66" s="1"/>
  <c r="P22" i="66" a="1"/>
  <c r="P22" i="66" s="1"/>
  <c r="P9" i="66" a="1"/>
  <c r="P9" i="66" s="1"/>
  <c r="P44" i="66" a="1"/>
  <c r="P44" i="66" s="1"/>
  <c r="P194" i="66" a="1"/>
  <c r="P194" i="66" s="1"/>
  <c r="P182" i="66" a="1"/>
  <c r="P182" i="66" s="1"/>
  <c r="P223" i="66" a="1"/>
  <c r="P223" i="66" s="1"/>
  <c r="P24" i="66" a="1"/>
  <c r="P24" i="66" s="1"/>
  <c r="P209" i="66" a="1"/>
  <c r="P209" i="66" s="1"/>
  <c r="P224" i="66" a="1"/>
  <c r="P224" i="66" s="1"/>
  <c r="P46" i="66" a="1"/>
  <c r="P46" i="66" s="1"/>
  <c r="P163" i="66" a="1"/>
  <c r="P163" i="66" s="1"/>
  <c r="P226" i="66" a="1"/>
  <c r="P226" i="66" s="1"/>
  <c r="P152" i="66" a="1"/>
  <c r="P152" i="66" s="1"/>
  <c r="P30" i="66" a="1"/>
  <c r="P30" i="66" s="1"/>
  <c r="P48" i="66" a="1"/>
  <c r="P48" i="66" s="1"/>
  <c r="P33" i="66" a="1"/>
  <c r="P33" i="66" s="1"/>
  <c r="P35" i="66" a="1"/>
  <c r="P35" i="66" s="1"/>
  <c r="P14" i="66" a="1"/>
  <c r="P14" i="66" s="1"/>
  <c r="I181" i="66" a="1"/>
  <c r="I181" i="66" s="1"/>
  <c r="I147" i="66" a="1"/>
  <c r="I147" i="66" s="1"/>
  <c r="I23" i="66" a="1"/>
  <c r="I23" i="66" s="1"/>
  <c r="I44" i="66" a="1"/>
  <c r="I44" i="66" s="1"/>
  <c r="I149" i="66" a="1"/>
  <c r="I149" i="66" s="1"/>
  <c r="I209" i="66" a="1"/>
  <c r="I209" i="66" s="1"/>
  <c r="I210" i="66" a="1"/>
  <c r="I210" i="66" s="1"/>
  <c r="I224" i="66" a="1"/>
  <c r="I224" i="66" s="1"/>
  <c r="I14" i="66" a="1"/>
  <c r="I14" i="66" s="1"/>
  <c r="I226" i="66" a="1"/>
  <c r="I226" i="66" s="1"/>
  <c r="I198" i="66" a="1"/>
  <c r="I198" i="66" s="1"/>
  <c r="I31" i="66" a="1"/>
  <c r="I31" i="66" s="1"/>
  <c r="I170" i="66" a="1"/>
  <c r="I170" i="66" s="1"/>
  <c r="I171" i="66" a="1"/>
  <c r="I171" i="66" s="1"/>
  <c r="I30" i="66" a="1"/>
  <c r="I30" i="66" s="1"/>
  <c r="I35" i="66" a="1"/>
  <c r="I35" i="66" s="1"/>
  <c r="I194" i="66" a="1"/>
  <c r="I194" i="66" s="1"/>
  <c r="I165" i="66" a="1"/>
  <c r="I165" i="66" s="1"/>
  <c r="I27" i="66" a="1"/>
  <c r="I27" i="66" s="1"/>
  <c r="I48" i="66" a="1"/>
  <c r="I48" i="66" s="1"/>
  <c r="I173" i="66" a="1"/>
  <c r="I173" i="66" s="1"/>
  <c r="I221" i="66" a="1"/>
  <c r="I221" i="66" s="1"/>
  <c r="I208" i="66" a="1"/>
  <c r="I208" i="66" s="1"/>
  <c r="I148" i="66" a="1"/>
  <c r="I148" i="66" s="1"/>
  <c r="I222" i="66" a="1"/>
  <c r="I222" i="66" s="1"/>
  <c r="I24" i="66" a="1"/>
  <c r="I24" i="66" s="1"/>
  <c r="I162" i="66" a="1"/>
  <c r="I162" i="66" s="1"/>
  <c r="I25" i="66" a="1"/>
  <c r="I25" i="66" s="1"/>
  <c r="I46" i="66" a="1"/>
  <c r="I46" i="66" s="1"/>
  <c r="I163" i="66" a="1"/>
  <c r="I163" i="66" s="1"/>
  <c r="I223" i="66" a="1"/>
  <c r="I223" i="66" s="1"/>
  <c r="I196" i="66" a="1"/>
  <c r="I196" i="66" s="1"/>
  <c r="I169" i="66" a="1"/>
  <c r="I169" i="66" s="1"/>
  <c r="I10" i="66" a="1"/>
  <c r="I10" i="66" s="1"/>
  <c r="I45" i="66" a="1"/>
  <c r="I45" i="66" s="1"/>
  <c r="I184" i="66" a="1"/>
  <c r="I184" i="66" s="1"/>
  <c r="I186" i="66" a="1"/>
  <c r="I186" i="66" s="1"/>
  <c r="I207" i="66" a="1"/>
  <c r="I207" i="66" s="1"/>
  <c r="I43" i="66" a="1"/>
  <c r="I43" i="66" s="1"/>
  <c r="I161" i="66" a="1"/>
  <c r="I161" i="66" s="1"/>
  <c r="I195" i="66" a="1"/>
  <c r="I195" i="66" s="1"/>
  <c r="I152" i="66" a="1"/>
  <c r="I152" i="66" s="1"/>
  <c r="I32" i="66" a="1"/>
  <c r="I32" i="66" s="1"/>
  <c r="I183" i="66" a="1"/>
  <c r="I183" i="66" s="1"/>
  <c r="J183" i="66" s="1"/>
  <c r="I212" i="66" a="1"/>
  <c r="I212" i="66" s="1"/>
  <c r="I33" i="66" a="1"/>
  <c r="I33" i="66" s="1"/>
  <c r="I160" i="66" a="1"/>
  <c r="I160" i="66" s="1"/>
  <c r="I193" i="66" a="1"/>
  <c r="I193" i="66" s="1"/>
  <c r="I22" i="66" a="1"/>
  <c r="I22" i="66" s="1"/>
  <c r="I182" i="66" a="1"/>
  <c r="I182" i="66" s="1"/>
  <c r="I150" i="66" a="1"/>
  <c r="I150" i="66" s="1"/>
  <c r="P15" i="66" l="1" a="1"/>
  <c r="P15" i="66" s="1"/>
  <c r="F13" i="66" a="1"/>
  <c r="F13" i="66" s="1"/>
  <c r="J13" i="66" s="1"/>
  <c r="D13" i="122"/>
  <c r="D18" i="122" s="1"/>
  <c r="Q153" i="52"/>
  <c r="Q154" i="52" s="1"/>
  <c r="Q155" i="52" s="1"/>
  <c r="M47" i="66"/>
  <c r="M185" i="66"/>
  <c r="M225" i="66"/>
  <c r="J197" i="66"/>
  <c r="Q197" i="66"/>
  <c r="F151" i="66" a="1"/>
  <c r="F151" i="66" s="1"/>
  <c r="F152" i="66" a="1"/>
  <c r="F152" i="66" s="1"/>
  <c r="F153" i="66" a="1"/>
  <c r="F153" i="66" s="1"/>
  <c r="F154" i="66" a="1"/>
  <c r="F154" i="66" s="1"/>
  <c r="F11" i="52" a="1"/>
  <c r="F11" i="52" s="1"/>
  <c r="Q11" i="52" s="1"/>
  <c r="F42" i="52" a="1"/>
  <c r="F42" i="52" s="1"/>
  <c r="J42" i="52" s="1"/>
  <c r="F73" i="52" a="1"/>
  <c r="F73" i="52" s="1"/>
  <c r="J73" i="52" s="1"/>
  <c r="J65" i="52"/>
  <c r="J96" i="52"/>
  <c r="J97" i="52" s="1"/>
  <c r="K96" i="52" s="1"/>
  <c r="J34" i="52"/>
  <c r="M34" i="52" s="1"/>
  <c r="Q65" i="52"/>
  <c r="Q96" i="52"/>
  <c r="J125" i="52"/>
  <c r="J126" i="52" s="1"/>
  <c r="J153" i="52"/>
  <c r="Q125" i="52"/>
  <c r="C12" i="115" a="1"/>
  <c r="C12" i="115" s="1"/>
  <c r="C11" i="115" s="1"/>
  <c r="C12" i="116" a="1"/>
  <c r="C12" i="116" s="1"/>
  <c r="C11" i="116" s="1"/>
  <c r="D13" i="115" a="1"/>
  <c r="D13" i="115" s="1"/>
  <c r="D13" i="116" a="1"/>
  <c r="D13" i="116" s="1"/>
  <c r="D12" i="115" a="1"/>
  <c r="D12" i="115" s="1"/>
  <c r="D12" i="116" a="1"/>
  <c r="D12" i="116" s="1"/>
  <c r="C12" i="113" a="1"/>
  <c r="C12" i="113" s="1"/>
  <c r="C11" i="113" s="1"/>
  <c r="C12" i="114" a="1"/>
  <c r="C12" i="114" s="1"/>
  <c r="C11" i="114" s="1"/>
  <c r="D13" i="113" a="1"/>
  <c r="D13" i="113" s="1"/>
  <c r="D13" i="114" a="1"/>
  <c r="D13" i="114" s="1"/>
  <c r="D12" i="113" a="1"/>
  <c r="D12" i="113" s="1"/>
  <c r="D12" i="114" a="1"/>
  <c r="D12" i="114" s="1"/>
  <c r="D13" i="108" a="1"/>
  <c r="D13" i="108" s="1"/>
  <c r="O138" i="98"/>
  <c r="O139" i="98" s="1"/>
  <c r="C12" i="108" a="1"/>
  <c r="C12" i="108" s="1"/>
  <c r="C11" i="108" s="1"/>
  <c r="D12" i="108" a="1"/>
  <c r="D12" i="108" s="1"/>
  <c r="J55" i="98"/>
  <c r="M55" i="98" s="1"/>
  <c r="H21" i="98"/>
  <c r="H22" i="98" s="1"/>
  <c r="J56" i="98"/>
  <c r="H57" i="98"/>
  <c r="H58" i="98" s="1"/>
  <c r="O21" i="98"/>
  <c r="O22" i="98" s="1"/>
  <c r="P22" i="98" s="1"/>
  <c r="O75" i="98"/>
  <c r="O76" i="98" s="1"/>
  <c r="H84" i="98"/>
  <c r="H85" i="98" s="1"/>
  <c r="H111" i="98"/>
  <c r="H112" i="98" s="1"/>
  <c r="Q137" i="98"/>
  <c r="O93" i="98"/>
  <c r="O94" i="98" s="1"/>
  <c r="J109" i="98"/>
  <c r="Q109" i="98"/>
  <c r="O111" i="98"/>
  <c r="O112" i="98" s="1"/>
  <c r="O30" i="98"/>
  <c r="O31" i="98" s="1"/>
  <c r="F19" i="98" a="1"/>
  <c r="F19" i="98" s="1"/>
  <c r="F20" i="98" a="1"/>
  <c r="F20" i="98" s="1"/>
  <c r="F21" i="98" a="1"/>
  <c r="F21" i="98" s="1"/>
  <c r="F22" i="98" a="1"/>
  <c r="F22" i="98" s="1"/>
  <c r="F100" i="98" a="1"/>
  <c r="F100" i="98" s="1"/>
  <c r="F101" i="98" a="1"/>
  <c r="F101" i="98" s="1"/>
  <c r="F102" i="98" a="1"/>
  <c r="F102" i="98" s="1"/>
  <c r="F103" i="98" a="1"/>
  <c r="F103" i="98" s="1"/>
  <c r="F127" i="98" a="1"/>
  <c r="F127" i="98" s="1"/>
  <c r="F128" i="98" a="1"/>
  <c r="F128" i="98" s="1"/>
  <c r="F129" i="98" a="1"/>
  <c r="F129" i="98" s="1"/>
  <c r="F130" i="98" a="1"/>
  <c r="F130" i="98" s="1"/>
  <c r="Q110" i="98"/>
  <c r="F46" i="98" a="1"/>
  <c r="F46" i="98" s="1"/>
  <c r="F47" i="98" a="1"/>
  <c r="F47" i="98" s="1"/>
  <c r="F48" i="98" a="1"/>
  <c r="F48" i="98" s="1"/>
  <c r="F49" i="98" a="1"/>
  <c r="F49" i="98" s="1"/>
  <c r="H48" i="98"/>
  <c r="H49" i="98" s="1"/>
  <c r="F91" i="98" a="1"/>
  <c r="F91" i="98" s="1"/>
  <c r="F92" i="98" a="1"/>
  <c r="F92" i="98" s="1"/>
  <c r="F93" i="98" a="1"/>
  <c r="F93" i="98" s="1"/>
  <c r="F94" i="98" a="1"/>
  <c r="F94" i="98" s="1"/>
  <c r="F118" i="98" a="1"/>
  <c r="F118" i="98" s="1"/>
  <c r="F119" i="98" a="1"/>
  <c r="F119" i="98" s="1"/>
  <c r="F120" i="98" a="1"/>
  <c r="F120" i="98" s="1"/>
  <c r="F121" i="98" a="1"/>
  <c r="F121" i="98" s="1"/>
  <c r="F10" i="98" a="1"/>
  <c r="F10" i="98" s="1"/>
  <c r="J10" i="98" s="1"/>
  <c r="F11" i="98" a="1"/>
  <c r="F11" i="98" s="1"/>
  <c r="Q11" i="98" s="1"/>
  <c r="F12" i="98" a="1"/>
  <c r="F12" i="98" s="1"/>
  <c r="F13" i="98" a="1"/>
  <c r="F13" i="98" s="1"/>
  <c r="F73" i="98" a="1"/>
  <c r="F73" i="98" s="1"/>
  <c r="F74" i="98" a="1"/>
  <c r="F74" i="98" s="1"/>
  <c r="F75" i="98" a="1"/>
  <c r="F75" i="98" s="1"/>
  <c r="F76" i="98" a="1"/>
  <c r="F76" i="98" s="1"/>
  <c r="O57" i="98"/>
  <c r="O58" i="98" s="1"/>
  <c r="H66" i="98"/>
  <c r="H67" i="98" s="1"/>
  <c r="F37" i="98" a="1"/>
  <c r="F37" i="98" s="1"/>
  <c r="F38" i="98" a="1"/>
  <c r="F38" i="98" s="1"/>
  <c r="F39" i="98" a="1"/>
  <c r="F39" i="98" s="1"/>
  <c r="F40" i="98" a="1"/>
  <c r="F40" i="98" s="1"/>
  <c r="F64" i="98" a="1"/>
  <c r="F64" i="98" s="1"/>
  <c r="F65" i="98" a="1"/>
  <c r="F65" i="98" s="1"/>
  <c r="F66" i="98" a="1"/>
  <c r="F66" i="98" s="1"/>
  <c r="F67" i="98" a="1"/>
  <c r="F67" i="98" s="1"/>
  <c r="O48" i="98"/>
  <c r="O49" i="98" s="1"/>
  <c r="H102" i="98"/>
  <c r="H103" i="98" s="1"/>
  <c r="H93" i="98"/>
  <c r="H94" i="98" s="1"/>
  <c r="O39" i="98"/>
  <c r="H39" i="98"/>
  <c r="H40" i="98" s="1"/>
  <c r="H120" i="98"/>
  <c r="H121" i="98" s="1"/>
  <c r="O102" i="98"/>
  <c r="Q28" i="98"/>
  <c r="H138" i="98"/>
  <c r="H139" i="98" s="1"/>
  <c r="J83" i="98"/>
  <c r="O84" i="98"/>
  <c r="H75" i="98"/>
  <c r="H76" i="98" s="1"/>
  <c r="Q29" i="98"/>
  <c r="H30" i="98"/>
  <c r="H31" i="98" s="1"/>
  <c r="O120" i="98"/>
  <c r="O66" i="98"/>
  <c r="Q56" i="98"/>
  <c r="H129" i="98"/>
  <c r="H130" i="98" s="1"/>
  <c r="J136" i="98"/>
  <c r="Q82" i="98"/>
  <c r="J29" i="98"/>
  <c r="J108" i="98"/>
  <c r="J110" i="98"/>
  <c r="J27" i="98"/>
  <c r="O129" i="98"/>
  <c r="O130" i="98" s="1"/>
  <c r="J81" i="98"/>
  <c r="J135" i="98"/>
  <c r="Q83" i="98"/>
  <c r="J137" i="98"/>
  <c r="Q27" i="98"/>
  <c r="J28" i="98"/>
  <c r="Q54" i="98"/>
  <c r="J54" i="98"/>
  <c r="Q108" i="98"/>
  <c r="J82" i="98"/>
  <c r="Q81" i="98"/>
  <c r="Q135" i="98"/>
  <c r="Q136" i="98"/>
  <c r="O12" i="98"/>
  <c r="O13" i="98" s="1"/>
  <c r="H12" i="98"/>
  <c r="H13" i="98" s="1"/>
  <c r="F45" i="98" a="1"/>
  <c r="F45" i="98" s="1"/>
  <c r="F90" i="98" a="1"/>
  <c r="F90" i="98" s="1"/>
  <c r="F117" i="98" a="1"/>
  <c r="F117" i="98" s="1"/>
  <c r="F72" i="98" a="1"/>
  <c r="F72" i="98" s="1"/>
  <c r="F36" i="98" a="1"/>
  <c r="F36" i="98" s="1"/>
  <c r="F63" i="98" a="1"/>
  <c r="F63" i="98" s="1"/>
  <c r="F99" i="98" a="1"/>
  <c r="F99" i="98" s="1"/>
  <c r="F126" i="98" a="1"/>
  <c r="F126" i="98" s="1"/>
  <c r="F18" i="98" a="1"/>
  <c r="F18" i="98" s="1"/>
  <c r="F12" i="68" a="1"/>
  <c r="F12" i="68" s="1"/>
  <c r="J12" i="68" s="1"/>
  <c r="F9" i="98" a="1"/>
  <c r="F9" i="98" s="1"/>
  <c r="J9" i="98" s="1"/>
  <c r="F88" i="68" a="1"/>
  <c r="F88" i="68" s="1"/>
  <c r="M40" i="68"/>
  <c r="I157" i="68" a="1"/>
  <c r="I157" i="68" s="1"/>
  <c r="M178" i="68"/>
  <c r="P157" i="68" a="1"/>
  <c r="P157" i="68" s="1"/>
  <c r="F156" i="68" a="1"/>
  <c r="F156" i="68" s="1"/>
  <c r="Q156" i="68" s="1"/>
  <c r="F199" i="66" a="1"/>
  <c r="F199" i="66" s="1"/>
  <c r="F50" i="68" a="1"/>
  <c r="F50" i="68" s="1"/>
  <c r="M227" i="66"/>
  <c r="M95" i="52"/>
  <c r="M152" i="52"/>
  <c r="J148" i="52"/>
  <c r="K148" i="52" s="1"/>
  <c r="Q148" i="52"/>
  <c r="M94" i="52"/>
  <c r="J150" i="52"/>
  <c r="K150" i="52" s="1"/>
  <c r="M124" i="52"/>
  <c r="Q149" i="52"/>
  <c r="Q150" i="52"/>
  <c r="J149" i="52"/>
  <c r="K149" i="52" s="1"/>
  <c r="M151" i="52"/>
  <c r="M123" i="52"/>
  <c r="K14" i="61"/>
  <c r="D14" i="122" s="1"/>
  <c r="D19" i="122" s="1"/>
  <c r="K15" i="61"/>
  <c r="E14" i="122" s="1"/>
  <c r="E19" i="122" s="1"/>
  <c r="K16" i="61"/>
  <c r="F118" i="52" s="1" a="1"/>
  <c r="F118" i="52" s="1"/>
  <c r="K18" i="61"/>
  <c r="F143" i="52" s="1" a="1"/>
  <c r="F143" i="52" s="1"/>
  <c r="K17" i="61"/>
  <c r="F14" i="122" s="1"/>
  <c r="F19" i="122" s="1"/>
  <c r="F131" i="52" a="1"/>
  <c r="F131" i="52" s="1"/>
  <c r="F130" i="52" a="1"/>
  <c r="F130" i="52" s="1"/>
  <c r="F132" i="52" a="1"/>
  <c r="F132" i="52" s="1"/>
  <c r="F41" i="52" a="1"/>
  <c r="F41" i="52" s="1"/>
  <c r="F40" i="52" a="1"/>
  <c r="F40" i="52" s="1"/>
  <c r="F43" i="52" a="1"/>
  <c r="F43" i="52" s="1"/>
  <c r="F138" i="52" a="1"/>
  <c r="F138" i="52" s="1"/>
  <c r="F137" i="52" a="1"/>
  <c r="F137" i="52" s="1"/>
  <c r="F139" i="52" a="1"/>
  <c r="F139" i="52" s="1"/>
  <c r="G16" i="61"/>
  <c r="M16" i="87"/>
  <c r="M17" i="87" s="1"/>
  <c r="M18" i="87" s="1"/>
  <c r="H10" i="87" a="1"/>
  <c r="H10" i="87" s="1"/>
  <c r="K10" i="87" a="1"/>
  <c r="K10" i="87" s="1"/>
  <c r="G18" i="61"/>
  <c r="F123" i="68" a="1"/>
  <c r="F123" i="68" s="1"/>
  <c r="G17" i="61"/>
  <c r="G14" i="61"/>
  <c r="F131" i="68" a="1"/>
  <c r="F131" i="68" s="1"/>
  <c r="F126" i="68" a="1"/>
  <c r="F126" i="68" s="1"/>
  <c r="F90" i="68" a="1"/>
  <c r="F90" i="68" s="1"/>
  <c r="F201" i="66" a="1"/>
  <c r="F201" i="66" s="1"/>
  <c r="F158" i="68" a="1"/>
  <c r="F158" i="68" s="1"/>
  <c r="F52" i="68" a="1"/>
  <c r="F52" i="68" s="1"/>
  <c r="Q145" i="68"/>
  <c r="R145" i="68" s="1"/>
  <c r="Q37" i="68"/>
  <c r="R37" i="68" s="1"/>
  <c r="J145" i="68"/>
  <c r="K145" i="68" s="1"/>
  <c r="J175" i="68"/>
  <c r="K175" i="68" s="1"/>
  <c r="J37" i="68"/>
  <c r="Q175" i="68"/>
  <c r="R175" i="68" s="1"/>
  <c r="Q223" i="66"/>
  <c r="R223" i="66" s="1"/>
  <c r="J176" i="68"/>
  <c r="K176" i="68" s="1"/>
  <c r="Q183" i="66"/>
  <c r="M183" i="66" s="1"/>
  <c r="J45" i="66"/>
  <c r="J223" i="66"/>
  <c r="Q177" i="68"/>
  <c r="R177" i="68" s="1"/>
  <c r="Q38" i="68"/>
  <c r="R38" i="68" s="1"/>
  <c r="Q39" i="68"/>
  <c r="R39" i="68" s="1"/>
  <c r="J146" i="68"/>
  <c r="K146" i="68" s="1"/>
  <c r="P163" i="68"/>
  <c r="Q146" i="68"/>
  <c r="R146" i="68" s="1"/>
  <c r="I163" i="68"/>
  <c r="P131" i="68"/>
  <c r="Q176" i="68"/>
  <c r="R176" i="68" s="1"/>
  <c r="P19" i="68"/>
  <c r="F13" i="68" a="1"/>
  <c r="F13" i="68" s="1"/>
  <c r="F9" i="68" a="1"/>
  <c r="F9" i="68" s="1"/>
  <c r="F21" i="66" a="1"/>
  <c r="F21" i="66" s="1"/>
  <c r="F206" i="66" a="1"/>
  <c r="F206" i="66" s="1"/>
  <c r="F163" i="68" a="1"/>
  <c r="F163" i="68" s="1"/>
  <c r="I131" i="68"/>
  <c r="F149" i="66" a="1"/>
  <c r="F149" i="66" s="1"/>
  <c r="Q149" i="66" s="1"/>
  <c r="F125" i="68" a="1"/>
  <c r="F125" i="68" s="1"/>
  <c r="F124" i="68" a="1"/>
  <c r="F124" i="68" s="1"/>
  <c r="J124" i="68" s="1"/>
  <c r="F51" i="68" a="1"/>
  <c r="F51" i="68" s="1"/>
  <c r="F47" i="68" a="1"/>
  <c r="F47" i="68" s="1"/>
  <c r="F48" i="68" a="1"/>
  <c r="F48" i="68" s="1"/>
  <c r="F49" i="68" a="1"/>
  <c r="F49" i="68" s="1"/>
  <c r="J177" i="68"/>
  <c r="K177" i="68" s="1"/>
  <c r="J39" i="68"/>
  <c r="I19" i="68"/>
  <c r="I32" i="68" s="1"/>
  <c r="F57" i="68" a="1"/>
  <c r="F57" i="68" s="1"/>
  <c r="F95" i="68" a="1"/>
  <c r="F95" i="68" s="1"/>
  <c r="F89" i="68" a="1"/>
  <c r="F89" i="68" s="1"/>
  <c r="F86" i="68" a="1"/>
  <c r="F86" i="68" s="1"/>
  <c r="F87" i="68" a="1"/>
  <c r="F87" i="68" s="1"/>
  <c r="F85" i="68" a="1"/>
  <c r="F85" i="68" s="1"/>
  <c r="F195" i="66" a="1"/>
  <c r="F195" i="66" s="1"/>
  <c r="J195" i="66" s="1"/>
  <c r="F157" i="68" a="1"/>
  <c r="F157" i="68" s="1"/>
  <c r="F154" i="68" a="1"/>
  <c r="F154" i="68" s="1"/>
  <c r="Q154" i="68" s="1"/>
  <c r="F155" i="68" a="1"/>
  <c r="F155" i="68" s="1"/>
  <c r="J155" i="68" s="1"/>
  <c r="F153" i="68" a="1"/>
  <c r="F153" i="68" s="1"/>
  <c r="Q45" i="66"/>
  <c r="J38" i="68"/>
  <c r="F198" i="66" a="1"/>
  <c r="F198" i="66" s="1"/>
  <c r="F194" i="66" a="1"/>
  <c r="F194" i="66" s="1"/>
  <c r="F200" i="66" a="1"/>
  <c r="F200" i="66" s="1"/>
  <c r="F196" i="66" a="1"/>
  <c r="F196" i="66" s="1"/>
  <c r="F193" i="66" a="1"/>
  <c r="F193" i="66" s="1"/>
  <c r="F14" i="66" a="1"/>
  <c r="F14" i="66" s="1"/>
  <c r="J14" i="66" s="1"/>
  <c r="F15" i="66" a="1"/>
  <c r="F15" i="66" s="1"/>
  <c r="F10" i="66" a="1"/>
  <c r="F10" i="66" s="1"/>
  <c r="J10" i="66" s="1"/>
  <c r="F12" i="66" a="1"/>
  <c r="F12" i="66" s="1"/>
  <c r="Q12" i="66" s="1"/>
  <c r="F159" i="66" a="1"/>
  <c r="F159" i="66" s="1"/>
  <c r="F150" i="66" a="1"/>
  <c r="F150" i="66" s="1"/>
  <c r="F148" i="66" a="1"/>
  <c r="F148" i="66" s="1"/>
  <c r="F147" i="66" a="1"/>
  <c r="F147" i="66" s="1"/>
  <c r="F63" i="52" a="1"/>
  <c r="F63" i="52" s="1"/>
  <c r="F64" i="52" a="1"/>
  <c r="F64" i="52" s="1"/>
  <c r="F32" i="52" a="1"/>
  <c r="F32" i="52" s="1"/>
  <c r="F33" i="52" a="1"/>
  <c r="F33" i="52" s="1"/>
  <c r="F228" i="66" a="1"/>
  <c r="F228" i="66" s="1"/>
  <c r="F221" i="66" a="1"/>
  <c r="F221" i="66" s="1"/>
  <c r="F222" i="66" a="1"/>
  <c r="F222" i="66" s="1"/>
  <c r="F224" i="66" a="1"/>
  <c r="F224" i="66" s="1"/>
  <c r="F226" i="66" a="1"/>
  <c r="F226" i="66" s="1"/>
  <c r="F187" i="66" a="1"/>
  <c r="F187" i="66" s="1"/>
  <c r="F181" i="66" a="1"/>
  <c r="F181" i="66" s="1"/>
  <c r="F184" i="66" a="1"/>
  <c r="F184" i="66" s="1"/>
  <c r="F186" i="66" a="1"/>
  <c r="F186" i="66" s="1"/>
  <c r="F182" i="66" a="1"/>
  <c r="F182" i="66" s="1"/>
  <c r="F44" i="66" a="1"/>
  <c r="F44" i="66" s="1"/>
  <c r="F43" i="66" a="1"/>
  <c r="F43" i="66" s="1"/>
  <c r="F46" i="66" a="1"/>
  <c r="F46" i="66" s="1"/>
  <c r="H14" i="61"/>
  <c r="F26" i="66" s="1" a="1"/>
  <c r="F26" i="66" s="1"/>
  <c r="H15" i="61"/>
  <c r="H16" i="61"/>
  <c r="F164" i="66" s="1" a="1"/>
  <c r="F164" i="66" s="1"/>
  <c r="H17" i="61"/>
  <c r="H18" i="61"/>
  <c r="F211" i="66" s="1" a="1"/>
  <c r="F211" i="66" s="1"/>
  <c r="D27" i="57" a="1"/>
  <c r="F34" i="57" a="1"/>
  <c r="D21" i="57" a="1"/>
  <c r="F22" i="57" a="1"/>
  <c r="F27" i="57" a="1"/>
  <c r="F16" i="57" a="1"/>
  <c r="F28" i="57" a="1"/>
  <c r="D15" i="57" a="1"/>
  <c r="D33" i="57" a="1"/>
  <c r="F21" i="57" a="1"/>
  <c r="F9" i="57" a="1"/>
  <c r="F10" i="57" a="1"/>
  <c r="F33" i="57" a="1"/>
  <c r="Q13" i="66" l="1"/>
  <c r="M13" i="66" s="1"/>
  <c r="Q211" i="66"/>
  <c r="J211" i="66"/>
  <c r="M197" i="66"/>
  <c r="Q164" i="66"/>
  <c r="J164" i="66"/>
  <c r="J151" i="66"/>
  <c r="Q151" i="66"/>
  <c r="Q26" i="66"/>
  <c r="J26" i="66"/>
  <c r="Q42" i="52"/>
  <c r="M42" i="52" s="1"/>
  <c r="J11" i="52"/>
  <c r="M11" i="52" s="1"/>
  <c r="Q73" i="52"/>
  <c r="M73" i="52" s="1"/>
  <c r="F57" i="52" a="1"/>
  <c r="F57" i="52" s="1"/>
  <c r="Q57" i="52" s="1"/>
  <c r="F26" i="52" a="1"/>
  <c r="F26" i="52" s="1"/>
  <c r="Q26" i="52" s="1"/>
  <c r="M65" i="52"/>
  <c r="M96" i="52"/>
  <c r="J15" i="66"/>
  <c r="Q97" i="52"/>
  <c r="M97" i="52" s="1"/>
  <c r="M125" i="52"/>
  <c r="F89" i="52" a="1"/>
  <c r="F89" i="52" s="1"/>
  <c r="F88" i="52" a="1"/>
  <c r="F88" i="52" s="1"/>
  <c r="M153" i="52"/>
  <c r="Q126" i="52"/>
  <c r="Q127" i="52" s="1"/>
  <c r="D11" i="116"/>
  <c r="D11" i="115"/>
  <c r="D11" i="114"/>
  <c r="D11" i="113"/>
  <c r="M56" i="98"/>
  <c r="D11" i="108"/>
  <c r="F28" i="57"/>
  <c r="F34" i="57"/>
  <c r="J199" i="66"/>
  <c r="Q199" i="66"/>
  <c r="M137" i="98"/>
  <c r="Q12" i="68"/>
  <c r="M109" i="98"/>
  <c r="Q21" i="98"/>
  <c r="Q22" i="98" s="1"/>
  <c r="Q23" i="98" s="1"/>
  <c r="Q24" i="98" s="1"/>
  <c r="Q93" i="98"/>
  <c r="Q94" i="98" s="1"/>
  <c r="Q95" i="98" s="1"/>
  <c r="J21" i="98"/>
  <c r="J22" i="98" s="1"/>
  <c r="Q138" i="98"/>
  <c r="R137" i="98" s="1"/>
  <c r="Q48" i="98"/>
  <c r="Q49" i="98" s="1"/>
  <c r="Q50" i="98" s="1"/>
  <c r="J84" i="98"/>
  <c r="J85" i="98" s="1"/>
  <c r="J111" i="98"/>
  <c r="J120" i="98"/>
  <c r="J102" i="98"/>
  <c r="O67" i="98"/>
  <c r="Q66" i="98"/>
  <c r="O85" i="98"/>
  <c r="Q84" i="98"/>
  <c r="R82" i="98" s="1"/>
  <c r="O40" i="98"/>
  <c r="Q39" i="98"/>
  <c r="Q30" i="98"/>
  <c r="J48" i="98"/>
  <c r="J49" i="98" s="1"/>
  <c r="O121" i="98"/>
  <c r="Q120" i="98"/>
  <c r="J57" i="98"/>
  <c r="J93" i="98"/>
  <c r="J94" i="98" s="1"/>
  <c r="Q111" i="98"/>
  <c r="R108" i="98" s="1"/>
  <c r="O103" i="98"/>
  <c r="Q102" i="98"/>
  <c r="J66" i="98"/>
  <c r="J67" i="98" s="1"/>
  <c r="Q75" i="98"/>
  <c r="Q76" i="98" s="1"/>
  <c r="Q57" i="98"/>
  <c r="R54" i="98" s="1"/>
  <c r="M29" i="98"/>
  <c r="J30" i="98"/>
  <c r="J31" i="98" s="1"/>
  <c r="J75" i="98"/>
  <c r="J76" i="98" s="1"/>
  <c r="J138" i="98"/>
  <c r="J139" i="98" s="1"/>
  <c r="J39" i="98"/>
  <c r="J40" i="98" s="1"/>
  <c r="Q12" i="98"/>
  <c r="F16" i="57"/>
  <c r="F22" i="57"/>
  <c r="M54" i="98"/>
  <c r="M135" i="98"/>
  <c r="M110" i="98"/>
  <c r="M82" i="98"/>
  <c r="M28" i="98"/>
  <c r="M81" i="98"/>
  <c r="M27" i="98"/>
  <c r="M136" i="98"/>
  <c r="M83" i="98"/>
  <c r="M108" i="98"/>
  <c r="Q129" i="98"/>
  <c r="J129" i="98"/>
  <c r="J128" i="98"/>
  <c r="Q128" i="98"/>
  <c r="J65" i="98"/>
  <c r="Q65" i="98"/>
  <c r="J74" i="98"/>
  <c r="Q74" i="98"/>
  <c r="J92" i="98"/>
  <c r="Q92" i="98"/>
  <c r="J127" i="98"/>
  <c r="Q127" i="98"/>
  <c r="Q64" i="98"/>
  <c r="J64" i="98"/>
  <c r="Q73" i="98"/>
  <c r="J73" i="98"/>
  <c r="Q91" i="98"/>
  <c r="J91" i="98"/>
  <c r="Q126" i="98"/>
  <c r="J126" i="98"/>
  <c r="J63" i="98"/>
  <c r="Q63" i="98"/>
  <c r="Q72" i="98"/>
  <c r="J72" i="98"/>
  <c r="Q90" i="98"/>
  <c r="J90" i="98"/>
  <c r="Q101" i="98"/>
  <c r="J101" i="98"/>
  <c r="J38" i="98"/>
  <c r="Q38" i="98"/>
  <c r="Q119" i="98"/>
  <c r="J119" i="98"/>
  <c r="Q47" i="98"/>
  <c r="J47" i="98"/>
  <c r="Q100" i="98"/>
  <c r="J100" i="98"/>
  <c r="Q37" i="98"/>
  <c r="J37" i="98"/>
  <c r="Q118" i="98"/>
  <c r="J118" i="98"/>
  <c r="J46" i="98"/>
  <c r="Q46" i="98"/>
  <c r="Q99" i="98"/>
  <c r="J99" i="98"/>
  <c r="J36" i="98"/>
  <c r="Q36" i="98"/>
  <c r="J117" i="98"/>
  <c r="Q117" i="98"/>
  <c r="J45" i="98"/>
  <c r="Q45" i="98"/>
  <c r="Q20" i="98"/>
  <c r="J20" i="98"/>
  <c r="J19" i="98"/>
  <c r="Q19" i="98"/>
  <c r="J18" i="98"/>
  <c r="Q18" i="98"/>
  <c r="J12" i="98"/>
  <c r="Q9" i="98"/>
  <c r="M9" i="98" s="1"/>
  <c r="F33" i="57"/>
  <c r="J11" i="98"/>
  <c r="F61" i="68" a="1"/>
  <c r="F61" i="68" s="1"/>
  <c r="F23" i="68" a="1"/>
  <c r="F23" i="68" s="1"/>
  <c r="Q23" i="68" s="1"/>
  <c r="F58" i="52" a="1"/>
  <c r="F58" i="52" s="1"/>
  <c r="Q10" i="98"/>
  <c r="F27" i="52" a="1"/>
  <c r="F27" i="52" s="1"/>
  <c r="F99" i="68" a="1"/>
  <c r="F99" i="68" s="1"/>
  <c r="D15" i="57"/>
  <c r="F167" i="68" a="1"/>
  <c r="F167" i="68" s="1"/>
  <c r="F213" i="66" a="1"/>
  <c r="F213" i="66" s="1"/>
  <c r="J156" i="68"/>
  <c r="M148" i="52"/>
  <c r="K123" i="52"/>
  <c r="K124" i="52"/>
  <c r="M150" i="52"/>
  <c r="M149" i="52"/>
  <c r="K151" i="52"/>
  <c r="J154" i="52"/>
  <c r="M154" i="52" s="1"/>
  <c r="K152" i="52"/>
  <c r="J138" i="52"/>
  <c r="Q138" i="52"/>
  <c r="J131" i="52"/>
  <c r="Q131" i="52"/>
  <c r="Q137" i="52"/>
  <c r="J137" i="52"/>
  <c r="J130" i="52"/>
  <c r="Q130" i="52"/>
  <c r="Q64" i="52"/>
  <c r="J64" i="52"/>
  <c r="Q63" i="52"/>
  <c r="J63" i="52"/>
  <c r="Q40" i="52"/>
  <c r="J40" i="52"/>
  <c r="Q41" i="52"/>
  <c r="J41" i="52"/>
  <c r="J127" i="52"/>
  <c r="J33" i="52"/>
  <c r="Q33" i="52"/>
  <c r="J32" i="52"/>
  <c r="Q32" i="52"/>
  <c r="F21" i="57"/>
  <c r="F9" i="57"/>
  <c r="F19" i="68" a="1"/>
  <c r="F19" i="68" s="1"/>
  <c r="Q19" i="68" s="1"/>
  <c r="F11" i="68" a="1"/>
  <c r="F11" i="68" s="1"/>
  <c r="J11" i="68" s="1"/>
  <c r="F11" i="66" a="1"/>
  <c r="F11" i="66" s="1"/>
  <c r="F14" i="68" a="1"/>
  <c r="F14" i="68" s="1"/>
  <c r="F9" i="66" a="1"/>
  <c r="F9" i="66" s="1"/>
  <c r="J9" i="66" s="1"/>
  <c r="F10" i="68" a="1"/>
  <c r="F10" i="68" s="1"/>
  <c r="J10" i="68" s="1"/>
  <c r="F16" i="66" a="1"/>
  <c r="F16" i="66" s="1"/>
  <c r="E10" i="87" a="1"/>
  <c r="E10" i="87" s="1"/>
  <c r="E16" i="87" s="1"/>
  <c r="E17" i="87" s="1"/>
  <c r="E18" i="87" s="1"/>
  <c r="D10" i="87" a="1"/>
  <c r="D10" i="87" s="1"/>
  <c r="D16" i="87" s="1"/>
  <c r="D17" i="87" s="1"/>
  <c r="D18" i="87" s="1"/>
  <c r="F50" i="52" a="1"/>
  <c r="F50" i="52" s="1"/>
  <c r="F49" i="52" a="1"/>
  <c r="F49" i="52" s="1"/>
  <c r="F48" i="52" a="1"/>
  <c r="F48" i="52" s="1"/>
  <c r="F12" i="52" a="1"/>
  <c r="F12" i="52" s="1"/>
  <c r="F9" i="52" a="1"/>
  <c r="F9" i="52" s="1"/>
  <c r="Q9" i="52" s="1"/>
  <c r="F10" i="52" a="1"/>
  <c r="F10" i="52" s="1"/>
  <c r="J10" i="52" s="1"/>
  <c r="F142" i="52" a="1"/>
  <c r="F142" i="52" s="1"/>
  <c r="F141" i="52" a="1"/>
  <c r="F141" i="52" s="1"/>
  <c r="F140" i="52" a="1"/>
  <c r="F140" i="52" s="1"/>
  <c r="F22" i="52" a="1"/>
  <c r="F22" i="52" s="1"/>
  <c r="F20" i="52" a="1"/>
  <c r="F20" i="52" s="1"/>
  <c r="Q20" i="52" s="1"/>
  <c r="F21" i="52" a="1"/>
  <c r="F21" i="52" s="1"/>
  <c r="Q21" i="52" s="1"/>
  <c r="F17" i="52" a="1"/>
  <c r="F17" i="52" s="1"/>
  <c r="J17" i="52" s="1"/>
  <c r="F19" i="52" a="1"/>
  <c r="F19" i="52" s="1"/>
  <c r="F18" i="52" a="1"/>
  <c r="F18" i="52" s="1"/>
  <c r="Q10" i="66"/>
  <c r="J12" i="66"/>
  <c r="Q14" i="66"/>
  <c r="F72" i="52" a="1"/>
  <c r="F72" i="52" s="1"/>
  <c r="F74" i="52" a="1"/>
  <c r="F74" i="52" s="1"/>
  <c r="F71" i="52" a="1"/>
  <c r="F71" i="52" s="1"/>
  <c r="F83" i="52" a="1"/>
  <c r="F83" i="52" s="1"/>
  <c r="F82" i="52" a="1"/>
  <c r="F82" i="52" s="1"/>
  <c r="F84" i="52" a="1"/>
  <c r="F84" i="52" s="1"/>
  <c r="F113" i="52" a="1"/>
  <c r="F113" i="52" s="1"/>
  <c r="F114" i="52" a="1"/>
  <c r="F114" i="52" s="1"/>
  <c r="F112" i="52" a="1"/>
  <c r="F112" i="52" s="1"/>
  <c r="F52" i="52" a="1"/>
  <c r="F52" i="52" s="1"/>
  <c r="F51" i="52" a="1"/>
  <c r="F51" i="52" s="1"/>
  <c r="F53" i="52" a="1"/>
  <c r="F53" i="52" s="1"/>
  <c r="F110" i="52" a="1"/>
  <c r="F110" i="52" s="1"/>
  <c r="F111" i="52" a="1"/>
  <c r="F111" i="52" s="1"/>
  <c r="F109" i="52" a="1"/>
  <c r="F109" i="52" s="1"/>
  <c r="F103" i="52" a="1"/>
  <c r="F103" i="52" s="1"/>
  <c r="F102" i="52" a="1"/>
  <c r="F102" i="52" s="1"/>
  <c r="F104" i="52" a="1"/>
  <c r="F104" i="52" s="1"/>
  <c r="F79" i="52" a="1"/>
  <c r="F79" i="52" s="1"/>
  <c r="F81" i="52" a="1"/>
  <c r="F81" i="52" s="1"/>
  <c r="F80" i="52" a="1"/>
  <c r="F80" i="52" s="1"/>
  <c r="Q15" i="66"/>
  <c r="F27" i="57"/>
  <c r="R150" i="52"/>
  <c r="M20" i="87"/>
  <c r="M19" i="87"/>
  <c r="F10" i="57"/>
  <c r="I10" i="87" a="1"/>
  <c r="I10" i="87" s="1"/>
  <c r="F10" i="87" a="1"/>
  <c r="F10" i="87" s="1"/>
  <c r="F16" i="87" s="1"/>
  <c r="D27" i="57"/>
  <c r="D33" i="57"/>
  <c r="D21" i="57"/>
  <c r="F176" i="66" a="1"/>
  <c r="F176" i="66" s="1"/>
  <c r="F140" i="68" a="1"/>
  <c r="F140" i="68" s="1"/>
  <c r="F108" i="68" a="1"/>
  <c r="F108" i="68" s="1"/>
  <c r="F38" i="66" a="1"/>
  <c r="F38" i="66" s="1"/>
  <c r="F32" i="68" a="1"/>
  <c r="F32" i="68" s="1"/>
  <c r="F70" i="68" a="1"/>
  <c r="F70" i="68" s="1"/>
  <c r="F170" i="68" a="1"/>
  <c r="F170" i="68" s="1"/>
  <c r="F216" i="66" a="1"/>
  <c r="F216" i="66" s="1"/>
  <c r="F169" i="68" a="1"/>
  <c r="F169" i="68" s="1"/>
  <c r="F215" i="66" a="1"/>
  <c r="F215" i="66" s="1"/>
  <c r="F25" i="68" a="1"/>
  <c r="F25" i="68" s="1"/>
  <c r="F29" i="66" a="1"/>
  <c r="F29" i="66" s="1"/>
  <c r="F101" i="68" a="1"/>
  <c r="F101" i="68" s="1"/>
  <c r="J158" i="68"/>
  <c r="K155" i="68" s="1"/>
  <c r="Q158" i="68"/>
  <c r="R156" i="68" s="1"/>
  <c r="Q154" i="66"/>
  <c r="J154" i="66"/>
  <c r="F135" i="68" a="1"/>
  <c r="F135" i="68" s="1"/>
  <c r="F167" i="66" a="1"/>
  <c r="F167" i="66" s="1"/>
  <c r="F63" i="68" a="1"/>
  <c r="F63" i="68" s="1"/>
  <c r="Q201" i="66"/>
  <c r="J201" i="66"/>
  <c r="Q126" i="68"/>
  <c r="J126" i="68"/>
  <c r="K124" i="68" s="1"/>
  <c r="M175" i="68"/>
  <c r="Q195" i="66"/>
  <c r="M195" i="66" s="1"/>
  <c r="M37" i="68"/>
  <c r="M145" i="68"/>
  <c r="M176" i="68"/>
  <c r="Q153" i="68"/>
  <c r="J153" i="68"/>
  <c r="J123" i="68"/>
  <c r="Q123" i="68"/>
  <c r="Q9" i="68"/>
  <c r="J9" i="68"/>
  <c r="M45" i="66"/>
  <c r="P176" i="66"/>
  <c r="M223" i="66"/>
  <c r="J149" i="66"/>
  <c r="M149" i="66" s="1"/>
  <c r="Q124" i="68"/>
  <c r="M146" i="68"/>
  <c r="Q179" i="68"/>
  <c r="J179" i="68"/>
  <c r="K179" i="68" s="1"/>
  <c r="Q157" i="68"/>
  <c r="Q147" i="68"/>
  <c r="R147" i="68" s="1"/>
  <c r="J147" i="68"/>
  <c r="K147" i="68" s="1"/>
  <c r="Q125" i="68"/>
  <c r="Q41" i="68"/>
  <c r="R41" i="68" s="1"/>
  <c r="J41" i="68"/>
  <c r="I170" i="68"/>
  <c r="Q155" i="68"/>
  <c r="Q13" i="68"/>
  <c r="I140" i="68"/>
  <c r="M38" i="68"/>
  <c r="J13" i="68"/>
  <c r="P140" i="68"/>
  <c r="F162" i="66" a="1"/>
  <c r="F162" i="66" s="1"/>
  <c r="J162" i="66" s="1"/>
  <c r="F133" i="68" a="1"/>
  <c r="F133" i="68" s="1"/>
  <c r="F132" i="68" a="1"/>
  <c r="F132" i="68" s="1"/>
  <c r="F134" i="68" a="1"/>
  <c r="F134" i="68" s="1"/>
  <c r="J134" i="68" s="1"/>
  <c r="F62" i="68" a="1"/>
  <c r="F62" i="68" s="1"/>
  <c r="F58" i="68" a="1"/>
  <c r="F58" i="68" s="1"/>
  <c r="F59" i="68" a="1"/>
  <c r="F59" i="68" s="1"/>
  <c r="F60" i="68" a="1"/>
  <c r="F60" i="68" s="1"/>
  <c r="M39" i="68"/>
  <c r="P170" i="68"/>
  <c r="J163" i="68"/>
  <c r="J154" i="68"/>
  <c r="J157" i="68"/>
  <c r="F100" i="68" a="1"/>
  <c r="F100" i="68" s="1"/>
  <c r="F97" i="68" a="1"/>
  <c r="F97" i="68" s="1"/>
  <c r="F98" i="68" a="1"/>
  <c r="F98" i="68" s="1"/>
  <c r="F96" i="68" a="1"/>
  <c r="F96" i="68" s="1"/>
  <c r="F209" i="66" a="1"/>
  <c r="F209" i="66" s="1"/>
  <c r="J209" i="66" s="1"/>
  <c r="F168" i="68" a="1"/>
  <c r="F168" i="68" s="1"/>
  <c r="J168" i="68" s="1"/>
  <c r="F165" i="68" a="1"/>
  <c r="F165" i="68" s="1"/>
  <c r="F166" i="68" a="1"/>
  <c r="F166" i="68" s="1"/>
  <c r="Q166" i="68" s="1"/>
  <c r="F164" i="68" a="1"/>
  <c r="F164" i="68" s="1"/>
  <c r="F20" i="68" a="1"/>
  <c r="F20" i="68" s="1"/>
  <c r="F24" i="68" a="1"/>
  <c r="F24" i="68" s="1"/>
  <c r="J24" i="68" s="1"/>
  <c r="F21" i="68" a="1"/>
  <c r="F21" i="68" s="1"/>
  <c r="F22" i="68" a="1"/>
  <c r="F22" i="68" s="1"/>
  <c r="Q131" i="68"/>
  <c r="P32" i="68"/>
  <c r="J125" i="68"/>
  <c r="J131" i="68"/>
  <c r="M177" i="68"/>
  <c r="Q163" i="68"/>
  <c r="J200" i="66"/>
  <c r="Q200" i="66"/>
  <c r="J153" i="66"/>
  <c r="Q153" i="66"/>
  <c r="Q49" i="66"/>
  <c r="J228" i="66"/>
  <c r="J49" i="66"/>
  <c r="J187" i="66"/>
  <c r="P38" i="66"/>
  <c r="Q187" i="66"/>
  <c r="Q228" i="66"/>
  <c r="R228" i="66" s="1"/>
  <c r="I176" i="66"/>
  <c r="F22" i="66" a="1"/>
  <c r="F22" i="66" s="1"/>
  <c r="J22" i="66" s="1"/>
  <c r="F24" i="66" a="1"/>
  <c r="F24" i="66" s="1"/>
  <c r="J48" i="66"/>
  <c r="Q48" i="66"/>
  <c r="J226" i="66"/>
  <c r="Q226" i="66"/>
  <c r="R226" i="66" s="1"/>
  <c r="Q222" i="66"/>
  <c r="R222" i="66" s="1"/>
  <c r="J222" i="66"/>
  <c r="J152" i="66"/>
  <c r="Q152" i="66"/>
  <c r="J148" i="66"/>
  <c r="Q148" i="66"/>
  <c r="Q196" i="66"/>
  <c r="J196" i="66"/>
  <c r="J198" i="66"/>
  <c r="Q198" i="66"/>
  <c r="Q182" i="66"/>
  <c r="J182" i="66"/>
  <c r="Q43" i="66"/>
  <c r="J43" i="66"/>
  <c r="J184" i="66"/>
  <c r="Q184" i="66"/>
  <c r="J224" i="66"/>
  <c r="Q224" i="66"/>
  <c r="R224" i="66" s="1"/>
  <c r="J221" i="66"/>
  <c r="Q221" i="66"/>
  <c r="R221" i="66" s="1"/>
  <c r="J150" i="66"/>
  <c r="Q150" i="66"/>
  <c r="J46" i="66"/>
  <c r="Q46" i="66"/>
  <c r="Q186" i="66"/>
  <c r="J186" i="66"/>
  <c r="Q181" i="66"/>
  <c r="J181" i="66"/>
  <c r="Q44" i="66"/>
  <c r="J44" i="66"/>
  <c r="J147" i="66"/>
  <c r="Q147" i="66"/>
  <c r="Q193" i="66"/>
  <c r="J193" i="66"/>
  <c r="Q194" i="66"/>
  <c r="J194" i="66"/>
  <c r="P216" i="66"/>
  <c r="I216" i="66"/>
  <c r="J206" i="66"/>
  <c r="Q206" i="66"/>
  <c r="Q21" i="66"/>
  <c r="I16" i="61"/>
  <c r="F172" i="66" s="1" a="1"/>
  <c r="F172" i="66" s="1"/>
  <c r="F166" i="66" a="1"/>
  <c r="F166" i="66" s="1"/>
  <c r="F160" i="66" a="1"/>
  <c r="F160" i="66" s="1"/>
  <c r="F161" i="66" a="1"/>
  <c r="F161" i="66" s="1"/>
  <c r="F163" i="66" a="1"/>
  <c r="F163" i="66" s="1"/>
  <c r="F165" i="66" a="1"/>
  <c r="F165" i="66" s="1"/>
  <c r="I15" i="61"/>
  <c r="I18" i="61"/>
  <c r="F214" i="66" a="1"/>
  <c r="F214" i="66" s="1"/>
  <c r="Q214" i="66" s="1"/>
  <c r="F207" i="66" a="1"/>
  <c r="F207" i="66" s="1"/>
  <c r="F208" i="66" a="1"/>
  <c r="F208" i="66" s="1"/>
  <c r="F212" i="66" a="1"/>
  <c r="F212" i="66" s="1"/>
  <c r="Q212" i="66" s="1"/>
  <c r="F210" i="66" a="1"/>
  <c r="F210" i="66" s="1"/>
  <c r="I17" i="61"/>
  <c r="F25" i="66" a="1"/>
  <c r="F25" i="66" s="1"/>
  <c r="F28" i="66" a="1"/>
  <c r="F28" i="66" s="1"/>
  <c r="Q28" i="66" s="1"/>
  <c r="F27" i="66" a="1"/>
  <c r="F27" i="66" s="1"/>
  <c r="F23" i="66" a="1"/>
  <c r="F23" i="66" s="1"/>
  <c r="I14" i="61"/>
  <c r="F34" i="66" s="1" a="1"/>
  <c r="F34" i="66" s="1"/>
  <c r="F15" i="57" a="1"/>
  <c r="D9" i="57" a="1"/>
  <c r="J18" i="52" l="1"/>
  <c r="J19" i="52" s="1"/>
  <c r="Q18" i="52"/>
  <c r="R11" i="98"/>
  <c r="Q13" i="98"/>
  <c r="Q14" i="98" s="1"/>
  <c r="Q15" i="98" s="1"/>
  <c r="J16" i="66"/>
  <c r="J17" i="66" s="1"/>
  <c r="Q16" i="66"/>
  <c r="J103" i="98"/>
  <c r="J104" i="98" s="1"/>
  <c r="J105" i="98" s="1"/>
  <c r="J121" i="98"/>
  <c r="J122" i="98" s="1"/>
  <c r="J13" i="98"/>
  <c r="J14" i="98" s="1"/>
  <c r="J130" i="98"/>
  <c r="J131" i="98" s="1"/>
  <c r="J132" i="98" s="1"/>
  <c r="M211" i="66"/>
  <c r="Q172" i="66"/>
  <c r="J172" i="66"/>
  <c r="M151" i="66"/>
  <c r="M164" i="66"/>
  <c r="Q34" i="66"/>
  <c r="J34" i="66"/>
  <c r="M26" i="66"/>
  <c r="J57" i="52"/>
  <c r="M57" i="52" s="1"/>
  <c r="J26" i="52"/>
  <c r="M26" i="52" s="1"/>
  <c r="R96" i="52"/>
  <c r="M126" i="52"/>
  <c r="Q35" i="52"/>
  <c r="R34" i="52" s="1"/>
  <c r="Q43" i="52"/>
  <c r="R42" i="52" s="1"/>
  <c r="J43" i="52"/>
  <c r="K40" i="52" s="1"/>
  <c r="J35" i="52"/>
  <c r="J66" i="52"/>
  <c r="K65" i="52" s="1"/>
  <c r="Q66" i="52"/>
  <c r="R65" i="52" s="1"/>
  <c r="Q88" i="52"/>
  <c r="J88" i="52"/>
  <c r="Q132" i="52"/>
  <c r="Q133" i="52" s="1"/>
  <c r="Q134" i="52" s="1"/>
  <c r="J132" i="52"/>
  <c r="K56" i="98"/>
  <c r="J58" i="98"/>
  <c r="K110" i="98"/>
  <c r="J112" i="98"/>
  <c r="J113" i="98" s="1"/>
  <c r="R123" i="68"/>
  <c r="K154" i="68"/>
  <c r="J11" i="66"/>
  <c r="Q11" i="66"/>
  <c r="M127" i="52"/>
  <c r="R10" i="98"/>
  <c r="K125" i="68"/>
  <c r="K157" i="68"/>
  <c r="K153" i="68"/>
  <c r="R154" i="68"/>
  <c r="Q181" i="68"/>
  <c r="R181" i="68" s="1"/>
  <c r="R179" i="68"/>
  <c r="R153" i="68"/>
  <c r="M12" i="68"/>
  <c r="M156" i="68"/>
  <c r="K156" i="68"/>
  <c r="R125" i="68"/>
  <c r="K123" i="68"/>
  <c r="R9" i="98"/>
  <c r="M155" i="68"/>
  <c r="R155" i="68"/>
  <c r="R157" i="68"/>
  <c r="M124" i="68"/>
  <c r="R124" i="68"/>
  <c r="M228" i="66"/>
  <c r="K228" i="66"/>
  <c r="K199" i="66"/>
  <c r="R199" i="66"/>
  <c r="M21" i="98"/>
  <c r="R136" i="98"/>
  <c r="Q139" i="98"/>
  <c r="Q140" i="98" s="1"/>
  <c r="Q141" i="98" s="1"/>
  <c r="J23" i="98"/>
  <c r="J24" i="98" s="1"/>
  <c r="R135" i="98"/>
  <c r="R92" i="98"/>
  <c r="R64" i="98"/>
  <c r="K82" i="98"/>
  <c r="K81" i="98"/>
  <c r="M84" i="98"/>
  <c r="R126" i="98"/>
  <c r="K83" i="98"/>
  <c r="J86" i="98"/>
  <c r="J87" i="98" s="1"/>
  <c r="M93" i="98"/>
  <c r="M94" i="98"/>
  <c r="Q112" i="98"/>
  <c r="M48" i="98"/>
  <c r="M49" i="98"/>
  <c r="Q31" i="98"/>
  <c r="Q32" i="98" s="1"/>
  <c r="M138" i="98"/>
  <c r="Q40" i="98"/>
  <c r="Q41" i="98" s="1"/>
  <c r="Q42" i="98" s="1"/>
  <c r="Q85" i="98"/>
  <c r="Q86" i="98" s="1"/>
  <c r="Q77" i="98"/>
  <c r="R74" i="98"/>
  <c r="Q130" i="98"/>
  <c r="M75" i="98"/>
  <c r="J77" i="98"/>
  <c r="M66" i="98"/>
  <c r="J68" i="98"/>
  <c r="M57" i="98"/>
  <c r="M102" i="98"/>
  <c r="Q103" i="98"/>
  <c r="Q104" i="98" s="1"/>
  <c r="M30" i="98"/>
  <c r="J32" i="98"/>
  <c r="M111" i="98"/>
  <c r="K136" i="98"/>
  <c r="Q121" i="98"/>
  <c r="Q122" i="98" s="1"/>
  <c r="Q123" i="98" s="1"/>
  <c r="Q67" i="98"/>
  <c r="Q68" i="98" s="1"/>
  <c r="Q69" i="98" s="1"/>
  <c r="K9" i="98"/>
  <c r="M39" i="98"/>
  <c r="Q58" i="98"/>
  <c r="Q59" i="98" s="1"/>
  <c r="Q60" i="98" s="1"/>
  <c r="M120" i="98"/>
  <c r="K27" i="98"/>
  <c r="R28" i="98"/>
  <c r="R27" i="98"/>
  <c r="R81" i="98"/>
  <c r="R83" i="98"/>
  <c r="R29" i="98"/>
  <c r="K54" i="98"/>
  <c r="K55" i="98"/>
  <c r="K137" i="98"/>
  <c r="M46" i="98"/>
  <c r="R90" i="98"/>
  <c r="K135" i="98"/>
  <c r="K29" i="98"/>
  <c r="K28" i="98"/>
  <c r="K108" i="98"/>
  <c r="R110" i="98"/>
  <c r="R109" i="98"/>
  <c r="K109" i="98"/>
  <c r="R55" i="98"/>
  <c r="R56" i="98"/>
  <c r="R19" i="98"/>
  <c r="R127" i="98"/>
  <c r="R128" i="98"/>
  <c r="M118" i="98"/>
  <c r="M72" i="98"/>
  <c r="R36" i="98"/>
  <c r="R38" i="98"/>
  <c r="R63" i="98"/>
  <c r="R65" i="98"/>
  <c r="R45" i="98"/>
  <c r="R46" i="98"/>
  <c r="M47" i="98"/>
  <c r="K47" i="98"/>
  <c r="K46" i="98"/>
  <c r="M90" i="98"/>
  <c r="K90" i="98"/>
  <c r="M91" i="98"/>
  <c r="R91" i="98"/>
  <c r="Q96" i="98"/>
  <c r="M45" i="98"/>
  <c r="K45" i="98"/>
  <c r="R47" i="98"/>
  <c r="Q51" i="98"/>
  <c r="M92" i="98"/>
  <c r="K92" i="98"/>
  <c r="K91" i="98"/>
  <c r="M119" i="98"/>
  <c r="K119" i="98"/>
  <c r="R117" i="98"/>
  <c r="K73" i="98"/>
  <c r="M73" i="98"/>
  <c r="M117" i="98"/>
  <c r="K117" i="98"/>
  <c r="R118" i="98"/>
  <c r="R119" i="98"/>
  <c r="K118" i="98"/>
  <c r="R72" i="98"/>
  <c r="R73" i="98"/>
  <c r="M74" i="98"/>
  <c r="K74" i="98"/>
  <c r="K72" i="98"/>
  <c r="J23" i="68"/>
  <c r="M37" i="98"/>
  <c r="K37" i="98"/>
  <c r="M64" i="98"/>
  <c r="K64" i="98"/>
  <c r="R20" i="98"/>
  <c r="M36" i="98"/>
  <c r="K36" i="98"/>
  <c r="M38" i="98"/>
  <c r="K38" i="98"/>
  <c r="R37" i="98"/>
  <c r="K63" i="98"/>
  <c r="M63" i="98"/>
  <c r="M65" i="98"/>
  <c r="K65" i="98"/>
  <c r="M99" i="98"/>
  <c r="K99" i="98"/>
  <c r="M100" i="98"/>
  <c r="K100" i="98"/>
  <c r="M101" i="98"/>
  <c r="K101" i="98"/>
  <c r="R100" i="98"/>
  <c r="M126" i="98"/>
  <c r="K126" i="98"/>
  <c r="M129" i="98"/>
  <c r="R99" i="98"/>
  <c r="R101" i="98"/>
  <c r="M127" i="98"/>
  <c r="K127" i="98"/>
  <c r="M128" i="98"/>
  <c r="K128" i="98"/>
  <c r="M19" i="98"/>
  <c r="K19" i="98"/>
  <c r="K20" i="98"/>
  <c r="M20" i="98"/>
  <c r="R18" i="98"/>
  <c r="M18" i="98"/>
  <c r="K18" i="98"/>
  <c r="K10" i="98"/>
  <c r="M12" i="98"/>
  <c r="F29" i="68" a="1"/>
  <c r="F29" i="68" s="1"/>
  <c r="J29" i="68" s="1"/>
  <c r="F105" i="68" a="1"/>
  <c r="F105" i="68" s="1"/>
  <c r="F67" i="68" a="1"/>
  <c r="F67" i="68" s="1"/>
  <c r="M10" i="98"/>
  <c r="K11" i="98"/>
  <c r="M11" i="98"/>
  <c r="J167" i="68"/>
  <c r="Q167" i="68"/>
  <c r="M199" i="66"/>
  <c r="Q213" i="66"/>
  <c r="J213" i="66"/>
  <c r="Q14" i="68"/>
  <c r="R12" i="68" s="1"/>
  <c r="J14" i="68"/>
  <c r="K12" i="68" s="1"/>
  <c r="J155" i="52"/>
  <c r="Q139" i="52"/>
  <c r="J80" i="52"/>
  <c r="Q80" i="52"/>
  <c r="J79" i="52"/>
  <c r="Q79" i="52"/>
  <c r="Q72" i="52"/>
  <c r="J72" i="52"/>
  <c r="Q141" i="52"/>
  <c r="J141" i="52"/>
  <c r="M130" i="52"/>
  <c r="Q71" i="52"/>
  <c r="J71" i="52"/>
  <c r="M131" i="52"/>
  <c r="Q140" i="52"/>
  <c r="J140" i="52"/>
  <c r="J82" i="52"/>
  <c r="Q82" i="52"/>
  <c r="J83" i="52"/>
  <c r="Q83" i="52"/>
  <c r="J139" i="52"/>
  <c r="M137" i="52"/>
  <c r="M138" i="52"/>
  <c r="J102" i="52"/>
  <c r="Q102" i="52"/>
  <c r="M41" i="52"/>
  <c r="M40" i="52"/>
  <c r="M64" i="52"/>
  <c r="J49" i="52"/>
  <c r="Q49" i="52"/>
  <c r="J52" i="52"/>
  <c r="Q52" i="52"/>
  <c r="J110" i="52"/>
  <c r="Q110" i="52"/>
  <c r="Q51" i="52"/>
  <c r="J51" i="52"/>
  <c r="Q112" i="52"/>
  <c r="J112" i="52"/>
  <c r="J113" i="52"/>
  <c r="Q113" i="52"/>
  <c r="Q48" i="52"/>
  <c r="J48" i="52"/>
  <c r="M63" i="52"/>
  <c r="Q109" i="52"/>
  <c r="J109" i="52"/>
  <c r="J103" i="52"/>
  <c r="Q103" i="52"/>
  <c r="M33" i="52"/>
  <c r="M32" i="52"/>
  <c r="J20" i="52"/>
  <c r="J21" i="52"/>
  <c r="Q9" i="66"/>
  <c r="M9" i="66" s="1"/>
  <c r="Q11" i="68"/>
  <c r="Q10" i="68"/>
  <c r="F15" i="57"/>
  <c r="F55" i="52" a="1"/>
  <c r="F55" i="52" s="1"/>
  <c r="F56" i="52" a="1"/>
  <c r="F56" i="52" s="1"/>
  <c r="F54" i="52" a="1"/>
  <c r="F54" i="52" s="1"/>
  <c r="F23" i="52" a="1"/>
  <c r="F23" i="52" s="1"/>
  <c r="Q23" i="52" s="1"/>
  <c r="F25" i="52" a="1"/>
  <c r="F25" i="52" s="1"/>
  <c r="F24" i="52" a="1"/>
  <c r="F24" i="52" s="1"/>
  <c r="F87" i="52" a="1"/>
  <c r="F87" i="52" s="1"/>
  <c r="F86" i="52" a="1"/>
  <c r="F86" i="52" s="1"/>
  <c r="F85" i="52" a="1"/>
  <c r="F85" i="52" s="1"/>
  <c r="J9" i="52"/>
  <c r="Q17" i="52"/>
  <c r="M17" i="52" s="1"/>
  <c r="Q10" i="52"/>
  <c r="F116" i="52" a="1"/>
  <c r="F116" i="52" s="1"/>
  <c r="F117" i="52" a="1"/>
  <c r="F117" i="52" s="1"/>
  <c r="F115" i="52" a="1"/>
  <c r="F115" i="52" s="1"/>
  <c r="R149" i="52"/>
  <c r="R148" i="52"/>
  <c r="F17" i="87"/>
  <c r="F18" i="87" s="1"/>
  <c r="E19" i="87"/>
  <c r="E20" i="87"/>
  <c r="G10" i="87" a="1"/>
  <c r="G10" i="87" s="1"/>
  <c r="G16" i="87" s="1"/>
  <c r="J10" i="87" a="1"/>
  <c r="J10" i="87" s="1"/>
  <c r="J16" i="87" s="1"/>
  <c r="D9" i="57"/>
  <c r="Q167" i="66"/>
  <c r="J167" i="66"/>
  <c r="Q29" i="66"/>
  <c r="R28" i="66" s="1"/>
  <c r="J29" i="66"/>
  <c r="F69" i="68" a="1"/>
  <c r="F69" i="68" s="1"/>
  <c r="Q135" i="68"/>
  <c r="J135" i="68"/>
  <c r="K134" i="68" s="1"/>
  <c r="Q25" i="68"/>
  <c r="R23" i="68" s="1"/>
  <c r="J25" i="68"/>
  <c r="Q215" i="66"/>
  <c r="R212" i="66" s="1"/>
  <c r="J215" i="66"/>
  <c r="F31" i="68" a="1"/>
  <c r="F31" i="68" s="1"/>
  <c r="F37" i="66" a="1"/>
  <c r="F37" i="66" s="1"/>
  <c r="F107" i="68" a="1"/>
  <c r="F107" i="68" s="1"/>
  <c r="F139" i="68" a="1"/>
  <c r="F139" i="68" s="1"/>
  <c r="F175" i="66" a="1"/>
  <c r="F175" i="66" s="1"/>
  <c r="J169" i="68"/>
  <c r="K168" i="68" s="1"/>
  <c r="Q169" i="68"/>
  <c r="R166" i="68" s="1"/>
  <c r="I38" i="66"/>
  <c r="J21" i="66"/>
  <c r="J133" i="68"/>
  <c r="Q133" i="68"/>
  <c r="K37" i="68"/>
  <c r="J43" i="68"/>
  <c r="J181" i="68"/>
  <c r="Q43" i="68"/>
  <c r="M9" i="68"/>
  <c r="M153" i="68"/>
  <c r="Q20" i="68"/>
  <c r="J20" i="68"/>
  <c r="J164" i="68"/>
  <c r="Q164" i="68"/>
  <c r="M123" i="68"/>
  <c r="J132" i="68"/>
  <c r="Q132" i="68"/>
  <c r="Q165" i="66"/>
  <c r="J165" i="66"/>
  <c r="Q161" i="66"/>
  <c r="J161" i="66"/>
  <c r="Q163" i="66"/>
  <c r="J163" i="66"/>
  <c r="J160" i="66"/>
  <c r="Q160" i="66"/>
  <c r="Q162" i="66"/>
  <c r="M162" i="66" s="1"/>
  <c r="Q134" i="68"/>
  <c r="Q209" i="66"/>
  <c r="M209" i="66" s="1"/>
  <c r="M147" i="68"/>
  <c r="J149" i="68"/>
  <c r="J150" i="68" s="1"/>
  <c r="M41" i="68"/>
  <c r="M179" i="68"/>
  <c r="F64" i="68" a="1"/>
  <c r="F64" i="68" s="1"/>
  <c r="F68" i="68" a="1"/>
  <c r="F68" i="68" s="1"/>
  <c r="F66" i="68" a="1"/>
  <c r="F66" i="68" s="1"/>
  <c r="F65" i="68" a="1"/>
  <c r="F65" i="68" s="1"/>
  <c r="M42" i="68"/>
  <c r="J22" i="68"/>
  <c r="Q22" i="68"/>
  <c r="Q165" i="68"/>
  <c r="J165" i="68"/>
  <c r="K39" i="68"/>
  <c r="J19" i="68"/>
  <c r="M163" i="68"/>
  <c r="Q168" i="68"/>
  <c r="M13" i="68"/>
  <c r="K38" i="68"/>
  <c r="Q24" i="68"/>
  <c r="F32" i="66" a="1"/>
  <c r="F32" i="66" s="1"/>
  <c r="Q32" i="66" s="1"/>
  <c r="F26" i="68" a="1"/>
  <c r="F26" i="68" s="1"/>
  <c r="F30" i="68" a="1"/>
  <c r="F30" i="68" s="1"/>
  <c r="F27" i="68" a="1"/>
  <c r="F27" i="68" s="1"/>
  <c r="F28" i="68" a="1"/>
  <c r="F28" i="68" s="1"/>
  <c r="F106" i="68" a="1"/>
  <c r="F106" i="68" s="1"/>
  <c r="F103" i="68" a="1"/>
  <c r="F103" i="68" s="1"/>
  <c r="F104" i="68" a="1"/>
  <c r="F104" i="68" s="1"/>
  <c r="F102" i="68" a="1"/>
  <c r="F102" i="68" s="1"/>
  <c r="F170" i="66" a="1"/>
  <c r="F170" i="66" s="1"/>
  <c r="Q170" i="66" s="1"/>
  <c r="F138" i="68" a="1"/>
  <c r="F138" i="68" s="1"/>
  <c r="F137" i="68" a="1"/>
  <c r="F137" i="68" s="1"/>
  <c r="F136" i="68" a="1"/>
  <c r="F136" i="68" s="1"/>
  <c r="K41" i="68"/>
  <c r="M131" i="68"/>
  <c r="J166" i="68"/>
  <c r="M154" i="68"/>
  <c r="M125" i="68"/>
  <c r="J21" i="68"/>
  <c r="Q21" i="68"/>
  <c r="M157" i="68"/>
  <c r="M180" i="68"/>
  <c r="M200" i="66"/>
  <c r="Q159" i="66"/>
  <c r="J214" i="66"/>
  <c r="Q202" i="66"/>
  <c r="J28" i="66"/>
  <c r="M187" i="66"/>
  <c r="M153" i="66"/>
  <c r="Q166" i="66"/>
  <c r="J166" i="66"/>
  <c r="M49" i="66"/>
  <c r="J159" i="66"/>
  <c r="Q22" i="66"/>
  <c r="J24" i="66"/>
  <c r="Q24" i="66"/>
  <c r="M10" i="66"/>
  <c r="M15" i="66"/>
  <c r="M14" i="66"/>
  <c r="M152" i="66"/>
  <c r="M194" i="66"/>
  <c r="M181" i="66"/>
  <c r="M196" i="66"/>
  <c r="M150" i="66"/>
  <c r="M221" i="66"/>
  <c r="M226" i="66"/>
  <c r="Q207" i="66"/>
  <c r="J207" i="66"/>
  <c r="Q23" i="66"/>
  <c r="J23" i="66"/>
  <c r="J27" i="66"/>
  <c r="Q27" i="66"/>
  <c r="J208" i="66"/>
  <c r="Q208" i="66"/>
  <c r="M193" i="66"/>
  <c r="M44" i="66"/>
  <c r="M186" i="66"/>
  <c r="M43" i="66"/>
  <c r="M182" i="66"/>
  <c r="M222" i="66"/>
  <c r="Q25" i="66"/>
  <c r="J25" i="66"/>
  <c r="J212" i="66"/>
  <c r="J210" i="66"/>
  <c r="Q210" i="66"/>
  <c r="M147" i="66"/>
  <c r="M46" i="66"/>
  <c r="M224" i="66"/>
  <c r="M184" i="66"/>
  <c r="M198" i="66"/>
  <c r="M148" i="66"/>
  <c r="M48" i="66"/>
  <c r="M206" i="66"/>
  <c r="M12" i="66"/>
  <c r="F173" i="66" a="1"/>
  <c r="F173" i="66" s="1"/>
  <c r="F171" i="66" a="1"/>
  <c r="F171" i="66" s="1"/>
  <c r="F169" i="66" a="1"/>
  <c r="F169" i="66" s="1"/>
  <c r="F174" i="66" a="1"/>
  <c r="F174" i="66" s="1"/>
  <c r="F168" i="66" a="1"/>
  <c r="F168" i="66" s="1"/>
  <c r="F35" i="66" a="1"/>
  <c r="F35" i="66" s="1"/>
  <c r="F31" i="66" a="1"/>
  <c r="F31" i="66" s="1"/>
  <c r="F30" i="66" a="1"/>
  <c r="F30" i="66" s="1"/>
  <c r="F33" i="66" a="1"/>
  <c r="F33" i="66" s="1"/>
  <c r="F36" i="66" a="1"/>
  <c r="F36" i="66" s="1"/>
  <c r="N36" i="116" a="1"/>
  <c r="R36" i="116" a="1"/>
  <c r="N36" i="113" a="1"/>
  <c r="N36" i="115" a="1"/>
  <c r="W36" i="113" a="1"/>
  <c r="R36" i="115" a="1"/>
  <c r="R36" i="108" a="1"/>
  <c r="N36" i="114" a="1"/>
  <c r="M18" i="52" l="1"/>
  <c r="Q104" i="52"/>
  <c r="K9" i="66"/>
  <c r="Q22" i="52"/>
  <c r="R20" i="52" s="1"/>
  <c r="J123" i="98"/>
  <c r="Q203" i="66"/>
  <c r="R197" i="66"/>
  <c r="M172" i="66"/>
  <c r="M34" i="66"/>
  <c r="R11" i="66"/>
  <c r="R12" i="66"/>
  <c r="R13" i="66"/>
  <c r="M9" i="52"/>
  <c r="J104" i="52"/>
  <c r="R41" i="52"/>
  <c r="M43" i="52"/>
  <c r="M35" i="52"/>
  <c r="Q74" i="52"/>
  <c r="R73" i="52" s="1"/>
  <c r="Q12" i="52"/>
  <c r="Q13" i="52" s="1"/>
  <c r="Q67" i="52"/>
  <c r="Q68" i="52" s="1"/>
  <c r="K42" i="52"/>
  <c r="M88" i="52"/>
  <c r="M66" i="52"/>
  <c r="J74" i="52"/>
  <c r="M132" i="52"/>
  <c r="K64" i="52"/>
  <c r="K138" i="52"/>
  <c r="J12" i="52"/>
  <c r="K11" i="52" s="1"/>
  <c r="K33" i="52"/>
  <c r="K34" i="52"/>
  <c r="W36" i="113"/>
  <c r="R36" i="116"/>
  <c r="N36" i="116"/>
  <c r="R36" i="115"/>
  <c r="N36" i="115"/>
  <c r="N36" i="114"/>
  <c r="N36" i="113"/>
  <c r="M130" i="98"/>
  <c r="Q131" i="98"/>
  <c r="Q132" i="98" s="1"/>
  <c r="R23" i="66"/>
  <c r="M11" i="66"/>
  <c r="R132" i="68"/>
  <c r="R133" i="68"/>
  <c r="R25" i="66"/>
  <c r="R24" i="66"/>
  <c r="R27" i="66"/>
  <c r="R22" i="66"/>
  <c r="K166" i="68"/>
  <c r="K165" i="68"/>
  <c r="Q182" i="68"/>
  <c r="R182" i="68" s="1"/>
  <c r="R36" i="108"/>
  <c r="J22" i="52"/>
  <c r="M155" i="52"/>
  <c r="K132" i="68"/>
  <c r="K133" i="68"/>
  <c r="R21" i="68"/>
  <c r="R22" i="68"/>
  <c r="R164" i="68"/>
  <c r="R165" i="68"/>
  <c r="M11" i="68"/>
  <c r="R11" i="68"/>
  <c r="K21" i="68"/>
  <c r="R24" i="68"/>
  <c r="K22" i="68"/>
  <c r="K164" i="68"/>
  <c r="R167" i="68"/>
  <c r="R9" i="68"/>
  <c r="K20" i="68"/>
  <c r="K167" i="68"/>
  <c r="M134" i="68"/>
  <c r="R134" i="68"/>
  <c r="R20" i="68"/>
  <c r="R13" i="68"/>
  <c r="K11" i="68"/>
  <c r="K10" i="68"/>
  <c r="M168" i="68"/>
  <c r="R168" i="68"/>
  <c r="M23" i="68"/>
  <c r="K23" i="68"/>
  <c r="M10" i="68"/>
  <c r="R10" i="68"/>
  <c r="K9" i="68"/>
  <c r="K13" i="68"/>
  <c r="K214" i="66"/>
  <c r="K213" i="66"/>
  <c r="R213" i="66"/>
  <c r="J114" i="98"/>
  <c r="M112" i="98"/>
  <c r="M139" i="98"/>
  <c r="M22" i="98"/>
  <c r="M121" i="98"/>
  <c r="M85" i="98"/>
  <c r="Q113" i="98"/>
  <c r="Q114" i="98" s="1"/>
  <c r="J95" i="98"/>
  <c r="J96" i="98" s="1"/>
  <c r="J41" i="98"/>
  <c r="J42" i="98" s="1"/>
  <c r="J78" i="98"/>
  <c r="M13" i="98"/>
  <c r="J140" i="98"/>
  <c r="J141" i="98" s="1"/>
  <c r="M40" i="98"/>
  <c r="M67" i="98"/>
  <c r="Q105" i="98"/>
  <c r="Q78" i="98"/>
  <c r="M76" i="98"/>
  <c r="M58" i="98"/>
  <c r="J15" i="98"/>
  <c r="J69" i="98"/>
  <c r="M31" i="98"/>
  <c r="J33" i="98"/>
  <c r="M103" i="98"/>
  <c r="Q87" i="98"/>
  <c r="Q33" i="98"/>
  <c r="J59" i="98"/>
  <c r="J60" i="98" s="1"/>
  <c r="J50" i="98"/>
  <c r="J51" i="98" s="1"/>
  <c r="M24" i="98"/>
  <c r="Q29" i="68"/>
  <c r="M213" i="66"/>
  <c r="M167" i="68"/>
  <c r="Q44" i="68"/>
  <c r="J182" i="68"/>
  <c r="J44" i="68"/>
  <c r="Q111" i="52"/>
  <c r="Q168" i="66"/>
  <c r="R164" i="66" s="1"/>
  <c r="J168" i="66"/>
  <c r="K164" i="66" s="1"/>
  <c r="K131" i="52"/>
  <c r="M79" i="52"/>
  <c r="Q142" i="52"/>
  <c r="Q143" i="52" s="1"/>
  <c r="M72" i="52"/>
  <c r="M83" i="52"/>
  <c r="J86" i="52"/>
  <c r="Q86" i="52"/>
  <c r="M139" i="52"/>
  <c r="M141" i="52"/>
  <c r="K32" i="52"/>
  <c r="J133" i="52"/>
  <c r="M133" i="52" s="1"/>
  <c r="M82" i="52"/>
  <c r="J85" i="52"/>
  <c r="Q85" i="52"/>
  <c r="Q53" i="52"/>
  <c r="R51" i="52" s="1"/>
  <c r="K137" i="52"/>
  <c r="J142" i="52"/>
  <c r="J143" i="52" s="1"/>
  <c r="M140" i="52"/>
  <c r="M71" i="52"/>
  <c r="K130" i="52"/>
  <c r="M80" i="52"/>
  <c r="K95" i="52"/>
  <c r="K94" i="52"/>
  <c r="R63" i="52"/>
  <c r="M103" i="52"/>
  <c r="R40" i="52"/>
  <c r="J115" i="52"/>
  <c r="Q115" i="52"/>
  <c r="M113" i="52"/>
  <c r="M52" i="52"/>
  <c r="J50" i="52"/>
  <c r="M112" i="52"/>
  <c r="J114" i="52"/>
  <c r="R64" i="52"/>
  <c r="K41" i="52"/>
  <c r="J67" i="52"/>
  <c r="Q55" i="52"/>
  <c r="J55" i="52"/>
  <c r="R32" i="52"/>
  <c r="J111" i="52"/>
  <c r="M109" i="52"/>
  <c r="K63" i="52"/>
  <c r="M48" i="52"/>
  <c r="Q50" i="52"/>
  <c r="Q114" i="52"/>
  <c r="M110" i="52"/>
  <c r="Q44" i="52"/>
  <c r="Q45" i="52" s="1"/>
  <c r="M49" i="52"/>
  <c r="Q116" i="52"/>
  <c r="J116" i="52"/>
  <c r="Q54" i="52"/>
  <c r="J54" i="52"/>
  <c r="J53" i="52"/>
  <c r="M51" i="52"/>
  <c r="J44" i="52"/>
  <c r="M102" i="52"/>
  <c r="M20" i="52"/>
  <c r="M21" i="52"/>
  <c r="R33" i="52"/>
  <c r="Q36" i="52"/>
  <c r="Q37" i="52" s="1"/>
  <c r="J36" i="52"/>
  <c r="J37" i="52" s="1"/>
  <c r="J23" i="52"/>
  <c r="J24" i="52"/>
  <c r="Q24" i="52"/>
  <c r="M10" i="52"/>
  <c r="Q19" i="52"/>
  <c r="H16" i="87"/>
  <c r="H17" i="87" s="1"/>
  <c r="G17" i="87"/>
  <c r="G18" i="87" s="1"/>
  <c r="J17" i="87"/>
  <c r="J18" i="87" s="1"/>
  <c r="I16" i="87"/>
  <c r="Q175" i="66"/>
  <c r="J175" i="66"/>
  <c r="Q37" i="66"/>
  <c r="R32" i="66" s="1"/>
  <c r="J37" i="66"/>
  <c r="Q139" i="68"/>
  <c r="J139" i="68"/>
  <c r="Q31" i="68"/>
  <c r="J31" i="68"/>
  <c r="J32" i="68" s="1"/>
  <c r="J98" i="52"/>
  <c r="J99" i="52" s="1"/>
  <c r="M132" i="68"/>
  <c r="M133" i="68"/>
  <c r="R181" i="66"/>
  <c r="Q189" i="66"/>
  <c r="Q230" i="66"/>
  <c r="R225" i="66" s="1"/>
  <c r="K11" i="66"/>
  <c r="K223" i="66"/>
  <c r="J230" i="66"/>
  <c r="K225" i="66" s="1"/>
  <c r="K45" i="66"/>
  <c r="J51" i="66"/>
  <c r="Q17" i="66"/>
  <c r="Q18" i="66" s="1"/>
  <c r="K149" i="66"/>
  <c r="J155" i="66"/>
  <c r="J159" i="68"/>
  <c r="Q149" i="68"/>
  <c r="Q150" i="68" s="1"/>
  <c r="R153" i="66"/>
  <c r="Q155" i="66"/>
  <c r="K183" i="66"/>
  <c r="J189" i="66"/>
  <c r="Q15" i="68"/>
  <c r="J15" i="68"/>
  <c r="R45" i="66"/>
  <c r="Q51" i="66"/>
  <c r="J202" i="66"/>
  <c r="K197" i="66" s="1"/>
  <c r="Q159" i="68"/>
  <c r="J127" i="68"/>
  <c r="J128" i="68" s="1"/>
  <c r="Q127" i="68"/>
  <c r="Q128" i="68" s="1"/>
  <c r="M164" i="68"/>
  <c r="J136" i="68"/>
  <c r="Q136" i="68"/>
  <c r="Q26" i="68"/>
  <c r="J26" i="68"/>
  <c r="M20" i="68"/>
  <c r="M148" i="68"/>
  <c r="M163" i="66"/>
  <c r="M165" i="66"/>
  <c r="M161" i="66"/>
  <c r="Q169" i="66"/>
  <c r="J169" i="66"/>
  <c r="M160" i="66"/>
  <c r="J170" i="66"/>
  <c r="M170" i="66" s="1"/>
  <c r="J32" i="66"/>
  <c r="M32" i="66" s="1"/>
  <c r="M14" i="68"/>
  <c r="M126" i="68"/>
  <c r="M166" i="68"/>
  <c r="K224" i="66"/>
  <c r="Q138" i="68"/>
  <c r="J138" i="68"/>
  <c r="K222" i="66"/>
  <c r="M165" i="68"/>
  <c r="K221" i="66"/>
  <c r="K187" i="66"/>
  <c r="J28" i="68"/>
  <c r="Q28" i="68"/>
  <c r="Q30" i="68"/>
  <c r="J30" i="68"/>
  <c r="M24" i="68"/>
  <c r="M22" i="68"/>
  <c r="M159" i="66"/>
  <c r="Q137" i="68"/>
  <c r="J137" i="68"/>
  <c r="M21" i="68"/>
  <c r="Q27" i="68"/>
  <c r="J27" i="68"/>
  <c r="M19" i="68"/>
  <c r="M158" i="68"/>
  <c r="K226" i="66"/>
  <c r="R166" i="66"/>
  <c r="K153" i="66"/>
  <c r="R9" i="66"/>
  <c r="R184" i="66"/>
  <c r="K186" i="66"/>
  <c r="R44" i="66"/>
  <c r="R14" i="66"/>
  <c r="K10" i="66"/>
  <c r="K44" i="66"/>
  <c r="K14" i="66"/>
  <c r="R10" i="66"/>
  <c r="K181" i="66"/>
  <c r="M188" i="66"/>
  <c r="R183" i="66"/>
  <c r="R182" i="66"/>
  <c r="R49" i="66"/>
  <c r="K15" i="66"/>
  <c r="M22" i="66"/>
  <c r="K48" i="66"/>
  <c r="K152" i="66"/>
  <c r="R43" i="66"/>
  <c r="K46" i="66"/>
  <c r="K182" i="66"/>
  <c r="R15" i="66"/>
  <c r="M154" i="66"/>
  <c r="R149" i="66"/>
  <c r="K166" i="66"/>
  <c r="K184" i="66"/>
  <c r="K12" i="66"/>
  <c r="R186" i="66"/>
  <c r="R147" i="66"/>
  <c r="R187" i="66"/>
  <c r="R48" i="66"/>
  <c r="R152" i="66"/>
  <c r="K43" i="66"/>
  <c r="R46" i="66"/>
  <c r="K148" i="66"/>
  <c r="K150" i="66"/>
  <c r="K49" i="66"/>
  <c r="R148" i="66"/>
  <c r="R150" i="66"/>
  <c r="K147" i="66"/>
  <c r="K193" i="66"/>
  <c r="K198" i="66"/>
  <c r="K194" i="66"/>
  <c r="K196" i="66"/>
  <c r="K195" i="66"/>
  <c r="K200" i="66"/>
  <c r="R194" i="66"/>
  <c r="R193" i="66"/>
  <c r="R196" i="66"/>
  <c r="R195" i="66"/>
  <c r="R198" i="66"/>
  <c r="R200" i="66"/>
  <c r="M201" i="66"/>
  <c r="K22" i="66"/>
  <c r="J36" i="66"/>
  <c r="Q36" i="66"/>
  <c r="M229" i="66"/>
  <c r="M166" i="66"/>
  <c r="M28" i="66"/>
  <c r="Q174" i="66"/>
  <c r="J174" i="66"/>
  <c r="K209" i="66"/>
  <c r="M50" i="66"/>
  <c r="M214" i="66"/>
  <c r="M24" i="66"/>
  <c r="M27" i="66"/>
  <c r="Q30" i="66"/>
  <c r="R26" i="66" s="1"/>
  <c r="J30" i="66"/>
  <c r="K26" i="66" s="1"/>
  <c r="Q171" i="66"/>
  <c r="J171" i="66"/>
  <c r="M25" i="66"/>
  <c r="M208" i="66"/>
  <c r="M210" i="66"/>
  <c r="M212" i="66"/>
  <c r="M207" i="66"/>
  <c r="J33" i="66"/>
  <c r="Q33" i="66"/>
  <c r="J31" i="66"/>
  <c r="Q31" i="66"/>
  <c r="J35" i="66"/>
  <c r="Q35" i="66"/>
  <c r="Q173" i="66"/>
  <c r="J173" i="66"/>
  <c r="M23" i="66"/>
  <c r="K17" i="52"/>
  <c r="K18" i="52"/>
  <c r="AF35" i="116" a="1"/>
  <c r="AA36" i="108" a="1"/>
  <c r="AA36" i="115" a="1"/>
  <c r="AA35" i="108" a="1"/>
  <c r="AF36" i="114" a="1"/>
  <c r="R36" i="113" a="1"/>
  <c r="W36" i="116" a="1"/>
  <c r="I36" i="115" a="1"/>
  <c r="I36" i="114" a="1"/>
  <c r="AF35" i="113" a="1"/>
  <c r="AF33" i="108" a="1"/>
  <c r="AF36" i="115" a="1"/>
  <c r="W36" i="115" a="1"/>
  <c r="AF36" i="108" a="1"/>
  <c r="AA35" i="113" a="1"/>
  <c r="AF35" i="115" a="1"/>
  <c r="AA36" i="114" a="1"/>
  <c r="I36" i="108" a="1"/>
  <c r="AA33" i="116" a="1"/>
  <c r="W36" i="114" a="1"/>
  <c r="AA36" i="116" a="1"/>
  <c r="N36" i="108" a="1"/>
  <c r="AF36" i="113" a="1"/>
  <c r="I36" i="116" a="1"/>
  <c r="AF33" i="116" a="1"/>
  <c r="AF35" i="114" a="1"/>
  <c r="AF33" i="113" a="1"/>
  <c r="AA33" i="114" a="1"/>
  <c r="J56" i="119" a="1"/>
  <c r="W36" i="108" a="1"/>
  <c r="AF33" i="115" a="1"/>
  <c r="N34" i="108" a="1"/>
  <c r="N34" i="116" a="1"/>
  <c r="AA36" i="113" a="1"/>
  <c r="R36" i="114" a="1"/>
  <c r="I36" i="113" a="1"/>
  <c r="AA33" i="115" a="1"/>
  <c r="AA33" i="108" a="1"/>
  <c r="AF36" i="116" a="1"/>
  <c r="AF35" i="108" a="1"/>
  <c r="AA35" i="115" a="1"/>
  <c r="AA35" i="116" a="1"/>
  <c r="J56" i="83" a="1"/>
  <c r="J190" i="66" l="1"/>
  <c r="K185" i="66"/>
  <c r="Q190" i="66"/>
  <c r="R185" i="66"/>
  <c r="J156" i="66"/>
  <c r="K151" i="66"/>
  <c r="Q156" i="66"/>
  <c r="R151" i="66"/>
  <c r="J52" i="66"/>
  <c r="K47" i="66"/>
  <c r="Q52" i="66"/>
  <c r="R47" i="66"/>
  <c r="J18" i="66"/>
  <c r="M18" i="66" s="1"/>
  <c r="K13" i="66"/>
  <c r="Q75" i="52"/>
  <c r="M104" i="52"/>
  <c r="M67" i="52"/>
  <c r="Q105" i="52"/>
  <c r="Q106" i="52" s="1"/>
  <c r="M74" i="52"/>
  <c r="S36" i="115"/>
  <c r="S36" i="108"/>
  <c r="S36" i="116"/>
  <c r="J56" i="119"/>
  <c r="M143" i="52"/>
  <c r="K73" i="52"/>
  <c r="K10" i="52"/>
  <c r="K110" i="52"/>
  <c r="R9" i="52"/>
  <c r="R11" i="52"/>
  <c r="R36" i="113"/>
  <c r="R36" i="114"/>
  <c r="W36" i="114"/>
  <c r="W36" i="115"/>
  <c r="W36" i="116"/>
  <c r="J56" i="83"/>
  <c r="AA33" i="116"/>
  <c r="AA36" i="116"/>
  <c r="AF33" i="116"/>
  <c r="AF35" i="116"/>
  <c r="I36" i="116"/>
  <c r="AA35" i="116"/>
  <c r="AB35" i="116" s="1"/>
  <c r="AF36" i="116"/>
  <c r="N34" i="116"/>
  <c r="AA35" i="115"/>
  <c r="AB35" i="115" s="1"/>
  <c r="AF36" i="115"/>
  <c r="AA33" i="115"/>
  <c r="AF33" i="115"/>
  <c r="AA36" i="115"/>
  <c r="AF35" i="115"/>
  <c r="I36" i="115"/>
  <c r="I36" i="114"/>
  <c r="AF36" i="114"/>
  <c r="AA33" i="114"/>
  <c r="AA36" i="114"/>
  <c r="AB36" i="114" s="1"/>
  <c r="AF35" i="114"/>
  <c r="AF36" i="113"/>
  <c r="AF33" i="113"/>
  <c r="AA36" i="113"/>
  <c r="AB36" i="113" s="1"/>
  <c r="AF35" i="113"/>
  <c r="I36" i="113"/>
  <c r="AA35" i="113"/>
  <c r="AB35" i="113" s="1"/>
  <c r="N36" i="108"/>
  <c r="M69" i="98"/>
  <c r="R136" i="68"/>
  <c r="R33" i="66"/>
  <c r="R36" i="66"/>
  <c r="R35" i="66"/>
  <c r="R30" i="66"/>
  <c r="M96" i="98"/>
  <c r="M105" i="98"/>
  <c r="M114" i="98"/>
  <c r="AF35" i="108"/>
  <c r="N34" i="108"/>
  <c r="AA33" i="108"/>
  <c r="AF36" i="108"/>
  <c r="AF33" i="108"/>
  <c r="R31" i="66"/>
  <c r="M51" i="98"/>
  <c r="AA35" i="108"/>
  <c r="AB35" i="108" s="1"/>
  <c r="W36" i="108"/>
  <c r="AA36" i="108"/>
  <c r="I36" i="108"/>
  <c r="M132" i="98"/>
  <c r="M182" i="68"/>
  <c r="M123" i="98"/>
  <c r="R137" i="68"/>
  <c r="R30" i="68"/>
  <c r="R26" i="68"/>
  <c r="K27" i="68"/>
  <c r="R28" i="68"/>
  <c r="R27" i="68"/>
  <c r="K28" i="68"/>
  <c r="K26" i="68"/>
  <c r="K136" i="68"/>
  <c r="K29" i="68"/>
  <c r="K138" i="68"/>
  <c r="R138" i="68"/>
  <c r="K137" i="68"/>
  <c r="M29" i="68"/>
  <c r="R29" i="68"/>
  <c r="M78" i="98"/>
  <c r="M42" i="98"/>
  <c r="M141" i="98"/>
  <c r="M15" i="98"/>
  <c r="M87" i="98"/>
  <c r="M60" i="98"/>
  <c r="M33" i="98"/>
  <c r="J203" i="66"/>
  <c r="J231" i="66"/>
  <c r="M44" i="68"/>
  <c r="J160" i="68"/>
  <c r="Q160" i="68"/>
  <c r="Q16" i="68"/>
  <c r="J16" i="68"/>
  <c r="K9" i="52"/>
  <c r="M86" i="52"/>
  <c r="M53" i="52"/>
  <c r="M142" i="52"/>
  <c r="K140" i="52"/>
  <c r="J144" i="52"/>
  <c r="J134" i="52"/>
  <c r="K51" i="52"/>
  <c r="M85" i="52"/>
  <c r="K141" i="52"/>
  <c r="R52" i="52"/>
  <c r="K71" i="52"/>
  <c r="K72" i="52"/>
  <c r="M44" i="52"/>
  <c r="M114" i="52"/>
  <c r="M111" i="52"/>
  <c r="M50" i="52"/>
  <c r="J45" i="52"/>
  <c r="M54" i="52"/>
  <c r="J56" i="52"/>
  <c r="J58" i="52" s="1"/>
  <c r="K109" i="52"/>
  <c r="K112" i="52"/>
  <c r="K52" i="52"/>
  <c r="Q56" i="52"/>
  <c r="R55" i="52" s="1"/>
  <c r="K49" i="52"/>
  <c r="M55" i="52"/>
  <c r="J68" i="52"/>
  <c r="R49" i="52"/>
  <c r="Q117" i="52"/>
  <c r="Q118" i="52" s="1"/>
  <c r="K102" i="52"/>
  <c r="J105" i="52"/>
  <c r="M116" i="52"/>
  <c r="R48" i="52"/>
  <c r="K48" i="52"/>
  <c r="K103" i="52"/>
  <c r="K113" i="52"/>
  <c r="J117" i="52"/>
  <c r="J118" i="52" s="1"/>
  <c r="M115" i="52"/>
  <c r="M24" i="52"/>
  <c r="M23" i="52"/>
  <c r="M36" i="52"/>
  <c r="M37" i="52"/>
  <c r="M22" i="52"/>
  <c r="M19" i="52"/>
  <c r="M12" i="52"/>
  <c r="R71" i="52"/>
  <c r="J75" i="52"/>
  <c r="J25" i="52"/>
  <c r="J27" i="52" s="1"/>
  <c r="K26" i="52" s="1"/>
  <c r="Q25" i="52"/>
  <c r="Q27" i="52" s="1"/>
  <c r="J81" i="52"/>
  <c r="H18" i="87"/>
  <c r="K16" i="87"/>
  <c r="K17" i="87" s="1"/>
  <c r="K18" i="87" s="1"/>
  <c r="I17" i="87"/>
  <c r="I18" i="87" s="1"/>
  <c r="J84" i="52"/>
  <c r="K83" i="52" s="1"/>
  <c r="M150" i="68"/>
  <c r="M138" i="68"/>
  <c r="M136" i="68"/>
  <c r="M137" i="68"/>
  <c r="M135" i="68"/>
  <c r="M128" i="68"/>
  <c r="Q231" i="66"/>
  <c r="R230" i="66"/>
  <c r="M26" i="68"/>
  <c r="M169" i="66"/>
  <c r="J13" i="52"/>
  <c r="Q170" i="68"/>
  <c r="M167" i="66"/>
  <c r="M27" i="68"/>
  <c r="M28" i="68"/>
  <c r="M169" i="68"/>
  <c r="J170" i="68"/>
  <c r="M30" i="68"/>
  <c r="M25" i="68"/>
  <c r="K24" i="68"/>
  <c r="R210" i="66"/>
  <c r="R208" i="66"/>
  <c r="K24" i="66"/>
  <c r="K28" i="66"/>
  <c r="K27" i="66"/>
  <c r="K212" i="66"/>
  <c r="K210" i="66"/>
  <c r="R214" i="66"/>
  <c r="R209" i="66"/>
  <c r="K163" i="66"/>
  <c r="K160" i="66"/>
  <c r="K165" i="66"/>
  <c r="K161" i="66"/>
  <c r="K162" i="66"/>
  <c r="K208" i="66"/>
  <c r="K23" i="66"/>
  <c r="K25" i="66"/>
  <c r="R207" i="66"/>
  <c r="R163" i="66"/>
  <c r="R165" i="66"/>
  <c r="R161" i="66"/>
  <c r="R160" i="66"/>
  <c r="R162" i="66"/>
  <c r="K207" i="66"/>
  <c r="Q216" i="66"/>
  <c r="R211" i="66" s="1"/>
  <c r="M29" i="66"/>
  <c r="K170" i="66"/>
  <c r="M174" i="66"/>
  <c r="K32" i="66"/>
  <c r="M215" i="66"/>
  <c r="J216" i="66"/>
  <c r="K211" i="66" s="1"/>
  <c r="R170" i="66"/>
  <c r="M36" i="66"/>
  <c r="M171" i="66"/>
  <c r="M173" i="66"/>
  <c r="M35" i="66"/>
  <c r="M31" i="66"/>
  <c r="M30" i="66"/>
  <c r="M33" i="66"/>
  <c r="M168" i="66"/>
  <c r="M16" i="66"/>
  <c r="N35" i="116" a="1"/>
  <c r="D77" i="119" a="1"/>
  <c r="J77" i="119" a="1"/>
  <c r="I34" i="113" a="1"/>
  <c r="L34" i="114" a="1"/>
  <c r="J56" i="120" a="1"/>
  <c r="I34" i="115" a="1"/>
  <c r="D63" i="119" a="1"/>
  <c r="N35" i="114" a="1"/>
  <c r="J70" i="120" a="1"/>
  <c r="J49" i="119" a="1"/>
  <c r="AD35" i="115" a="1"/>
  <c r="AA34" i="108" a="1"/>
  <c r="N34" i="115" a="1"/>
  <c r="I35" i="108" a="1"/>
  <c r="AA35" i="114" a="1"/>
  <c r="AF34" i="116" a="1"/>
  <c r="AD33" i="115" a="1"/>
  <c r="D56" i="83" a="1"/>
  <c r="D70" i="119" a="1"/>
  <c r="I34" i="114" a="1"/>
  <c r="I34" i="108" a="1"/>
  <c r="I34" i="116" a="1"/>
  <c r="AD35" i="108" a="1"/>
  <c r="J70" i="119" a="1"/>
  <c r="AD35" i="116" a="1"/>
  <c r="AF34" i="114" a="1"/>
  <c r="D77" i="120" a="1"/>
  <c r="D70" i="120" a="1"/>
  <c r="D56" i="119" a="1"/>
  <c r="AD35" i="113" a="1"/>
  <c r="J63" i="119" a="1"/>
  <c r="AF34" i="115" a="1"/>
  <c r="AA34" i="116" a="1"/>
  <c r="N35" i="113" a="1"/>
  <c r="AD33" i="116" a="1"/>
  <c r="N34" i="114" a="1"/>
  <c r="I35" i="113" a="1"/>
  <c r="AD33" i="108" a="1"/>
  <c r="D49" i="119" a="1"/>
  <c r="N35" i="108" a="1"/>
  <c r="D56" i="120" a="1"/>
  <c r="J63" i="120" a="1"/>
  <c r="N35" i="115" a="1"/>
  <c r="N34" i="113" a="1"/>
  <c r="D63" i="120" a="1"/>
  <c r="AA34" i="113" a="1"/>
  <c r="I35" i="115" a="1"/>
  <c r="D49" i="120" a="1"/>
  <c r="J49" i="120" a="1"/>
  <c r="AF34" i="113" a="1"/>
  <c r="AA34" i="115" a="1"/>
  <c r="I35" i="116" a="1"/>
  <c r="AA33" i="113" a="1"/>
  <c r="J77" i="120" a="1"/>
  <c r="AA34" i="114" a="1"/>
  <c r="AF34" i="108" a="1"/>
  <c r="I35" i="114" a="1"/>
  <c r="R26" i="52" l="1"/>
  <c r="AA34" i="115"/>
  <c r="AB34" i="115" s="1"/>
  <c r="AF34" i="115"/>
  <c r="AF37" i="115" s="1"/>
  <c r="M190" i="66"/>
  <c r="I34" i="115"/>
  <c r="J34" i="115" s="1"/>
  <c r="N34" i="115"/>
  <c r="M156" i="66"/>
  <c r="AF34" i="113"/>
  <c r="AF37" i="113" s="1"/>
  <c r="AA34" i="113"/>
  <c r="AB34" i="113" s="1"/>
  <c r="N34" i="113"/>
  <c r="I34" i="113"/>
  <c r="J34" i="113" s="1"/>
  <c r="AF34" i="114"/>
  <c r="AA34" i="114"/>
  <c r="AB34" i="114" s="1"/>
  <c r="I34" i="114"/>
  <c r="J34" i="114" s="1"/>
  <c r="N34" i="114"/>
  <c r="M52" i="66"/>
  <c r="M105" i="52"/>
  <c r="D77" i="120"/>
  <c r="D70" i="120"/>
  <c r="D49" i="120"/>
  <c r="J56" i="120"/>
  <c r="AB36" i="116"/>
  <c r="AB36" i="115"/>
  <c r="AB36" i="108"/>
  <c r="D63" i="120"/>
  <c r="D56" i="120"/>
  <c r="J77" i="120"/>
  <c r="J49" i="120"/>
  <c r="J70" i="120"/>
  <c r="J63" i="120"/>
  <c r="S36" i="114"/>
  <c r="S36" i="113"/>
  <c r="J77" i="119"/>
  <c r="J70" i="119"/>
  <c r="J63" i="119"/>
  <c r="U36" i="115"/>
  <c r="D77" i="119"/>
  <c r="D56" i="119"/>
  <c r="D63" i="119"/>
  <c r="D70" i="119"/>
  <c r="D49" i="119"/>
  <c r="J49" i="119"/>
  <c r="Q58" i="52"/>
  <c r="R57" i="52" s="1"/>
  <c r="K57" i="52"/>
  <c r="M118" i="52"/>
  <c r="Q144" i="52"/>
  <c r="Q145" i="52" s="1"/>
  <c r="Q119" i="52"/>
  <c r="Q120" i="52" s="1"/>
  <c r="V36" i="116"/>
  <c r="V36" i="115"/>
  <c r="V36" i="113"/>
  <c r="U36" i="113"/>
  <c r="U36" i="114"/>
  <c r="U36" i="116"/>
  <c r="AF34" i="116"/>
  <c r="I34" i="116"/>
  <c r="AA33" i="113"/>
  <c r="AA34" i="116"/>
  <c r="AB34" i="116" s="1"/>
  <c r="AA35" i="114"/>
  <c r="AB35" i="114" s="1"/>
  <c r="J36" i="108"/>
  <c r="J36" i="114"/>
  <c r="V36" i="114"/>
  <c r="J36" i="115"/>
  <c r="J36" i="116"/>
  <c r="D56" i="83"/>
  <c r="J36" i="113"/>
  <c r="L36" i="116"/>
  <c r="M36" i="116"/>
  <c r="I35" i="116"/>
  <c r="AD33" i="116"/>
  <c r="AD35" i="116"/>
  <c r="AE35" i="116" s="1"/>
  <c r="N35" i="116"/>
  <c r="AE36" i="116"/>
  <c r="AD36" i="116"/>
  <c r="AB33" i="116"/>
  <c r="I35" i="115"/>
  <c r="AD35" i="115"/>
  <c r="AE35" i="115" s="1"/>
  <c r="AD33" i="115"/>
  <c r="N35" i="115"/>
  <c r="M36" i="113"/>
  <c r="AB33" i="115"/>
  <c r="L36" i="115"/>
  <c r="M36" i="115"/>
  <c r="AE36" i="115"/>
  <c r="AD36" i="115"/>
  <c r="M36" i="114"/>
  <c r="L34" i="114"/>
  <c r="I35" i="114"/>
  <c r="N35" i="114"/>
  <c r="AB33" i="114"/>
  <c r="L36" i="114"/>
  <c r="AE36" i="114"/>
  <c r="AD36" i="114"/>
  <c r="I35" i="113"/>
  <c r="AD35" i="113"/>
  <c r="AE35" i="113" s="1"/>
  <c r="N35" i="113"/>
  <c r="AE36" i="113"/>
  <c r="AD36" i="113"/>
  <c r="L36" i="113"/>
  <c r="AB33" i="108"/>
  <c r="AE36" i="108"/>
  <c r="AD36" i="108"/>
  <c r="AD33" i="108"/>
  <c r="L36" i="108"/>
  <c r="M36" i="108"/>
  <c r="N35" i="108"/>
  <c r="I34" i="108"/>
  <c r="I35" i="108"/>
  <c r="AF34" i="108"/>
  <c r="AD35" i="108"/>
  <c r="AE35" i="108" s="1"/>
  <c r="AA34" i="108"/>
  <c r="AA37" i="108" s="1"/>
  <c r="U36" i="108"/>
  <c r="V36" i="108"/>
  <c r="M134" i="52"/>
  <c r="M68" i="52"/>
  <c r="M45" i="52"/>
  <c r="M160" i="68"/>
  <c r="M203" i="66"/>
  <c r="J217" i="66"/>
  <c r="J218" i="66" s="1"/>
  <c r="Q217" i="66"/>
  <c r="Q218" i="66" s="1"/>
  <c r="J171" i="68"/>
  <c r="J172" i="68" s="1"/>
  <c r="Q171" i="68"/>
  <c r="Q172" i="68" s="1"/>
  <c r="M16" i="68"/>
  <c r="M117" i="52"/>
  <c r="J145" i="52"/>
  <c r="K82" i="52"/>
  <c r="K80" i="52"/>
  <c r="K79" i="52"/>
  <c r="K116" i="52"/>
  <c r="M56" i="52"/>
  <c r="J59" i="52"/>
  <c r="J60" i="52" s="1"/>
  <c r="K115" i="52"/>
  <c r="J106" i="52"/>
  <c r="K55" i="52"/>
  <c r="R54" i="52"/>
  <c r="K54" i="52"/>
  <c r="M25" i="52"/>
  <c r="M27" i="52"/>
  <c r="K23" i="52"/>
  <c r="K24" i="52"/>
  <c r="J14" i="52"/>
  <c r="M75" i="52"/>
  <c r="J76" i="52"/>
  <c r="K20" i="87"/>
  <c r="K19" i="87"/>
  <c r="J87" i="52"/>
  <c r="K86" i="52" s="1"/>
  <c r="J38" i="66"/>
  <c r="R231" i="66"/>
  <c r="J140" i="68"/>
  <c r="J141" i="68" s="1"/>
  <c r="J142" i="68" s="1"/>
  <c r="M139" i="68"/>
  <c r="M231" i="66"/>
  <c r="M170" i="68"/>
  <c r="Q32" i="68"/>
  <c r="K30" i="68"/>
  <c r="Q140" i="68"/>
  <c r="Q141" i="68" s="1"/>
  <c r="Q142" i="68" s="1"/>
  <c r="M31" i="68"/>
  <c r="J33" i="68"/>
  <c r="J34" i="68" s="1"/>
  <c r="K168" i="66"/>
  <c r="K174" i="66"/>
  <c r="R169" i="66"/>
  <c r="R173" i="66"/>
  <c r="K31" i="66"/>
  <c r="R174" i="66"/>
  <c r="K171" i="66"/>
  <c r="K173" i="66"/>
  <c r="K30" i="66"/>
  <c r="K169" i="66"/>
  <c r="K33" i="66"/>
  <c r="R168" i="66"/>
  <c r="Q38" i="66"/>
  <c r="R171" i="66"/>
  <c r="K36" i="66"/>
  <c r="K35" i="66"/>
  <c r="J176" i="66"/>
  <c r="K172" i="66" s="1"/>
  <c r="M216" i="66"/>
  <c r="Q176" i="66"/>
  <c r="M37" i="66"/>
  <c r="M175" i="66"/>
  <c r="K21" i="52"/>
  <c r="K20" i="52"/>
  <c r="P10" i="57" a="1"/>
  <c r="P22" i="57" a="1"/>
  <c r="L35" i="114" a="1"/>
  <c r="I33" i="116" a="1"/>
  <c r="P16" i="57" a="1"/>
  <c r="L35" i="108" a="1"/>
  <c r="P21" i="57" a="1"/>
  <c r="J61" i="83" a="1"/>
  <c r="O25" i="57" a="1"/>
  <c r="P25" i="57" a="1"/>
  <c r="D47" i="83" a="1"/>
  <c r="AD34" i="115" a="1"/>
  <c r="J54" i="83" a="1"/>
  <c r="I33" i="114" a="1"/>
  <c r="P17" i="57" a="1"/>
  <c r="D48" i="83" a="1"/>
  <c r="R35" i="115" a="1"/>
  <c r="R35" i="108" a="1"/>
  <c r="L35" i="115" a="1"/>
  <c r="P15" i="57" a="1"/>
  <c r="X22" i="57" a="1"/>
  <c r="D75" i="83" a="1"/>
  <c r="AD33" i="113" a="1"/>
  <c r="AD35" i="114" a="1"/>
  <c r="AD34" i="113" a="1"/>
  <c r="P18" i="57" a="1"/>
  <c r="D76" i="83" a="1"/>
  <c r="X24" i="57" a="1"/>
  <c r="L34" i="115" a="1"/>
  <c r="O24" i="57" a="1"/>
  <c r="J47" i="83" a="1"/>
  <c r="J48" i="83" a="1"/>
  <c r="O22" i="57" a="1"/>
  <c r="AD34" i="114" a="1"/>
  <c r="J68" i="83" a="1"/>
  <c r="D62" i="83" a="1"/>
  <c r="R34" i="116" a="1"/>
  <c r="L34" i="116" a="1"/>
  <c r="P12" i="57" a="1"/>
  <c r="L35" i="113" a="1"/>
  <c r="D55" i="83" a="1"/>
  <c r="D61" i="83" a="1"/>
  <c r="P11" i="57" a="1"/>
  <c r="I33" i="108" a="1"/>
  <c r="P13" i="57" a="1"/>
  <c r="J76" i="83" a="1"/>
  <c r="V23" i="57" a="1"/>
  <c r="I33" i="115" a="1"/>
  <c r="D54" i="83" a="1"/>
  <c r="AD34" i="116" a="1"/>
  <c r="J75" i="83" a="1"/>
  <c r="J55" i="83" a="1"/>
  <c r="Y9" i="57" a="1"/>
  <c r="P24" i="57" a="1"/>
  <c r="V25" i="57" a="1"/>
  <c r="AD34" i="108" a="1"/>
  <c r="D69" i="83" a="1"/>
  <c r="R35" i="116" a="1"/>
  <c r="P9" i="57" a="1"/>
  <c r="L34" i="113" a="1"/>
  <c r="P23" i="57" a="1"/>
  <c r="D68" i="83" a="1"/>
  <c r="L34" i="108" a="1"/>
  <c r="I33" i="113" a="1"/>
  <c r="X25" i="57" a="1"/>
  <c r="P19" i="57" a="1"/>
  <c r="J69" i="83" a="1"/>
  <c r="L35" i="116" a="1"/>
  <c r="J62" i="83" a="1"/>
  <c r="W34" i="116" a="1"/>
  <c r="Y9" i="57" l="1"/>
  <c r="K56" i="119"/>
  <c r="H56" i="83"/>
  <c r="AA37" i="115"/>
  <c r="AB37" i="115" s="1"/>
  <c r="AD34" i="115"/>
  <c r="AE34" i="115" s="1"/>
  <c r="AD34" i="113"/>
  <c r="AE34" i="113" s="1"/>
  <c r="L34" i="115"/>
  <c r="M34" i="115" s="1"/>
  <c r="Q177" i="66"/>
  <c r="Q178" i="66" s="1"/>
  <c r="R172" i="66"/>
  <c r="L34" i="113"/>
  <c r="M34" i="113" s="1"/>
  <c r="D54" i="83"/>
  <c r="J54" i="83"/>
  <c r="AD34" i="114"/>
  <c r="AE34" i="114" s="1"/>
  <c r="J61" i="83"/>
  <c r="Q39" i="66"/>
  <c r="Q40" i="66" s="1"/>
  <c r="R34" i="66"/>
  <c r="J39" i="66"/>
  <c r="J40" i="66" s="1"/>
  <c r="K34" i="66"/>
  <c r="I33" i="108"/>
  <c r="AA37" i="113"/>
  <c r="AB37" i="113" s="1"/>
  <c r="AA37" i="116"/>
  <c r="AA37" i="114"/>
  <c r="AB37" i="114" s="1"/>
  <c r="H56" i="120"/>
  <c r="K77" i="119"/>
  <c r="K70" i="119"/>
  <c r="K56" i="120"/>
  <c r="H56" i="119"/>
  <c r="K63" i="119"/>
  <c r="H63" i="120"/>
  <c r="K63" i="120"/>
  <c r="M58" i="52"/>
  <c r="K70" i="120"/>
  <c r="H70" i="120"/>
  <c r="K49" i="120"/>
  <c r="H49" i="120"/>
  <c r="K77" i="120"/>
  <c r="H77" i="120"/>
  <c r="H63" i="119"/>
  <c r="H77" i="119"/>
  <c r="J89" i="52"/>
  <c r="J90" i="52" s="1"/>
  <c r="J91" i="52" s="1"/>
  <c r="H70" i="119"/>
  <c r="H49" i="119"/>
  <c r="K49" i="119"/>
  <c r="M144" i="52"/>
  <c r="AF37" i="108"/>
  <c r="AF37" i="116"/>
  <c r="Z38" i="116" s="1"/>
  <c r="AG35" i="116" s="1"/>
  <c r="M34" i="114"/>
  <c r="AB33" i="113"/>
  <c r="P19" i="57"/>
  <c r="AD34" i="116"/>
  <c r="AE34" i="116" s="1"/>
  <c r="AD33" i="113"/>
  <c r="AD35" i="114"/>
  <c r="AE35" i="114" s="1"/>
  <c r="L34" i="116"/>
  <c r="J35" i="114"/>
  <c r="J35" i="108"/>
  <c r="J35" i="115"/>
  <c r="K56" i="83"/>
  <c r="J35" i="116"/>
  <c r="J34" i="116"/>
  <c r="J55" i="83"/>
  <c r="D55" i="83"/>
  <c r="J35" i="113"/>
  <c r="R35" i="116"/>
  <c r="W34" i="116"/>
  <c r="I33" i="116"/>
  <c r="I37" i="116" s="1"/>
  <c r="L35" i="116"/>
  <c r="R34" i="116"/>
  <c r="AE33" i="116"/>
  <c r="I33" i="115"/>
  <c r="I37" i="115" s="1"/>
  <c r="R35" i="115"/>
  <c r="L35" i="115"/>
  <c r="AE33" i="115"/>
  <c r="Z38" i="115"/>
  <c r="I33" i="114"/>
  <c r="I37" i="114" s="1"/>
  <c r="L35" i="114"/>
  <c r="I33" i="113"/>
  <c r="I37" i="113" s="1"/>
  <c r="L35" i="113"/>
  <c r="Z38" i="113"/>
  <c r="AG37" i="113" s="1"/>
  <c r="AE33" i="108"/>
  <c r="AB37" i="108"/>
  <c r="J75" i="83"/>
  <c r="J47" i="83"/>
  <c r="J68" i="83"/>
  <c r="P25" i="57"/>
  <c r="D69" i="83"/>
  <c r="P12" i="57"/>
  <c r="X24" i="57"/>
  <c r="J69" i="83"/>
  <c r="D68" i="83"/>
  <c r="J62" i="83"/>
  <c r="D61" i="83"/>
  <c r="P10" i="57"/>
  <c r="D47" i="83"/>
  <c r="P15" i="57"/>
  <c r="P9" i="57"/>
  <c r="J34" i="108"/>
  <c r="AD34" i="108"/>
  <c r="L34" i="108"/>
  <c r="L35" i="108"/>
  <c r="R35" i="108"/>
  <c r="AB34" i="108"/>
  <c r="O25" i="57"/>
  <c r="M145" i="52"/>
  <c r="M106" i="52"/>
  <c r="P18" i="57"/>
  <c r="P16" i="57"/>
  <c r="P13" i="57"/>
  <c r="P24" i="57"/>
  <c r="P17" i="57"/>
  <c r="P11" i="57"/>
  <c r="P23" i="57"/>
  <c r="P21" i="57"/>
  <c r="P22" i="57"/>
  <c r="X22" i="57"/>
  <c r="X25" i="57"/>
  <c r="M172" i="68"/>
  <c r="M218" i="66"/>
  <c r="D75" i="83"/>
  <c r="O22" i="57"/>
  <c r="J76" i="83"/>
  <c r="D62" i="83"/>
  <c r="D76" i="83"/>
  <c r="J48" i="83"/>
  <c r="D48" i="83"/>
  <c r="K85" i="52"/>
  <c r="J119" i="52"/>
  <c r="M119" i="52" s="1"/>
  <c r="Q59" i="52"/>
  <c r="M59" i="52" s="1"/>
  <c r="V25" i="57"/>
  <c r="V23" i="57"/>
  <c r="O24" i="57"/>
  <c r="M142" i="68"/>
  <c r="M140" i="68"/>
  <c r="Q33" i="68"/>
  <c r="Q34" i="68" s="1"/>
  <c r="J177" i="66"/>
  <c r="J178" i="66" s="1"/>
  <c r="M32" i="68"/>
  <c r="M38" i="66"/>
  <c r="M176" i="66"/>
  <c r="W9" i="57" a="1"/>
  <c r="W22" i="57" a="1"/>
  <c r="D53" i="83" a="1"/>
  <c r="R35" i="114" a="1"/>
  <c r="D76" i="119" a="1"/>
  <c r="D48" i="120" a="1"/>
  <c r="W34" i="114" a="1"/>
  <c r="D75" i="119" a="1"/>
  <c r="D47" i="120" a="1"/>
  <c r="D48" i="119" a="1"/>
  <c r="J68" i="120" a="1"/>
  <c r="N24" i="57" a="1"/>
  <c r="W34" i="115" a="1"/>
  <c r="W35" i="113" a="1"/>
  <c r="X9" i="57" a="1"/>
  <c r="N9" i="57" a="1"/>
  <c r="J75" i="120" a="1"/>
  <c r="W24" i="57" a="1"/>
  <c r="O23" i="57" a="1"/>
  <c r="N12" i="57" a="1"/>
  <c r="D69" i="120" a="1"/>
  <c r="U34" i="116" a="1"/>
  <c r="R34" i="113" a="1"/>
  <c r="W12" i="57" a="1"/>
  <c r="O11" i="57" a="1"/>
  <c r="J54" i="120" a="1"/>
  <c r="J75" i="119" a="1"/>
  <c r="W34" i="113" a="1"/>
  <c r="O13" i="57" a="1"/>
  <c r="O10" i="57" a="1"/>
  <c r="X21" i="57" a="1"/>
  <c r="D76" i="120" a="1"/>
  <c r="W11" i="57" a="1"/>
  <c r="D69" i="119" a="1"/>
  <c r="N13" i="57" a="1"/>
  <c r="N11" i="57" a="1"/>
  <c r="N25" i="57" a="1"/>
  <c r="J47" i="120" a="1"/>
  <c r="Z21" i="57" a="1"/>
  <c r="X12" i="57" a="1"/>
  <c r="W25" i="57" a="1"/>
  <c r="O9" i="57" a="1"/>
  <c r="Z23" i="57" a="1"/>
  <c r="D61" i="120" a="1"/>
  <c r="O21" i="57" a="1"/>
  <c r="V21" i="57" a="1"/>
  <c r="R34" i="115" a="1"/>
  <c r="N23" i="57" a="1"/>
  <c r="O12" i="57" a="1"/>
  <c r="X10" i="57" a="1"/>
  <c r="W35" i="115" a="1"/>
  <c r="D75" i="120" a="1"/>
  <c r="W10" i="57" a="1"/>
  <c r="X23" i="57" a="1"/>
  <c r="W13" i="57" a="1"/>
  <c r="W34" i="108" a="1"/>
  <c r="N21" i="57" a="1"/>
  <c r="V22" i="57" a="1"/>
  <c r="W35" i="108" a="1"/>
  <c r="W23" i="57" a="1"/>
  <c r="N10" i="57" a="1"/>
  <c r="W35" i="116" a="1"/>
  <c r="J61" i="120" a="1"/>
  <c r="W35" i="114" a="1"/>
  <c r="R35" i="113" a="1"/>
  <c r="D46" i="83" a="1"/>
  <c r="Z22" i="57" a="1"/>
  <c r="X13" i="57" a="1"/>
  <c r="X11" i="57" a="1"/>
  <c r="N22" i="57" a="1"/>
  <c r="R34" i="114" a="1"/>
  <c r="Z24" i="57" a="1"/>
  <c r="R34" i="108" a="1"/>
  <c r="D60" i="83" a="1"/>
  <c r="Z21" i="57" l="1"/>
  <c r="Z23" i="57"/>
  <c r="Z24" i="57"/>
  <c r="Z22" i="57"/>
  <c r="I37" i="108"/>
  <c r="AE37" i="115"/>
  <c r="AD37" i="115"/>
  <c r="M40" i="66"/>
  <c r="W34" i="115"/>
  <c r="F54" i="83"/>
  <c r="W34" i="113"/>
  <c r="K54" i="83"/>
  <c r="R34" i="114"/>
  <c r="S34" i="114" s="1"/>
  <c r="W34" i="114"/>
  <c r="K61" i="83"/>
  <c r="R34" i="108"/>
  <c r="W34" i="108"/>
  <c r="AE37" i="113"/>
  <c r="AD37" i="113"/>
  <c r="D61" i="120"/>
  <c r="D75" i="120"/>
  <c r="J68" i="120"/>
  <c r="D76" i="120"/>
  <c r="D69" i="120"/>
  <c r="J54" i="120"/>
  <c r="J61" i="120"/>
  <c r="J47" i="120"/>
  <c r="D48" i="120"/>
  <c r="J75" i="120"/>
  <c r="D47" i="120"/>
  <c r="D48" i="119"/>
  <c r="J75" i="119"/>
  <c r="D69" i="119"/>
  <c r="D76" i="119"/>
  <c r="D75" i="119"/>
  <c r="K88" i="52"/>
  <c r="AG37" i="116"/>
  <c r="AD38" i="116"/>
  <c r="AE33" i="113"/>
  <c r="E9" i="116"/>
  <c r="E16" i="116" s="1"/>
  <c r="AG34" i="116"/>
  <c r="AG36" i="116"/>
  <c r="AE37" i="116"/>
  <c r="AG33" i="116"/>
  <c r="S35" i="108"/>
  <c r="S35" i="116"/>
  <c r="S35" i="115"/>
  <c r="S34" i="116"/>
  <c r="AB37" i="116"/>
  <c r="AD37" i="116"/>
  <c r="M35" i="114"/>
  <c r="M35" i="115"/>
  <c r="M35" i="108"/>
  <c r="R35" i="113"/>
  <c r="R34" i="115"/>
  <c r="R34" i="113"/>
  <c r="R35" i="114"/>
  <c r="M34" i="116"/>
  <c r="M35" i="116"/>
  <c r="D53" i="83"/>
  <c r="G55" i="83"/>
  <c r="K55" i="83"/>
  <c r="M35" i="113"/>
  <c r="W35" i="116"/>
  <c r="U34" i="116"/>
  <c r="J33" i="116"/>
  <c r="W35" i="115"/>
  <c r="E9" i="115"/>
  <c r="AD38" i="115"/>
  <c r="AG33" i="115"/>
  <c r="AG36" i="115"/>
  <c r="AG34" i="115"/>
  <c r="AG35" i="115"/>
  <c r="AG37" i="115"/>
  <c r="J33" i="115"/>
  <c r="W35" i="114"/>
  <c r="J33" i="114"/>
  <c r="W35" i="113"/>
  <c r="E9" i="113"/>
  <c r="AD38" i="113"/>
  <c r="AG36" i="113"/>
  <c r="AG35" i="113"/>
  <c r="AG33" i="113"/>
  <c r="AG34" i="113"/>
  <c r="J33" i="113"/>
  <c r="K75" i="83"/>
  <c r="F47" i="83"/>
  <c r="K68" i="83"/>
  <c r="F61" i="83"/>
  <c r="F68" i="83"/>
  <c r="G69" i="83"/>
  <c r="K47" i="83"/>
  <c r="K69" i="83"/>
  <c r="X12" i="57"/>
  <c r="N12" i="57"/>
  <c r="O12" i="57"/>
  <c r="W24" i="57"/>
  <c r="N24" i="57"/>
  <c r="W12" i="57"/>
  <c r="J33" i="108"/>
  <c r="K62" i="83"/>
  <c r="N23" i="57"/>
  <c r="W23" i="57"/>
  <c r="N11" i="57"/>
  <c r="W11" i="57"/>
  <c r="M34" i="108"/>
  <c r="W22" i="57"/>
  <c r="N22" i="57"/>
  <c r="W10" i="57"/>
  <c r="W35" i="108"/>
  <c r="N10" i="57"/>
  <c r="N21" i="57"/>
  <c r="W9" i="57"/>
  <c r="N9" i="57"/>
  <c r="AD37" i="108"/>
  <c r="AE37" i="108"/>
  <c r="AE34" i="108"/>
  <c r="Z38" i="108"/>
  <c r="AG37" i="108" s="1"/>
  <c r="D46" i="83"/>
  <c r="W13" i="57"/>
  <c r="X21" i="57"/>
  <c r="X9" i="57"/>
  <c r="O21" i="57"/>
  <c r="X10" i="57"/>
  <c r="X23" i="57"/>
  <c r="X11" i="57"/>
  <c r="O23" i="57"/>
  <c r="O11" i="57"/>
  <c r="X13" i="57"/>
  <c r="O9" i="57"/>
  <c r="G62" i="83"/>
  <c r="F75" i="83"/>
  <c r="O10" i="57"/>
  <c r="O13" i="57"/>
  <c r="G76" i="83"/>
  <c r="W25" i="57"/>
  <c r="N13" i="57"/>
  <c r="K76" i="83"/>
  <c r="K48" i="83"/>
  <c r="G48" i="83"/>
  <c r="J120" i="52"/>
  <c r="Q60" i="52"/>
  <c r="D60" i="83"/>
  <c r="V22" i="57"/>
  <c r="V21" i="57"/>
  <c r="N25" i="57"/>
  <c r="M34" i="68"/>
  <c r="M178" i="66"/>
  <c r="J28" i="52"/>
  <c r="D62" i="119" a="1"/>
  <c r="X19" i="57" a="1"/>
  <c r="J69" i="119" a="1"/>
  <c r="J76" i="119" a="1"/>
  <c r="D61" i="119" a="1"/>
  <c r="D74" i="83" a="1"/>
  <c r="Z25" i="57" a="1"/>
  <c r="J62" i="120" a="1"/>
  <c r="U34" i="114" a="1"/>
  <c r="J69" i="120" a="1"/>
  <c r="D55" i="120" a="1"/>
  <c r="D54" i="119" a="1"/>
  <c r="D50" i="83" a="1"/>
  <c r="D57" i="83" a="1"/>
  <c r="J54" i="119" a="1"/>
  <c r="D49" i="83" a="1"/>
  <c r="V24" i="57" a="1"/>
  <c r="Y25" i="57" a="1"/>
  <c r="J76" i="120" a="1"/>
  <c r="J47" i="119" a="1"/>
  <c r="D54" i="120" a="1"/>
  <c r="D64" i="83" a="1"/>
  <c r="Q22" i="57" a="1"/>
  <c r="D78" i="83" a="1"/>
  <c r="Y23" i="57" a="1"/>
  <c r="U35" i="108" a="1"/>
  <c r="V11" i="57" a="1"/>
  <c r="J55" i="119" a="1"/>
  <c r="D63" i="83" a="1"/>
  <c r="D71" i="83" a="1"/>
  <c r="D55" i="119" a="1"/>
  <c r="D68" i="119" a="1"/>
  <c r="U34" i="115" a="1"/>
  <c r="U35" i="114" a="1"/>
  <c r="J68" i="119" a="1"/>
  <c r="D68" i="120" a="1"/>
  <c r="U34" i="108" a="1"/>
  <c r="J61" i="119" a="1"/>
  <c r="V9" i="57" a="1"/>
  <c r="J55" i="120" a="1"/>
  <c r="J62" i="119" a="1"/>
  <c r="D47" i="119" a="1"/>
  <c r="D67" i="83" a="1"/>
  <c r="U35" i="116" a="1"/>
  <c r="U35" i="115" a="1"/>
  <c r="J48" i="119" a="1"/>
  <c r="U34" i="113" a="1"/>
  <c r="D62" i="120" a="1"/>
  <c r="Y22" i="57" a="1"/>
  <c r="U35" i="113" a="1"/>
  <c r="J48" i="120" a="1"/>
  <c r="Z25" i="57" l="1"/>
  <c r="U34" i="108"/>
  <c r="J68" i="119"/>
  <c r="J54" i="119"/>
  <c r="U34" i="114"/>
  <c r="V34" i="114" s="1"/>
  <c r="J61" i="119"/>
  <c r="D61" i="119"/>
  <c r="D47" i="119"/>
  <c r="J47" i="119"/>
  <c r="S34" i="108"/>
  <c r="K75" i="119"/>
  <c r="F75" i="119"/>
  <c r="D55" i="120"/>
  <c r="J69" i="120"/>
  <c r="J55" i="120"/>
  <c r="D62" i="120"/>
  <c r="J62" i="120"/>
  <c r="D54" i="120"/>
  <c r="J48" i="120"/>
  <c r="J76" i="120"/>
  <c r="D68" i="120"/>
  <c r="F47" i="120"/>
  <c r="K47" i="120"/>
  <c r="K61" i="120"/>
  <c r="F61" i="120"/>
  <c r="K75" i="120"/>
  <c r="F75" i="120"/>
  <c r="J69" i="119"/>
  <c r="J55" i="119"/>
  <c r="D55" i="119"/>
  <c r="J76" i="119"/>
  <c r="D62" i="119"/>
  <c r="J62" i="119"/>
  <c r="D54" i="119"/>
  <c r="J48" i="119"/>
  <c r="D68" i="119"/>
  <c r="V34" i="116"/>
  <c r="E15" i="116"/>
  <c r="S34" i="113"/>
  <c r="S34" i="115"/>
  <c r="S35" i="113"/>
  <c r="S35" i="114"/>
  <c r="U34" i="113"/>
  <c r="U34" i="115"/>
  <c r="D50" i="83"/>
  <c r="J37" i="108"/>
  <c r="D57" i="83"/>
  <c r="J37" i="113"/>
  <c r="D78" i="83"/>
  <c r="J37" i="116"/>
  <c r="D71" i="83"/>
  <c r="J37" i="115"/>
  <c r="D64" i="83"/>
  <c r="J37" i="114"/>
  <c r="U35" i="116"/>
  <c r="U35" i="115"/>
  <c r="V35" i="115" s="1"/>
  <c r="E16" i="115"/>
  <c r="E15" i="115"/>
  <c r="U35" i="114"/>
  <c r="U35" i="113"/>
  <c r="E15" i="113"/>
  <c r="E16" i="113"/>
  <c r="M120" i="52"/>
  <c r="Q22" i="57"/>
  <c r="U35" i="108"/>
  <c r="V35" i="108" s="1"/>
  <c r="E9" i="108"/>
  <c r="AD38" i="108"/>
  <c r="AG33" i="108"/>
  <c r="AG36" i="108"/>
  <c r="AG35" i="108"/>
  <c r="AG34" i="108"/>
  <c r="V24" i="57"/>
  <c r="M60" i="52"/>
  <c r="Y23" i="57"/>
  <c r="Y25" i="57"/>
  <c r="V9" i="57"/>
  <c r="V11" i="57"/>
  <c r="J29" i="52"/>
  <c r="D49" i="83"/>
  <c r="D63" i="83"/>
  <c r="Y22" i="57"/>
  <c r="X19" i="57"/>
  <c r="D74" i="83"/>
  <c r="D67" i="83"/>
  <c r="X15" i="57" a="1"/>
  <c r="N17" i="57" a="1"/>
  <c r="R33" i="115" a="1"/>
  <c r="X18" i="57" a="1"/>
  <c r="W17" i="57" a="1"/>
  <c r="W19" i="57" a="1"/>
  <c r="O16" i="57" a="1"/>
  <c r="O15" i="57" a="1"/>
  <c r="W18" i="57" a="1"/>
  <c r="V13" i="57" a="1"/>
  <c r="R33" i="114" a="1"/>
  <c r="V12" i="57" a="1"/>
  <c r="I18" i="57" a="1"/>
  <c r="D70" i="83" a="1"/>
  <c r="X16" i="57" a="1"/>
  <c r="O19" i="57" a="1"/>
  <c r="Z13" i="57" a="1"/>
  <c r="Z12" i="57" a="1"/>
  <c r="N18" i="57" a="1"/>
  <c r="R33" i="116" a="1"/>
  <c r="N19" i="57" a="1"/>
  <c r="R33" i="113" a="1"/>
  <c r="W16" i="57" a="1"/>
  <c r="N15" i="57" a="1"/>
  <c r="Y24" i="57" a="1"/>
  <c r="O18" i="57" a="1"/>
  <c r="R33" i="108" a="1"/>
  <c r="W15" i="57" a="1"/>
  <c r="Z9" i="57" a="1"/>
  <c r="D77" i="83" a="1"/>
  <c r="N16" i="57" a="1"/>
  <c r="Z10" i="57" a="1"/>
  <c r="O17" i="57" a="1"/>
  <c r="Y11" i="57" a="1"/>
  <c r="X17" i="57" a="1"/>
  <c r="V10" i="57" a="1"/>
  <c r="Z11" i="57" a="1"/>
  <c r="Z10" i="57" l="1"/>
  <c r="Z11" i="57"/>
  <c r="Z9" i="57"/>
  <c r="Z12" i="57"/>
  <c r="Z13" i="57"/>
  <c r="F68" i="120"/>
  <c r="F54" i="120"/>
  <c r="D58" i="83"/>
  <c r="K68" i="119"/>
  <c r="N15" i="57"/>
  <c r="F54" i="119"/>
  <c r="K61" i="119"/>
  <c r="F61" i="119"/>
  <c r="F47" i="119"/>
  <c r="W15" i="57"/>
  <c r="K47" i="119"/>
  <c r="V34" i="108"/>
  <c r="K54" i="120"/>
  <c r="K68" i="120"/>
  <c r="K54" i="119"/>
  <c r="F68" i="119"/>
  <c r="K76" i="120"/>
  <c r="G76" i="120"/>
  <c r="G48" i="120"/>
  <c r="K48" i="120"/>
  <c r="K62" i="120"/>
  <c r="G62" i="120"/>
  <c r="K55" i="120"/>
  <c r="G55" i="120"/>
  <c r="G69" i="120"/>
  <c r="K69" i="120"/>
  <c r="G48" i="119"/>
  <c r="K48" i="119"/>
  <c r="G62" i="119"/>
  <c r="K62" i="119"/>
  <c r="K76" i="119"/>
  <c r="G76" i="119"/>
  <c r="K55" i="119"/>
  <c r="G55" i="119"/>
  <c r="G69" i="119"/>
  <c r="K69" i="119"/>
  <c r="V34" i="113"/>
  <c r="V35" i="113"/>
  <c r="V34" i="115"/>
  <c r="V35" i="114"/>
  <c r="O19" i="57"/>
  <c r="V35" i="116"/>
  <c r="R33" i="116"/>
  <c r="R37" i="116" s="1"/>
  <c r="R33" i="115"/>
  <c r="R37" i="115" s="1"/>
  <c r="R33" i="114"/>
  <c r="R37" i="114" s="1"/>
  <c r="R33" i="113"/>
  <c r="R37" i="113" s="1"/>
  <c r="W17" i="57"/>
  <c r="N17" i="57"/>
  <c r="R33" i="108"/>
  <c r="R37" i="108" s="1"/>
  <c r="E15" i="108"/>
  <c r="E16" i="108"/>
  <c r="Y24" i="57"/>
  <c r="I18" i="57"/>
  <c r="D51" i="83"/>
  <c r="D65" i="83"/>
  <c r="X15" i="57"/>
  <c r="X17" i="57"/>
  <c r="Y11" i="57"/>
  <c r="V13" i="57"/>
  <c r="W18" i="57"/>
  <c r="W19" i="57"/>
  <c r="V12" i="57"/>
  <c r="W16" i="57"/>
  <c r="X18" i="57"/>
  <c r="X16" i="57"/>
  <c r="V10" i="57"/>
  <c r="O15" i="57"/>
  <c r="N16" i="57"/>
  <c r="O17" i="57"/>
  <c r="N18" i="57"/>
  <c r="N19" i="57"/>
  <c r="O16" i="57"/>
  <c r="O18" i="57"/>
  <c r="D77" i="83"/>
  <c r="D70" i="83"/>
  <c r="D74" i="120" a="1"/>
  <c r="D60" i="119" a="1"/>
  <c r="D74" i="119" a="1"/>
  <c r="D67" i="119" a="1"/>
  <c r="D60" i="120" a="1"/>
  <c r="D46" i="120" a="1"/>
  <c r="D53" i="120" a="1"/>
  <c r="Y13" i="57" a="1"/>
  <c r="H18" i="57" a="1"/>
  <c r="Y19" i="57" a="1"/>
  <c r="Y12" i="57" a="1"/>
  <c r="Y10" i="57" a="1"/>
  <c r="D67" i="120" a="1"/>
  <c r="D53" i="119" a="1"/>
  <c r="D46" i="119" a="1"/>
  <c r="D46" i="120" l="1"/>
  <c r="D53" i="120"/>
  <c r="D60" i="120"/>
  <c r="D67" i="120"/>
  <c r="D74" i="120"/>
  <c r="D46" i="119"/>
  <c r="D53" i="119"/>
  <c r="D60" i="119"/>
  <c r="D67" i="119"/>
  <c r="D74" i="119"/>
  <c r="S33" i="116"/>
  <c r="S33" i="115"/>
  <c r="S33" i="114"/>
  <c r="S33" i="113"/>
  <c r="S33" i="108"/>
  <c r="H18" i="57"/>
  <c r="D79" i="83"/>
  <c r="D72" i="83"/>
  <c r="Y13" i="57"/>
  <c r="Y12" i="57"/>
  <c r="Y19" i="57"/>
  <c r="Y10" i="57"/>
  <c r="M21" i="66"/>
  <c r="D64" i="119" a="1"/>
  <c r="D50" i="120" a="1"/>
  <c r="V16" i="57" a="1"/>
  <c r="V19" i="57" a="1"/>
  <c r="V18" i="57" a="1"/>
  <c r="V17" i="57" a="1"/>
  <c r="D57" i="120" a="1"/>
  <c r="D71" i="120" a="1"/>
  <c r="D64" i="120" a="1"/>
  <c r="Y18" i="57" a="1"/>
  <c r="D71" i="119" a="1"/>
  <c r="D78" i="120" a="1"/>
  <c r="D50" i="119" a="1"/>
  <c r="V15" i="57" a="1"/>
  <c r="D78" i="119" a="1"/>
  <c r="D57" i="119" a="1"/>
  <c r="Y17" i="57" a="1"/>
  <c r="D64" i="120" l="1"/>
  <c r="D71" i="120"/>
  <c r="D50" i="120"/>
  <c r="D78" i="120"/>
  <c r="D57" i="120"/>
  <c r="D78" i="119"/>
  <c r="D50" i="119"/>
  <c r="D57" i="119"/>
  <c r="D64" i="119"/>
  <c r="D71" i="119"/>
  <c r="S37" i="113"/>
  <c r="V19" i="57"/>
  <c r="S37" i="116"/>
  <c r="V18" i="57"/>
  <c r="S37" i="115"/>
  <c r="V17" i="57"/>
  <c r="S37" i="114"/>
  <c r="S37" i="108"/>
  <c r="V16" i="57"/>
  <c r="V15" i="57"/>
  <c r="Y17" i="57"/>
  <c r="Y18" i="57"/>
  <c r="Z16" i="57" a="1"/>
  <c r="Y16" i="57" a="1"/>
  <c r="Z18" i="57" a="1"/>
  <c r="Y15" i="57" a="1"/>
  <c r="Z17" i="57" a="1"/>
  <c r="Z19" i="57" a="1"/>
  <c r="Z15" i="57" a="1"/>
  <c r="Z18" i="57" l="1"/>
  <c r="Z17" i="57"/>
  <c r="Z19" i="57"/>
  <c r="Z16" i="57"/>
  <c r="Z15" i="57"/>
  <c r="D79" i="120"/>
  <c r="D72" i="120"/>
  <c r="D65" i="120"/>
  <c r="D58" i="120"/>
  <c r="D51" i="120"/>
  <c r="D79" i="119"/>
  <c r="D72" i="119"/>
  <c r="D65" i="119"/>
  <c r="D58" i="119"/>
  <c r="D51" i="119"/>
  <c r="Y15" i="57"/>
  <c r="Y16" i="57"/>
  <c r="W21" i="57" a="1"/>
  <c r="W21" i="57" l="1"/>
  <c r="Y21" i="57" a="1"/>
  <c r="Y21" i="57" l="1"/>
  <c r="M22" i="57" a="1"/>
  <c r="M22" i="57" l="1"/>
  <c r="H14" i="57" a="1"/>
  <c r="H14" i="57" l="1"/>
  <c r="R22" i="57" a="1"/>
  <c r="H17" i="57" l="1"/>
  <c r="H19" i="57" s="1"/>
  <c r="R22" i="57"/>
  <c r="I19" i="57" l="1"/>
  <c r="M13" i="52"/>
  <c r="Q14" i="52" l="1"/>
  <c r="N33" i="113" a="1"/>
  <c r="N33" i="115" a="1"/>
  <c r="N33" i="108" a="1"/>
  <c r="N33" i="116" a="1"/>
  <c r="N33" i="116" l="1"/>
  <c r="N33" i="115"/>
  <c r="N33" i="113"/>
  <c r="N33" i="108"/>
  <c r="M14" i="52"/>
  <c r="R17" i="52"/>
  <c r="R18" i="52"/>
  <c r="R23" i="52"/>
  <c r="R24" i="52"/>
  <c r="R10" i="52"/>
  <c r="Q81" i="52"/>
  <c r="Q84" i="52"/>
  <c r="M84" i="52" s="1"/>
  <c r="Q87" i="52"/>
  <c r="M87" i="52" s="1"/>
  <c r="L33" i="113" a="1"/>
  <c r="L33" i="115" a="1"/>
  <c r="L33" i="116" a="1"/>
  <c r="L33" i="108" a="1"/>
  <c r="J53" i="83" a="1"/>
  <c r="Q89" i="52" l="1"/>
  <c r="M89" i="52" s="1"/>
  <c r="M81" i="52"/>
  <c r="N37" i="108"/>
  <c r="J53" i="83"/>
  <c r="L33" i="116"/>
  <c r="M33" i="116" s="1"/>
  <c r="N37" i="116"/>
  <c r="L33" i="115"/>
  <c r="M33" i="115" s="1"/>
  <c r="N37" i="115"/>
  <c r="L33" i="113"/>
  <c r="M33" i="113" s="1"/>
  <c r="N37" i="113"/>
  <c r="L33" i="108"/>
  <c r="M33" i="108" s="1"/>
  <c r="J57" i="83" a="1"/>
  <c r="M10" i="57" a="1"/>
  <c r="R88" i="52" l="1"/>
  <c r="M37" i="108"/>
  <c r="H38" i="108"/>
  <c r="H38" i="115"/>
  <c r="O35" i="115" s="1"/>
  <c r="L37" i="108"/>
  <c r="J57" i="83"/>
  <c r="H38" i="113"/>
  <c r="O37" i="113" s="1"/>
  <c r="E53" i="83"/>
  <c r="K53" i="83"/>
  <c r="M37" i="116"/>
  <c r="L37" i="116"/>
  <c r="H38" i="116"/>
  <c r="M37" i="115"/>
  <c r="L37" i="115"/>
  <c r="M37" i="113"/>
  <c r="L37" i="113"/>
  <c r="M10" i="57"/>
  <c r="Q90" i="52"/>
  <c r="M90" i="52" s="1"/>
  <c r="Q10" i="57" a="1"/>
  <c r="J58" i="83" l="1"/>
  <c r="O33" i="108"/>
  <c r="L38" i="108"/>
  <c r="O37" i="108"/>
  <c r="C9" i="108"/>
  <c r="C15" i="108" s="1"/>
  <c r="O35" i="108"/>
  <c r="O34" i="108"/>
  <c r="O36" i="108"/>
  <c r="O34" i="115"/>
  <c r="O36" i="115"/>
  <c r="C9" i="115"/>
  <c r="C15" i="115" s="1"/>
  <c r="L38" i="115"/>
  <c r="O34" i="113"/>
  <c r="O36" i="113"/>
  <c r="O33" i="115"/>
  <c r="O37" i="115"/>
  <c r="O33" i="113"/>
  <c r="O35" i="113"/>
  <c r="E52" i="83"/>
  <c r="F52" i="83" s="1"/>
  <c r="G52" i="83" s="1"/>
  <c r="H52" i="83" s="1"/>
  <c r="C9" i="113"/>
  <c r="C16" i="113" s="1"/>
  <c r="L38" i="113"/>
  <c r="I57" i="83"/>
  <c r="K57" i="83"/>
  <c r="L38" i="116"/>
  <c r="C9" i="116"/>
  <c r="O36" i="116"/>
  <c r="O34" i="116"/>
  <c r="O35" i="116"/>
  <c r="O33" i="116"/>
  <c r="O37" i="116"/>
  <c r="Q10" i="57"/>
  <c r="Q91" i="52"/>
  <c r="D14" i="57" a="1"/>
  <c r="K58" i="83" l="1"/>
  <c r="C16" i="108"/>
  <c r="C16" i="115"/>
  <c r="I52" i="83"/>
  <c r="C15" i="113"/>
  <c r="C15" i="116"/>
  <c r="C16" i="116"/>
  <c r="D14" i="57"/>
  <c r="M91" i="52"/>
  <c r="D18" i="57" a="1"/>
  <c r="R10" i="57" a="1"/>
  <c r="E12" i="57" a="1"/>
  <c r="E18" i="57" a="1"/>
  <c r="J14" i="57" l="1"/>
  <c r="E12" i="57"/>
  <c r="D18" i="57"/>
  <c r="D17" i="57" s="1"/>
  <c r="D19" i="57" s="1"/>
  <c r="E18" i="57"/>
  <c r="R10" i="57"/>
  <c r="R95" i="52"/>
  <c r="R94" i="52"/>
  <c r="Q98" i="52"/>
  <c r="M98" i="52" s="1"/>
  <c r="E19" i="57" l="1"/>
  <c r="Q99" i="52"/>
  <c r="AF33" i="114" a="1"/>
  <c r="AF33" i="114" l="1"/>
  <c r="M99" i="52"/>
  <c r="AD33" i="114" a="1"/>
  <c r="M21" i="57" a="1"/>
  <c r="AD33" i="114" l="1"/>
  <c r="AF37" i="114"/>
  <c r="M21" i="57"/>
  <c r="M23" i="57" a="1"/>
  <c r="Q21" i="57" a="1"/>
  <c r="M23" i="57" l="1"/>
  <c r="AE37" i="114"/>
  <c r="AD37" i="114"/>
  <c r="Z38" i="114"/>
  <c r="AG37" i="114" s="1"/>
  <c r="AE33" i="114"/>
  <c r="Q21" i="57"/>
  <c r="Q23" i="57" a="1"/>
  <c r="H8" i="57" a="1"/>
  <c r="Q23" i="57" l="1"/>
  <c r="AG34" i="114"/>
  <c r="E9" i="114"/>
  <c r="AG35" i="114"/>
  <c r="AD38" i="114"/>
  <c r="AG36" i="114"/>
  <c r="AG33" i="114"/>
  <c r="H8" i="57"/>
  <c r="Q76" i="52"/>
  <c r="R21" i="57" a="1"/>
  <c r="I12" i="57" a="1"/>
  <c r="H12" i="57" a="1"/>
  <c r="N33" i="114" a="1"/>
  <c r="N33" i="114" l="1"/>
  <c r="E16" i="114"/>
  <c r="E15" i="114"/>
  <c r="H12" i="57"/>
  <c r="H11" i="57" s="1"/>
  <c r="H13" i="57" s="1"/>
  <c r="I12" i="57"/>
  <c r="R21" i="57"/>
  <c r="M76" i="52"/>
  <c r="H24" i="57" a="1"/>
  <c r="L33" i="114" a="1"/>
  <c r="J60" i="83" a="1"/>
  <c r="I24" i="57" a="1"/>
  <c r="J46" i="83" a="1"/>
  <c r="I13" i="57" l="1"/>
  <c r="I24" i="57"/>
  <c r="L33" i="114"/>
  <c r="M33" i="114" s="1"/>
  <c r="H24" i="57"/>
  <c r="N37" i="114"/>
  <c r="J46" i="83"/>
  <c r="J60" i="83"/>
  <c r="M11" i="57" a="1"/>
  <c r="J64" i="83" a="1"/>
  <c r="M9" i="57" a="1"/>
  <c r="J50" i="83" a="1"/>
  <c r="H38" i="114" l="1"/>
  <c r="O37" i="114" s="1"/>
  <c r="M37" i="114"/>
  <c r="L37" i="114"/>
  <c r="M9" i="57"/>
  <c r="J50" i="83"/>
  <c r="K46" i="83"/>
  <c r="E46" i="83"/>
  <c r="J64" i="83"/>
  <c r="K60" i="83"/>
  <c r="M11" i="57"/>
  <c r="Q9" i="57" a="1"/>
  <c r="Q11" i="57" a="1"/>
  <c r="H20" i="57" a="1"/>
  <c r="K50" i="83" l="1"/>
  <c r="E45" i="83"/>
  <c r="F45" i="83" s="1"/>
  <c r="G45" i="83" s="1"/>
  <c r="O34" i="114"/>
  <c r="O35" i="114"/>
  <c r="C9" i="114"/>
  <c r="L38" i="114"/>
  <c r="O36" i="114"/>
  <c r="O33" i="114"/>
  <c r="E59" i="83"/>
  <c r="F59" i="83" s="1"/>
  <c r="G59" i="83" s="1"/>
  <c r="Q9" i="57"/>
  <c r="Q11" i="57"/>
  <c r="I50" i="83"/>
  <c r="K64" i="83"/>
  <c r="I64" i="83"/>
  <c r="H20" i="57"/>
  <c r="E60" i="83"/>
  <c r="R85" i="52"/>
  <c r="R86" i="52"/>
  <c r="R82" i="52"/>
  <c r="R83" i="52"/>
  <c r="R72" i="52"/>
  <c r="R79" i="52"/>
  <c r="R80" i="52"/>
  <c r="R23" i="57" a="1"/>
  <c r="H23" i="57" l="1"/>
  <c r="H25" i="57" s="1"/>
  <c r="C15" i="114"/>
  <c r="C16" i="114"/>
  <c r="R23" i="57"/>
  <c r="D20" i="57" a="1"/>
  <c r="J63" i="83" a="1"/>
  <c r="I25" i="57" l="1"/>
  <c r="D20" i="57"/>
  <c r="J63" i="83"/>
  <c r="D24" i="57" a="1"/>
  <c r="E24" i="57" a="1"/>
  <c r="R11" i="57" a="1"/>
  <c r="J20" i="57" l="1"/>
  <c r="J65" i="83"/>
  <c r="E24" i="57"/>
  <c r="R11" i="57"/>
  <c r="D24" i="57"/>
  <c r="D23" i="57" s="1"/>
  <c r="H63" i="83"/>
  <c r="K63" i="83"/>
  <c r="K65" i="83" l="1"/>
  <c r="D25" i="57"/>
  <c r="E25" i="57" s="1"/>
  <c r="H59" i="83"/>
  <c r="I59" i="83" s="1"/>
  <c r="M24" i="57" a="1"/>
  <c r="M24" i="57" l="1"/>
  <c r="Q24" i="57" a="1"/>
  <c r="Q24" i="57" l="1"/>
  <c r="J67" i="83" a="1"/>
  <c r="J67" i="83" l="1"/>
  <c r="M12" i="57" a="1"/>
  <c r="J71" i="83" a="1"/>
  <c r="J71" i="83" l="1"/>
  <c r="K67" i="83"/>
  <c r="M12" i="57"/>
  <c r="I30" i="57" a="1"/>
  <c r="Q12" i="57" a="1"/>
  <c r="R24" i="57" a="1"/>
  <c r="I71" i="83" l="1"/>
  <c r="E66" i="83"/>
  <c r="F66" i="83" s="1"/>
  <c r="G66" i="83" s="1"/>
  <c r="I30" i="57"/>
  <c r="Q12" i="57"/>
  <c r="K71" i="83"/>
  <c r="R24" i="57"/>
  <c r="J70" i="83" a="1"/>
  <c r="J70" i="83" l="1"/>
  <c r="E30" i="57" a="1"/>
  <c r="R12" i="57" a="1"/>
  <c r="H70" i="83" l="1"/>
  <c r="J72" i="83"/>
  <c r="K70" i="83"/>
  <c r="R12" i="57"/>
  <c r="E30" i="57"/>
  <c r="H26" i="57" a="1"/>
  <c r="K72" i="83" l="1"/>
  <c r="H66" i="83"/>
  <c r="I66" i="83" s="1"/>
  <c r="H26" i="57"/>
  <c r="E67" i="83"/>
  <c r="R102" i="52"/>
  <c r="R103" i="52"/>
  <c r="R115" i="52"/>
  <c r="R116" i="52"/>
  <c r="R110" i="52"/>
  <c r="R109" i="52"/>
  <c r="R123" i="52"/>
  <c r="R124" i="52"/>
  <c r="R112" i="52"/>
  <c r="R113" i="52"/>
  <c r="H30" i="57" a="1"/>
  <c r="D30" i="57" a="1"/>
  <c r="D26" i="57" a="1"/>
  <c r="H30" i="57" l="1"/>
  <c r="H29" i="57" s="1"/>
  <c r="D30" i="57"/>
  <c r="D26" i="57"/>
  <c r="J74" i="83" a="1"/>
  <c r="J26" i="57" l="1"/>
  <c r="H31" i="57"/>
  <c r="I31" i="57" s="1"/>
  <c r="D29" i="57"/>
  <c r="J74" i="83"/>
  <c r="J78" i="83" a="1"/>
  <c r="M13" i="57" a="1"/>
  <c r="D31" i="57" l="1"/>
  <c r="E31" i="57" s="1"/>
  <c r="J78" i="83"/>
  <c r="M13" i="57"/>
  <c r="Q13" i="57" a="1"/>
  <c r="K78" i="83" l="1"/>
  <c r="Q13" i="57"/>
  <c r="I78" i="83"/>
  <c r="K74" i="83"/>
  <c r="D36" i="57" a="1"/>
  <c r="J77" i="83" a="1"/>
  <c r="E73" i="83" l="1"/>
  <c r="F73" i="83" s="1"/>
  <c r="G73" i="83" s="1"/>
  <c r="J77" i="83"/>
  <c r="D36" i="57"/>
  <c r="R13" i="57" a="1"/>
  <c r="E36" i="57" a="1"/>
  <c r="J79" i="83" l="1"/>
  <c r="E36" i="57"/>
  <c r="R13" i="57"/>
  <c r="K77" i="83"/>
  <c r="H77" i="83"/>
  <c r="D32" i="57" a="1"/>
  <c r="K79" i="83" l="1"/>
  <c r="H73" i="83"/>
  <c r="I73" i="83" s="1"/>
  <c r="D32" i="57"/>
  <c r="J32" i="57" l="1"/>
  <c r="D35" i="57"/>
  <c r="D37" i="57" s="1"/>
  <c r="E74" i="83"/>
  <c r="E37" i="57" l="1"/>
  <c r="R130" i="52"/>
  <c r="R131" i="52"/>
  <c r="Q25" i="57" a="1"/>
  <c r="M25" i="57" a="1"/>
  <c r="Q25" i="57" l="1"/>
  <c r="M25" i="57"/>
  <c r="I36" i="57" a="1"/>
  <c r="R25" i="57" a="1"/>
  <c r="I36" i="57" l="1"/>
  <c r="R25" i="57"/>
  <c r="H36" i="57" a="1"/>
  <c r="H36" i="57" l="1"/>
  <c r="R138" i="52"/>
  <c r="R137" i="52"/>
  <c r="R152" i="52"/>
  <c r="R151" i="52"/>
  <c r="R140" i="52"/>
  <c r="R141" i="52"/>
  <c r="H32" i="57" a="1"/>
  <c r="H32" i="57" l="1"/>
  <c r="J49" i="83" a="1"/>
  <c r="D12" i="57" a="1"/>
  <c r="D8" i="57" a="1"/>
  <c r="H35" i="57" l="1"/>
  <c r="H37" i="57" s="1"/>
  <c r="J49" i="83"/>
  <c r="D8" i="57"/>
  <c r="D12" i="57"/>
  <c r="R9" i="57" a="1"/>
  <c r="J51" i="83" l="1"/>
  <c r="D11" i="57"/>
  <c r="D13" i="57" s="1"/>
  <c r="I37" i="57"/>
  <c r="H49" i="83"/>
  <c r="K49" i="83"/>
  <c r="R9" i="57"/>
  <c r="K51" i="83" l="1"/>
  <c r="E13" i="57"/>
  <c r="H45" i="83"/>
  <c r="I45" i="83" s="1"/>
  <c r="Q28" i="52"/>
  <c r="M28" i="52" s="1"/>
  <c r="R21" i="52"/>
  <c r="Q29" i="52" l="1"/>
  <c r="W33" i="113" a="1"/>
  <c r="W33" i="108" a="1"/>
  <c r="W33" i="116" a="1"/>
  <c r="W33" i="115" a="1"/>
  <c r="W33" i="114" a="1"/>
  <c r="W33" i="116" l="1"/>
  <c r="W33" i="115"/>
  <c r="W33" i="114"/>
  <c r="W33" i="113"/>
  <c r="W33" i="108"/>
  <c r="M29" i="52"/>
  <c r="J74" i="120" a="1"/>
  <c r="U33" i="115" a="1"/>
  <c r="U33" i="116" a="1"/>
  <c r="U33" i="108" a="1"/>
  <c r="U33" i="113" a="1"/>
  <c r="J60" i="119" a="1"/>
  <c r="J74" i="119" a="1"/>
  <c r="U33" i="114" a="1"/>
  <c r="J67" i="119" a="1"/>
  <c r="J60" i="120" a="1"/>
  <c r="J46" i="120" a="1"/>
  <c r="J53" i="119" a="1"/>
  <c r="J67" i="120" a="1"/>
  <c r="J46" i="119" a="1"/>
  <c r="J53" i="120" a="1"/>
  <c r="J46" i="120" l="1"/>
  <c r="J53" i="120"/>
  <c r="J60" i="120"/>
  <c r="J67" i="120"/>
  <c r="J74" i="120"/>
  <c r="J60" i="119"/>
  <c r="J46" i="119"/>
  <c r="J53" i="119"/>
  <c r="J67" i="119"/>
  <c r="J74" i="119"/>
  <c r="W37" i="108"/>
  <c r="U33" i="116"/>
  <c r="W37" i="116"/>
  <c r="U33" i="115"/>
  <c r="W37" i="115"/>
  <c r="U33" i="114"/>
  <c r="W37" i="114"/>
  <c r="U33" i="113"/>
  <c r="V33" i="113" s="1"/>
  <c r="W37" i="113"/>
  <c r="U33" i="108"/>
  <c r="V33" i="108" s="1"/>
  <c r="J78" i="119" a="1"/>
  <c r="J57" i="119" a="1"/>
  <c r="M15" i="57" a="1"/>
  <c r="J50" i="120" a="1"/>
  <c r="J64" i="119" a="1"/>
  <c r="J50" i="119" a="1"/>
  <c r="J71" i="120" a="1"/>
  <c r="J71" i="119" a="1"/>
  <c r="M17" i="57" a="1"/>
  <c r="J64" i="120" a="1"/>
  <c r="M19" i="57" a="1"/>
  <c r="M18" i="57" a="1"/>
  <c r="M16" i="57" a="1"/>
  <c r="J78" i="120" a="1"/>
  <c r="J57" i="120" a="1"/>
  <c r="J71" i="120" l="1"/>
  <c r="J78" i="120"/>
  <c r="J50" i="120"/>
  <c r="J57" i="120"/>
  <c r="J64" i="120"/>
  <c r="K74" i="120"/>
  <c r="E74" i="120"/>
  <c r="E67" i="120"/>
  <c r="K67" i="120"/>
  <c r="K60" i="120"/>
  <c r="E60" i="120"/>
  <c r="K53" i="120"/>
  <c r="E53" i="120"/>
  <c r="K46" i="120"/>
  <c r="E46" i="120"/>
  <c r="J78" i="119"/>
  <c r="J57" i="119"/>
  <c r="J50" i="119"/>
  <c r="J64" i="119"/>
  <c r="J71" i="119"/>
  <c r="Q38" i="108"/>
  <c r="U38" i="108" s="1"/>
  <c r="E74" i="119"/>
  <c r="K74" i="119"/>
  <c r="E67" i="119"/>
  <c r="K67" i="119"/>
  <c r="E66" i="119" s="1"/>
  <c r="F66" i="119" s="1"/>
  <c r="G66" i="119" s="1"/>
  <c r="H66" i="119" s="1"/>
  <c r="E53" i="119"/>
  <c r="K53" i="119"/>
  <c r="K46" i="119"/>
  <c r="E46" i="119"/>
  <c r="E60" i="119"/>
  <c r="K60" i="119"/>
  <c r="M19" i="57"/>
  <c r="V33" i="116"/>
  <c r="M18" i="57"/>
  <c r="V33" i="115"/>
  <c r="M17" i="57"/>
  <c r="V33" i="114"/>
  <c r="V37" i="116"/>
  <c r="U37" i="116"/>
  <c r="Q38" i="116"/>
  <c r="X37" i="116" s="1"/>
  <c r="V37" i="115"/>
  <c r="U37" i="115"/>
  <c r="Q38" i="115"/>
  <c r="X37" i="115" s="1"/>
  <c r="V37" i="114"/>
  <c r="U37" i="114"/>
  <c r="Q38" i="114"/>
  <c r="V37" i="113"/>
  <c r="U37" i="113"/>
  <c r="Q38" i="113"/>
  <c r="X37" i="113" s="1"/>
  <c r="M16" i="57"/>
  <c r="V37" i="108"/>
  <c r="U37" i="108"/>
  <c r="M15" i="57"/>
  <c r="Q16" i="57" a="1"/>
  <c r="Q19" i="57" a="1"/>
  <c r="Q18" i="57" a="1"/>
  <c r="Q15" i="57" a="1"/>
  <c r="Q17" i="57" a="1"/>
  <c r="J79" i="120" l="1"/>
  <c r="J72" i="120"/>
  <c r="J65" i="120"/>
  <c r="J58" i="120"/>
  <c r="J51" i="120"/>
  <c r="J65" i="119"/>
  <c r="J58" i="119"/>
  <c r="X35" i="108"/>
  <c r="E52" i="120"/>
  <c r="F52" i="120" s="1"/>
  <c r="G52" i="120" s="1"/>
  <c r="H52" i="120" s="1"/>
  <c r="E73" i="120"/>
  <c r="F73" i="120" s="1"/>
  <c r="G73" i="120" s="1"/>
  <c r="H73" i="120" s="1"/>
  <c r="I64" i="120"/>
  <c r="K64" i="120"/>
  <c r="E59" i="120"/>
  <c r="F59" i="120" s="1"/>
  <c r="G59" i="120" s="1"/>
  <c r="H59" i="120" s="1"/>
  <c r="K57" i="120"/>
  <c r="I57" i="120"/>
  <c r="K50" i="120"/>
  <c r="I50" i="120"/>
  <c r="E45" i="120"/>
  <c r="F45" i="120" s="1"/>
  <c r="G45" i="120" s="1"/>
  <c r="H45" i="120" s="1"/>
  <c r="E66" i="120"/>
  <c r="F66" i="120" s="1"/>
  <c r="G66" i="120" s="1"/>
  <c r="H66" i="120" s="1"/>
  <c r="K78" i="120"/>
  <c r="I78" i="120"/>
  <c r="K71" i="120"/>
  <c r="I71" i="120"/>
  <c r="X37" i="108"/>
  <c r="E73" i="119"/>
  <c r="F73" i="119" s="1"/>
  <c r="G73" i="119" s="1"/>
  <c r="H73" i="119" s="1"/>
  <c r="K71" i="119"/>
  <c r="I71" i="119"/>
  <c r="E52" i="119"/>
  <c r="F52" i="119" s="1"/>
  <c r="G52" i="119" s="1"/>
  <c r="H52" i="119" s="1"/>
  <c r="I64" i="119"/>
  <c r="K64" i="119"/>
  <c r="E59" i="119"/>
  <c r="F59" i="119" s="1"/>
  <c r="G59" i="119" s="1"/>
  <c r="H59" i="119" s="1"/>
  <c r="J72" i="119"/>
  <c r="I50" i="119"/>
  <c r="K50" i="119"/>
  <c r="X33" i="108"/>
  <c r="K57" i="119"/>
  <c r="I57" i="119"/>
  <c r="E45" i="119"/>
  <c r="F45" i="119" s="1"/>
  <c r="G45" i="119" s="1"/>
  <c r="H45" i="119" s="1"/>
  <c r="X36" i="108"/>
  <c r="D9" i="108"/>
  <c r="D16" i="108" s="1"/>
  <c r="X34" i="108"/>
  <c r="J51" i="119"/>
  <c r="J79" i="119"/>
  <c r="K78" i="119"/>
  <c r="I78" i="119"/>
  <c r="Q19" i="57"/>
  <c r="Q18" i="57"/>
  <c r="Q17" i="57"/>
  <c r="U38" i="116"/>
  <c r="D9" i="116"/>
  <c r="X36" i="116"/>
  <c r="X34" i="116"/>
  <c r="X35" i="116"/>
  <c r="X33" i="116"/>
  <c r="U38" i="115"/>
  <c r="D9" i="115"/>
  <c r="X36" i="115"/>
  <c r="X34" i="115"/>
  <c r="X35" i="115"/>
  <c r="X33" i="115"/>
  <c r="U38" i="114"/>
  <c r="D9" i="114"/>
  <c r="X36" i="114"/>
  <c r="X34" i="114"/>
  <c r="X35" i="114"/>
  <c r="X33" i="114"/>
  <c r="X37" i="114"/>
  <c r="U38" i="113"/>
  <c r="D9" i="113"/>
  <c r="X36" i="113"/>
  <c r="X34" i="113"/>
  <c r="X35" i="113"/>
  <c r="X33" i="113"/>
  <c r="Q16" i="57"/>
  <c r="Q15" i="57"/>
  <c r="F20" i="57" a="1"/>
  <c r="F32" i="57" a="1"/>
  <c r="F14" i="57" a="1"/>
  <c r="F8" i="57" a="1"/>
  <c r="F26" i="57" a="1"/>
  <c r="K79" i="120" l="1"/>
  <c r="K72" i="120"/>
  <c r="K65" i="120"/>
  <c r="K58" i="120"/>
  <c r="K51" i="120"/>
  <c r="K79" i="119"/>
  <c r="K72" i="119"/>
  <c r="K65" i="119"/>
  <c r="K58" i="119"/>
  <c r="K51" i="119"/>
  <c r="I59" i="120"/>
  <c r="I66" i="120"/>
  <c r="I45" i="120"/>
  <c r="I73" i="120"/>
  <c r="I52" i="120"/>
  <c r="D15" i="108"/>
  <c r="I73" i="119"/>
  <c r="I59" i="119"/>
  <c r="I45" i="119"/>
  <c r="I52" i="119"/>
  <c r="I66" i="119"/>
  <c r="F32" i="57"/>
  <c r="F26" i="57"/>
  <c r="F20" i="57"/>
  <c r="D15" i="116"/>
  <c r="D16" i="116"/>
  <c r="D16" i="115"/>
  <c r="D15" i="115"/>
  <c r="D16" i="114"/>
  <c r="D15" i="114"/>
  <c r="D16" i="113"/>
  <c r="D15" i="113"/>
  <c r="F14" i="57"/>
  <c r="F8" i="57"/>
  <c r="F12" i="57" a="1"/>
  <c r="G12" i="57" a="1"/>
  <c r="F30" i="57" a="1"/>
  <c r="R17" i="57" a="1"/>
  <c r="G36" i="57" a="1"/>
  <c r="G18" i="57" a="1"/>
  <c r="F24" i="57" a="1"/>
  <c r="R16" i="57" a="1"/>
  <c r="G24" i="57" a="1"/>
  <c r="F36" i="57" a="1"/>
  <c r="R15" i="57" a="1"/>
  <c r="G30" i="57" a="1"/>
  <c r="R18" i="57" a="1"/>
  <c r="F18" i="57" a="1"/>
  <c r="R19" i="57" a="1"/>
  <c r="F12" i="57" l="1"/>
  <c r="F11" i="57" s="1"/>
  <c r="F13" i="57" s="1"/>
  <c r="G36" i="57"/>
  <c r="R19" i="57"/>
  <c r="F36" i="57"/>
  <c r="F35" i="57" s="1"/>
  <c r="F37" i="57" s="1"/>
  <c r="F30" i="57"/>
  <c r="F29" i="57" s="1"/>
  <c r="G30" i="57"/>
  <c r="R18" i="57"/>
  <c r="R17" i="57"/>
  <c r="G24" i="57"/>
  <c r="F24" i="57"/>
  <c r="F23" i="57" s="1"/>
  <c r="F25" i="57" s="1"/>
  <c r="G18" i="57"/>
  <c r="R16" i="57"/>
  <c r="F18" i="57"/>
  <c r="F17" i="57" s="1"/>
  <c r="F19" i="57" s="1"/>
  <c r="G12" i="57"/>
  <c r="R15" i="57"/>
  <c r="G37" i="57" l="1"/>
  <c r="F31" i="57"/>
  <c r="G31" i="57" s="1"/>
  <c r="G25" i="57"/>
  <c r="G19" i="57"/>
  <c r="G13" i="5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<sst xmlns="http://schemas.openxmlformats.org/spreadsheetml/2006/main" count="3690" uniqueCount="288">
  <si>
    <t>Energex</t>
  </si>
  <si>
    <t>Distribution zone</t>
  </si>
  <si>
    <t>Ausgrid</t>
  </si>
  <si>
    <t>Essential</t>
  </si>
  <si>
    <t>Endeavour</t>
  </si>
  <si>
    <t>SAPN</t>
  </si>
  <si>
    <t>Residential</t>
  </si>
  <si>
    <t>Contents</t>
  </si>
  <si>
    <t>Network costs</t>
  </si>
  <si>
    <t>Wholesale costs</t>
  </si>
  <si>
    <t>Index</t>
  </si>
  <si>
    <t>S. No.</t>
  </si>
  <si>
    <t>Customer type</t>
  </si>
  <si>
    <t>Tariff type</t>
  </si>
  <si>
    <t>Flat rate with CL</t>
  </si>
  <si>
    <t>Small business</t>
  </si>
  <si>
    <t>CL1</t>
  </si>
  <si>
    <t>CL2</t>
  </si>
  <si>
    <t>CL</t>
  </si>
  <si>
    <t>Environmental costs</t>
  </si>
  <si>
    <t>Summary</t>
  </si>
  <si>
    <t>&lt;&lt;Back to Index</t>
  </si>
  <si>
    <t>Flat rate</t>
  </si>
  <si>
    <t>Change</t>
  </si>
  <si>
    <t>Cost</t>
  </si>
  <si>
    <t>Tariff</t>
  </si>
  <si>
    <t>Proportion</t>
  </si>
  <si>
    <t>Usage</t>
  </si>
  <si>
    <t>kWh/yr</t>
  </si>
  <si>
    <t>Units</t>
  </si>
  <si>
    <t>%</t>
  </si>
  <si>
    <t>Value</t>
  </si>
  <si>
    <t>Assumption</t>
  </si>
  <si>
    <t>CPI</t>
  </si>
  <si>
    <t>Days in year</t>
  </si>
  <si>
    <t>Description</t>
  </si>
  <si>
    <t>Yes</t>
  </si>
  <si>
    <t>No</t>
  </si>
  <si>
    <t>Yes/No</t>
  </si>
  <si>
    <t>Customer</t>
  </si>
  <si>
    <t>Distribution zones</t>
  </si>
  <si>
    <t>GST</t>
  </si>
  <si>
    <t>TOU</t>
  </si>
  <si>
    <t>Flat rate without CL</t>
  </si>
  <si>
    <t>Base year</t>
  </si>
  <si>
    <t>Determination year</t>
  </si>
  <si>
    <t>Index assessment</t>
  </si>
  <si>
    <t>$/MWh</t>
  </si>
  <si>
    <t>$</t>
  </si>
  <si>
    <t>Fixed</t>
  </si>
  <si>
    <t>Variable</t>
  </si>
  <si>
    <t>Annual usage (kWh)</t>
  </si>
  <si>
    <t>% change</t>
  </si>
  <si>
    <t>Contribution 
to change</t>
  </si>
  <si>
    <t>Controlled load usage (kWh)</t>
  </si>
  <si>
    <t>Flat rate usage (kWh)</t>
  </si>
  <si>
    <t>DUOS</t>
  </si>
  <si>
    <t>TUOS</t>
  </si>
  <si>
    <t>CCF</t>
  </si>
  <si>
    <t>kWh</t>
  </si>
  <si>
    <t>% y-o-y check</t>
  </si>
  <si>
    <t>Total</t>
  </si>
  <si>
    <t>CL1 Proportion</t>
  </si>
  <si>
    <t>NUOS</t>
  </si>
  <si>
    <t>x-factor</t>
  </si>
  <si>
    <t>NA</t>
  </si>
  <si>
    <t>Rate of change</t>
  </si>
  <si>
    <t>ACS</t>
  </si>
  <si>
    <t>Network cost</t>
  </si>
  <si>
    <t>Wholesale cost</t>
  </si>
  <si>
    <t>Environmental cost</t>
  </si>
  <si>
    <t>Network Cost</t>
  </si>
  <si>
    <t>Description2</t>
  </si>
  <si>
    <t>DMO price</t>
  </si>
  <si>
    <t>$ pa</t>
  </si>
  <si>
    <t>Overall change in costs (%)</t>
  </si>
  <si>
    <t>WEC</t>
  </si>
  <si>
    <t>Ancillary</t>
  </si>
  <si>
    <t>RERT</t>
  </si>
  <si>
    <t>Losses</t>
  </si>
  <si>
    <t>LRET</t>
  </si>
  <si>
    <t>SRES</t>
  </si>
  <si>
    <t>ESS</t>
  </si>
  <si>
    <t>Small Business</t>
  </si>
  <si>
    <t>JSO</t>
  </si>
  <si>
    <t>NEM fee</t>
  </si>
  <si>
    <t>REES</t>
  </si>
  <si>
    <t>Total inc GST</t>
  </si>
  <si>
    <t>Wholesale Cost</t>
  </si>
  <si>
    <t>Environmental Cost</t>
  </si>
  <si>
    <t>DMO Price</t>
  </si>
  <si>
    <t>Click on each box to go to the sheet</t>
  </si>
  <si>
    <t>Tariff level 1</t>
  </si>
  <si>
    <t>Tariff level 2</t>
  </si>
  <si>
    <t>Tariff level 3</t>
  </si>
  <si>
    <t>All costs excl GST</t>
  </si>
  <si>
    <t>CL2 Proportion</t>
  </si>
  <si>
    <t>Note: DMO prices have been rounded to the nearest integer</t>
  </si>
  <si>
    <t>Cost stacks</t>
  </si>
  <si>
    <t>Detail inputs</t>
  </si>
  <si>
    <t>Key inputs</t>
  </si>
  <si>
    <t>Structure</t>
  </si>
  <si>
    <t>Model Structure and Acronyms</t>
  </si>
  <si>
    <t>Distribution Use of System</t>
  </si>
  <si>
    <t>Transmission Use of System</t>
  </si>
  <si>
    <t>Network Use of System</t>
  </si>
  <si>
    <t>Climate Change Fund</t>
  </si>
  <si>
    <t>Jurisdictional Scheme Obligations</t>
  </si>
  <si>
    <t>Alternative Control Services</t>
  </si>
  <si>
    <t>Wholesale Energy Cost</t>
  </si>
  <si>
    <t>Ancillary Charges</t>
  </si>
  <si>
    <t>ECA</t>
  </si>
  <si>
    <t>FRC</t>
  </si>
  <si>
    <t>NTP</t>
  </si>
  <si>
    <t>Full Retail Contestability</t>
  </si>
  <si>
    <t>National Transmission Planner</t>
  </si>
  <si>
    <t>Prudential fee</t>
  </si>
  <si>
    <t>RPP</t>
  </si>
  <si>
    <t>STP</t>
  </si>
  <si>
    <t>LGC</t>
  </si>
  <si>
    <t>STC</t>
  </si>
  <si>
    <t>DLF</t>
  </si>
  <si>
    <t>MLF</t>
  </si>
  <si>
    <t>Network losses, combined loss factor of DLF and MLF</t>
  </si>
  <si>
    <t>Renewable Power Percentage</t>
  </si>
  <si>
    <t>Small-scale Technology Percentage</t>
  </si>
  <si>
    <t>Large-scale Generation Certificate</t>
  </si>
  <si>
    <t>Small-scale Generation Certificate</t>
  </si>
  <si>
    <t>Large-scale Renewable Energy Target</t>
  </si>
  <si>
    <t>Small-scale Renewable Energy Scheme</t>
  </si>
  <si>
    <t>Retail Energy Efficiency Scheme (South Australia)</t>
  </si>
  <si>
    <t>Energy Savings Scheme (New South Wales)</t>
  </si>
  <si>
    <t>Controlled Load</t>
  </si>
  <si>
    <t>Time Of Use</t>
  </si>
  <si>
    <t>DMO</t>
  </si>
  <si>
    <t>Default Market Offer</t>
  </si>
  <si>
    <t>MWh</t>
  </si>
  <si>
    <t>Mega Watt hour</t>
  </si>
  <si>
    <t>pa</t>
  </si>
  <si>
    <t>per annum</t>
  </si>
  <si>
    <t>All prices inc GST</t>
  </si>
  <si>
    <t>Key Inputs and Assumptions</t>
  </si>
  <si>
    <t>General inputs</t>
  </si>
  <si>
    <t>Cost inputs - wholesale and environmental costs</t>
  </si>
  <si>
    <t>Determination</t>
  </si>
  <si>
    <t>Note: Residual costs include step changes, if any</t>
  </si>
  <si>
    <t>without CL</t>
  </si>
  <si>
    <t>with CL</t>
  </si>
  <si>
    <t>All prices and costs incl GST</t>
  </si>
  <si>
    <t>All cell values that are to be updated in blue</t>
  </si>
  <si>
    <t>List of acronyms</t>
  </si>
  <si>
    <t>APP</t>
  </si>
  <si>
    <t>Annual Pricing Proposal</t>
  </si>
  <si>
    <t>Consultant report</t>
  </si>
  <si>
    <t>Change y-o-y</t>
  </si>
  <si>
    <t>Prudential</t>
  </si>
  <si>
    <t>Reliability and Emergency Reserve Trader</t>
  </si>
  <si>
    <t>Energy Consumers Australia</t>
  </si>
  <si>
    <t>Queensland Solar Bonus Scheme</t>
  </si>
  <si>
    <t>SA Power Networks</t>
  </si>
  <si>
    <t>Residential without CL</t>
  </si>
  <si>
    <t>Residential with CL</t>
  </si>
  <si>
    <t>Small business without CL</t>
  </si>
  <si>
    <t>Residential without Controlled Load</t>
  </si>
  <si>
    <t>National Electricity Market fees, which includes AEMO, ECA, FRC and NTP fees</t>
  </si>
  <si>
    <t>Distribution Loss Factor</t>
  </si>
  <si>
    <t>Marginal Loss Factor</t>
  </si>
  <si>
    <t>for annual usage of</t>
  </si>
  <si>
    <t>2018-19</t>
  </si>
  <si>
    <t>Diff</t>
  </si>
  <si>
    <t>Diff %</t>
  </si>
  <si>
    <t>Fixed/ Variable</t>
  </si>
  <si>
    <t>Ausgrid Adjustment</t>
  </si>
  <si>
    <t>Overview</t>
  </si>
  <si>
    <t>Index Assessment to Determine DMO Prices</t>
  </si>
  <si>
    <t>Cost Calculations for DMO Prices</t>
  </si>
  <si>
    <t>Inputs and Assumptions</t>
  </si>
  <si>
    <t>Section 1: Overview</t>
  </si>
  <si>
    <t>By distribution zone</t>
  </si>
  <si>
    <t>Section 4: Cost Calculations for DMO Prices</t>
  </si>
  <si>
    <t>By cost type</t>
  </si>
  <si>
    <t>Section 5: Inputs and Assumptions</t>
  </si>
  <si>
    <t>By tariff type</t>
  </si>
  <si>
    <t>Base</t>
  </si>
  <si>
    <t>QSBS</t>
  </si>
  <si>
    <t>$/yr</t>
  </si>
  <si>
    <t>CL1 %</t>
  </si>
  <si>
    <t>CL2 %</t>
  </si>
  <si>
    <t>Contribution to change</t>
  </si>
  <si>
    <t>Note</t>
  </si>
  <si>
    <t>Source for wholesale and environmental costs: Consultant report</t>
  </si>
  <si>
    <t>RRP</t>
  </si>
  <si>
    <t>Revised Regulatory Proposal</t>
  </si>
  <si>
    <t>Source</t>
  </si>
  <si>
    <t>Section 2: Cost Stacks with Changes in Underlying Costs</t>
  </si>
  <si>
    <t>Cost Stacks with Changes in Underlying Costs</t>
  </si>
  <si>
    <t>2022-23</t>
  </si>
  <si>
    <t>DMO 2022-23 Determination</t>
  </si>
  <si>
    <t>PDRS</t>
  </si>
  <si>
    <t>REPS</t>
  </si>
  <si>
    <t>Directions</t>
  </si>
  <si>
    <t>ACCC retail operating cost</t>
  </si>
  <si>
    <t>Advanced meter cost</t>
  </si>
  <si>
    <t>Bad and doubtful debt</t>
  </si>
  <si>
    <t>Retail cost</t>
  </si>
  <si>
    <t>Retail Cost</t>
  </si>
  <si>
    <t>DMO allowance</t>
  </si>
  <si>
    <t>Note: Overall change in costs include the removal of the residual and inclusion of retail costs and DMO allowance, retail costs are adjusted by inflation</t>
  </si>
  <si>
    <t>Retail costs</t>
  </si>
  <si>
    <t>CPI adjustment</t>
  </si>
  <si>
    <t>Section 3: Zonal cost assessment to Determine DMO Prices</t>
  </si>
  <si>
    <t>ACCC Electricity Inquiry November 2021 Report, Supplementary Table E8.1B, Appendix E</t>
  </si>
  <si>
    <t>Retailer Metering Counts and Costs Voluntary Information Request – September 2021</t>
  </si>
  <si>
    <t>AGL, Origin and Snowy Hydro 2020-21 Financial Reports</t>
  </si>
  <si>
    <t xml:space="preserve">ACCC Electricity Inquiry November 2021 Report, Supplementary Table E4.10, Appendix E; 
Ausgrid, Endeavour and Essential 2019-20 Economic RINs 3.4 Operational Data, DOPED0502 and DOPCNO102 </t>
  </si>
  <si>
    <t>ACCC Electricity Inquiry November 2021 Report, Supplementary Table E4.10, Appendix E;
Energex 2019-20 Economic RIN 3.4 Operational Data, DOPED0502 and DOPCNO102</t>
  </si>
  <si>
    <t>ACCC Electricity Inquiry November 2021 Report, Supplementary Table E4.10, Appendix E;
SAPN 2019-20 Economic RIN 3.4 Operational Data, DOPED0502 and DOPCNO102</t>
  </si>
  <si>
    <t>Network tariff code</t>
  </si>
  <si>
    <t xml:space="preserve">Residential Non TOU - EA010 </t>
  </si>
  <si>
    <t xml:space="preserve">EA030 – Controlled load 1 </t>
  </si>
  <si>
    <t xml:space="preserve">EA040 – Controlled load 2 </t>
  </si>
  <si>
    <t xml:space="preserve">EA050 Small business non-TOU </t>
  </si>
  <si>
    <t xml:space="preserve">Residential Energy (anytime) N70 </t>
  </si>
  <si>
    <t xml:space="preserve">Controlled load 1 N50 </t>
  </si>
  <si>
    <t xml:space="preserve">Controlled load 2 N54 </t>
  </si>
  <si>
    <t xml:space="preserve">General Supply N90 </t>
  </si>
  <si>
    <t xml:space="preserve">Residential Anytime BLNN2AU </t>
  </si>
  <si>
    <t xml:space="preserve">Energy Saver 1 BLNC1AU </t>
  </si>
  <si>
    <t xml:space="preserve">Energy Saver 2 BLNC2AU </t>
  </si>
  <si>
    <t xml:space="preserve">Small Business Anytime BLNN1AU </t>
  </si>
  <si>
    <t xml:space="preserve">Residential Flat NTC8400 </t>
  </si>
  <si>
    <t xml:space="preserve">Super Economy NTC9000 </t>
  </si>
  <si>
    <t xml:space="preserve">Economy NTC9100 </t>
  </si>
  <si>
    <t xml:space="preserve">Business Flat NTC8500 </t>
  </si>
  <si>
    <t xml:space="preserve">Residential Single Rate RSR (SR) </t>
  </si>
  <si>
    <t xml:space="preserve">Residential Single Rate RSR (controlled load) </t>
  </si>
  <si>
    <t>Business Single Rate BSR</t>
  </si>
  <si>
    <t>RBA May 2022 forecast for the two years ending Jun 2023</t>
  </si>
  <si>
    <t>Draft</t>
  </si>
  <si>
    <t>2023-24</t>
  </si>
  <si>
    <t>DMO 4 Final Determination Model</t>
  </si>
  <si>
    <t>ACCC Electricity Inquiry November 2022 Report, Supplementary Table D14.1B, Appendix D</t>
  </si>
  <si>
    <t xml:space="preserve">ACCC Electricity Inquiry November 2022 Report, Supplementary Table D10.5, Appendix D; 
Ausgrid, Endeavour and Essential 2021-22 Economic RINs 3.4 Operational Data, DOPED0502 and DOPCNO102 </t>
  </si>
  <si>
    <t>ACCC Electricity Inquiry November 2022 Report, Supplementary Table D10.5, Appendix D; 
Energex 2021-22 Economic RIN 3.4 Operational Data, DOPED0502 and DOPCNO102</t>
  </si>
  <si>
    <t>ACCC Electricity Inquiry November 2022 Report, Supplementary Table D10.7, Appendix D; 
SAPN 2021-22 Economic RIN 3.4 Operational Data, DOPED0502 and DOPCNO102</t>
  </si>
  <si>
    <t>AGL, Origin and Snowy Hydro 2021-22 Financial Reports</t>
  </si>
  <si>
    <t>Retailer Metering Counts and Costs Voluntary Information Request – September 2022</t>
  </si>
  <si>
    <t>Default Market Offer 5 (DMO 5)</t>
  </si>
  <si>
    <t>REZ</t>
  </si>
  <si>
    <t>EA010</t>
  </si>
  <si>
    <t>N70</t>
  </si>
  <si>
    <t>N50</t>
  </si>
  <si>
    <t>N54</t>
  </si>
  <si>
    <t>N90</t>
  </si>
  <si>
    <t>BLNN2AU</t>
  </si>
  <si>
    <t>BLNC1AU</t>
  </si>
  <si>
    <t>BLNC2AU</t>
  </si>
  <si>
    <t>BLNN1AU</t>
  </si>
  <si>
    <t>BSR</t>
  </si>
  <si>
    <t>EA030</t>
  </si>
  <si>
    <t>EA040</t>
  </si>
  <si>
    <t>EA050</t>
  </si>
  <si>
    <t>Tariff Code</t>
  </si>
  <si>
    <t>RSR</t>
  </si>
  <si>
    <t>BCL</t>
  </si>
  <si>
    <t>v</t>
  </si>
  <si>
    <t>NSW</t>
  </si>
  <si>
    <t>GWh</t>
  </si>
  <si>
    <t>Usage (kWh)</t>
  </si>
  <si>
    <t>Small Business without CL</t>
  </si>
  <si>
    <t>Cost ($ pa)</t>
  </si>
  <si>
    <t>Change y-o-y (real)</t>
  </si>
  <si>
    <t>DMO 4 Price</t>
  </si>
  <si>
    <t>$ p.a.</t>
  </si>
  <si>
    <t xml:space="preserve"> </t>
  </si>
  <si>
    <t>June 2022 Event Cost</t>
  </si>
  <si>
    <t>RBA February2023 forecast for the two years ending Jun 2024</t>
  </si>
  <si>
    <t xml:space="preserve">NSW Roadmap </t>
  </si>
  <si>
    <t>$M</t>
  </si>
  <si>
    <t>Distributed by energy usage</t>
  </si>
  <si>
    <t>Variable Charge</t>
  </si>
  <si>
    <t>Energy</t>
  </si>
  <si>
    <t>NSW Roadmap costs</t>
  </si>
  <si>
    <t>needs to be updated</t>
  </si>
  <si>
    <t>ALL</t>
  </si>
  <si>
    <t>AER estimate using updated distributor information</t>
  </si>
  <si>
    <t>Inflation forecast for 1/06/2023</t>
  </si>
  <si>
    <t>Inflation forecast for 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</si>
</sst>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0.0%"/>
    <numFmt numFmtId="170" formatCode="&quot;$&quot;#,##0"/>
    <numFmt numFmtId="171" formatCode="#,##0.0"/>
    <numFmt numFmtId="172" formatCode="\+0.0;\-0.0;0.0"/>
    <numFmt numFmtId="173" formatCode="#,##0.0000000"/>
    <numFmt numFmtId="174" formatCode="\+&quot;$&quot;0;\-&quot;$&quot;0;&quot;$&quot;0"/>
    <numFmt numFmtId="175" formatCode="\+0.0%;\-0.0%;0.0%"/>
    <numFmt numFmtId="176" formatCode="\+0.00%;\-0.00%;0.00%"/>
    <numFmt numFmtId="177" formatCode="0.000000"/>
    <numFmt numFmtId="178" formatCode="0.00000"/>
    <numFmt numFmtId="179" formatCode="_-* #,##0_-;[Red]\(#,##0\)_-;_-* &quot;-&quot;??_-;_-@_-"/>
    <numFmt numFmtId="180" formatCode="&quot;$&quot;#,##0.0"/>
    <numFmt numFmtId="181" formatCode="#,##0.0000"/>
    <numFmt numFmtId="182" formatCode="#,##0.00000"/>
    <numFmt numFmtId="183" formatCode="0.0000"/>
  </numFmts>
  <fonts count="8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76A9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76A9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rgb="FFFFFF66"/>
      <name val="Calibri"/>
      <family val="2"/>
      <scheme val="minor"/>
    </font>
    <font>
      <b/>
      <sz val="11"/>
      <color rgb="FFFFFF66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rgb="FF076A92"/>
      <name val="Calibri"/>
      <family val="2"/>
      <scheme val="minor"/>
    </font>
    <font>
      <b/>
      <sz val="12"/>
      <color rgb="FF076A9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76A9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u/>
      <sz val="10"/>
      <color theme="10"/>
      <name val="Arial"/>
      <family val="2"/>
    </font>
    <font>
      <i/>
      <sz val="8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i/>
      <sz val="10"/>
      <color theme="0" tint="-4.9989318521683403E-2"/>
      <name val="Calibri"/>
      <family val="2"/>
      <scheme val="minor"/>
    </font>
    <font>
      <i/>
      <sz val="8"/>
      <color indexed="55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009900"/>
      <name val="Calibri"/>
      <family val="2"/>
      <scheme val="minor"/>
    </font>
    <font>
      <u/>
      <sz val="11"/>
      <color rgb="FF0099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sz val="10"/>
      <color rgb="FF006100"/>
      <name val="Arial Narrow"/>
      <family val="2"/>
    </font>
    <font>
      <sz val="10"/>
      <color rgb="FF9C0006"/>
      <name val="Arial Narrow"/>
      <family val="2"/>
    </font>
    <font>
      <sz val="10"/>
      <color rgb="FF9C6500"/>
      <name val="Arial Narrow"/>
      <family val="2"/>
    </font>
    <font>
      <sz val="10"/>
      <color rgb="FF3F3F76"/>
      <name val="Arial Narrow"/>
      <family val="2"/>
    </font>
    <font>
      <b/>
      <sz val="10"/>
      <color rgb="FF3F3F3F"/>
      <name val="Arial Narrow"/>
      <family val="2"/>
    </font>
    <font>
      <b/>
      <sz val="10"/>
      <color rgb="FFFA7D00"/>
      <name val="Arial Narrow"/>
      <family val="2"/>
    </font>
    <font>
      <sz val="10"/>
      <color rgb="FFFA7D0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i/>
      <sz val="10"/>
      <color rgb="FF7F7F7F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76A9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C14E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rgb="FF076A92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/>
      <top/>
      <bottom style="thick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medium">
        <color rgb="FF0070C0"/>
      </bottom>
      <diagonal/>
    </border>
    <border>
      <left/>
      <right style="thin">
        <color theme="0" tint="-0.24994659260841701"/>
      </right>
      <top/>
      <bottom style="medium">
        <color rgb="FF0070C0"/>
      </bottom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30" fillId="10" borderId="32" applyBorder="0">
      <alignment horizontal="right"/>
      <protection locked="0"/>
    </xf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3" fillId="18" borderId="44" applyNumberFormat="0" applyFont="0" applyAlignment="0" applyProtection="0"/>
    <xf numFmtId="0" fontId="66" fillId="0" borderId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8" fillId="0" borderId="37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0" applyNumberFormat="0" applyFill="0" applyBorder="0" applyAlignment="0" applyProtection="0"/>
    <xf numFmtId="0" fontId="71" fillId="12" borderId="0" applyNumberFormat="0" applyBorder="0" applyAlignment="0" applyProtection="0"/>
    <xf numFmtId="0" fontId="7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40" applyNumberFormat="0" applyAlignment="0" applyProtection="0"/>
    <xf numFmtId="0" fontId="75" fillId="16" borderId="41" applyNumberFormat="0" applyAlignment="0" applyProtection="0"/>
    <xf numFmtId="0" fontId="76" fillId="16" borderId="40" applyNumberFormat="0" applyAlignment="0" applyProtection="0"/>
    <xf numFmtId="0" fontId="77" fillId="0" borderId="42" applyNumberFormat="0" applyFill="0" applyAlignment="0" applyProtection="0"/>
    <xf numFmtId="0" fontId="78" fillId="17" borderId="43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45" applyNumberFormat="0" applyFill="0" applyAlignment="0" applyProtection="0"/>
    <xf numFmtId="0" fontId="82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</cellStyleXfs>
  <cellXfs count="34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9" fontId="0" fillId="2" borderId="0" xfId="3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9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2" fillId="2" borderId="0" xfId="0" applyFont="1" applyFill="1"/>
    <xf numFmtId="0" fontId="1" fillId="5" borderId="0" xfId="0" applyFont="1" applyFill="1" applyAlignment="1">
      <alignment horizontal="left"/>
    </xf>
    <xf numFmtId="0" fontId="0" fillId="2" borderId="0" xfId="0" applyFill="1" applyAlignment="1">
      <alignment vertical="top"/>
    </xf>
    <xf numFmtId="0" fontId="0" fillId="6" borderId="0" xfId="0" applyFill="1" applyAlignment="1">
      <alignment vertical="top"/>
    </xf>
    <xf numFmtId="0" fontId="1" fillId="5" borderId="0" xfId="0" applyFont="1" applyFill="1" applyAlignment="1">
      <alignment horizontal="center" vertical="top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" fillId="5" borderId="0" xfId="0" applyFont="1" applyFill="1" applyAlignment="1">
      <alignment horizontal="center"/>
    </xf>
    <xf numFmtId="9" fontId="0" fillId="2" borderId="0" xfId="3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" fillId="5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right" vertical="center"/>
    </xf>
    <xf numFmtId="0" fontId="23" fillId="8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3" fontId="22" fillId="2" borderId="0" xfId="0" applyNumberFormat="1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3" fontId="22" fillId="8" borderId="0" xfId="0" applyNumberFormat="1" applyFont="1" applyFill="1" applyAlignment="1">
      <alignment horizontal="center" vertical="center"/>
    </xf>
    <xf numFmtId="0" fontId="16" fillId="8" borderId="0" xfId="0" applyFont="1" applyFill="1" applyAlignment="1">
      <alignment vertical="center"/>
    </xf>
    <xf numFmtId="3" fontId="16" fillId="8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16" fillId="8" borderId="2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4" fontId="0" fillId="2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4" fontId="21" fillId="5" borderId="0" xfId="0" applyNumberFormat="1" applyFont="1" applyFill="1" applyAlignment="1">
      <alignment horizontal="center"/>
    </xf>
    <xf numFmtId="0" fontId="0" fillId="2" borderId="0" xfId="0" applyFill="1"/>
    <xf numFmtId="0" fontId="31" fillId="2" borderId="0" xfId="0" applyFont="1" applyFill="1" applyAlignment="1">
      <alignment vertical="center"/>
    </xf>
    <xf numFmtId="0" fontId="34" fillId="8" borderId="0" xfId="0" applyFont="1" applyFill="1" applyAlignment="1">
      <alignment vertical="center"/>
    </xf>
    <xf numFmtId="0" fontId="24" fillId="2" borderId="0" xfId="0" applyFont="1" applyFill="1"/>
    <xf numFmtId="0" fontId="2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5" fillId="2" borderId="0" xfId="2" applyFont="1" applyFill="1" applyAlignment="1">
      <alignment horizontal="left" vertical="center"/>
    </xf>
    <xf numFmtId="0" fontId="26" fillId="2" borderId="6" xfId="0" applyFont="1" applyFill="1" applyBorder="1" applyAlignment="1">
      <alignment horizontal="left" vertical="center"/>
    </xf>
    <xf numFmtId="2" fontId="0" fillId="2" borderId="0" xfId="0" applyNumberForma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7" fillId="2" borderId="7" xfId="0" applyFont="1" applyFill="1" applyBorder="1" applyAlignment="1">
      <alignment vertical="center"/>
    </xf>
    <xf numFmtId="0" fontId="31" fillId="2" borderId="8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11" xfId="0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0" fontId="37" fillId="2" borderId="0" xfId="0" applyFont="1" applyFill="1"/>
    <xf numFmtId="0" fontId="38" fillId="2" borderId="0" xfId="0" applyFont="1" applyFill="1" applyAlignment="1">
      <alignment vertical="center"/>
    </xf>
    <xf numFmtId="4" fontId="38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vertical="center"/>
    </xf>
    <xf numFmtId="169" fontId="16" fillId="8" borderId="2" xfId="0" applyNumberFormat="1" applyFont="1" applyFill="1" applyBorder="1" applyAlignment="1">
      <alignment horizontal="center" vertical="center"/>
    </xf>
    <xf numFmtId="173" fontId="0" fillId="2" borderId="0" xfId="0" applyNumberFormat="1" applyFill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39" fillId="9" borderId="23" xfId="0" applyFont="1" applyFill="1" applyBorder="1" applyAlignment="1">
      <alignment vertical="center"/>
    </xf>
    <xf numFmtId="0" fontId="39" fillId="9" borderId="24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169" fontId="41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6" fillId="2" borderId="0" xfId="0" applyFont="1" applyFill="1" applyAlignment="1">
      <alignment horizontal="center" vertical="center"/>
    </xf>
    <xf numFmtId="3" fontId="42" fillId="2" borderId="0" xfId="0" applyNumberFormat="1" applyFont="1" applyFill="1" applyAlignment="1">
      <alignment horizontal="center" vertical="center"/>
    </xf>
    <xf numFmtId="169" fontId="0" fillId="2" borderId="0" xfId="3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3" fontId="28" fillId="8" borderId="0" xfId="0" applyNumberFormat="1" applyFont="1" applyFill="1" applyAlignment="1">
      <alignment horizontal="center" vertical="center"/>
    </xf>
    <xf numFmtId="0" fontId="31" fillId="2" borderId="0" xfId="0" applyFont="1" applyFill="1"/>
    <xf numFmtId="0" fontId="23" fillId="8" borderId="30" xfId="0" applyFont="1" applyFill="1" applyBorder="1" applyAlignment="1">
      <alignment vertical="center"/>
    </xf>
    <xf numFmtId="0" fontId="23" fillId="2" borderId="30" xfId="0" applyFont="1" applyFill="1" applyBorder="1" applyAlignment="1">
      <alignment vertical="center"/>
    </xf>
    <xf numFmtId="0" fontId="33" fillId="4" borderId="26" xfId="0" applyFont="1" applyFill="1" applyBorder="1" applyAlignment="1">
      <alignment vertical="center" wrapText="1"/>
    </xf>
    <xf numFmtId="3" fontId="21" fillId="8" borderId="31" xfId="0" applyNumberFormat="1" applyFont="1" applyFill="1" applyBorder="1" applyAlignment="1">
      <alignment horizontal="center" vertical="center"/>
    </xf>
    <xf numFmtId="3" fontId="21" fillId="8" borderId="30" xfId="0" applyNumberFormat="1" applyFont="1" applyFill="1" applyBorder="1" applyAlignment="1">
      <alignment horizontal="center" vertical="center"/>
    </xf>
    <xf numFmtId="3" fontId="21" fillId="2" borderId="31" xfId="0" applyNumberFormat="1" applyFont="1" applyFill="1" applyBorder="1" applyAlignment="1">
      <alignment horizontal="center" vertical="center"/>
    </xf>
    <xf numFmtId="3" fontId="21" fillId="2" borderId="30" xfId="0" applyNumberFormat="1" applyFont="1" applyFill="1" applyBorder="1" applyAlignment="1">
      <alignment horizontal="center" vertical="center"/>
    </xf>
    <xf numFmtId="169" fontId="48" fillId="2" borderId="30" xfId="3" applyNumberFormat="1" applyFont="1" applyFill="1" applyBorder="1" applyAlignment="1">
      <alignment horizontal="left" vertical="center"/>
    </xf>
    <xf numFmtId="169" fontId="48" fillId="2" borderId="0" xfId="3" applyNumberFormat="1" applyFont="1" applyFill="1" applyBorder="1" applyAlignment="1">
      <alignment horizontal="left" vertical="center"/>
    </xf>
    <xf numFmtId="174" fontId="48" fillId="8" borderId="31" xfId="3" applyNumberFormat="1" applyFont="1" applyFill="1" applyBorder="1" applyAlignment="1">
      <alignment horizontal="right" vertical="center"/>
    </xf>
    <xf numFmtId="169" fontId="48" fillId="8" borderId="30" xfId="3" applyNumberFormat="1" applyFont="1" applyFill="1" applyBorder="1" applyAlignment="1">
      <alignment horizontal="left" vertical="center"/>
    </xf>
    <xf numFmtId="169" fontId="48" fillId="8" borderId="0" xfId="3" applyNumberFormat="1" applyFont="1" applyFill="1" applyBorder="1" applyAlignment="1">
      <alignment horizontal="left" vertical="center"/>
    </xf>
    <xf numFmtId="175" fontId="0" fillId="2" borderId="0" xfId="3" applyNumberFormat="1" applyFont="1" applyFill="1" applyAlignment="1">
      <alignment horizontal="center" vertical="center"/>
    </xf>
    <xf numFmtId="175" fontId="2" fillId="2" borderId="0" xfId="3" applyNumberFormat="1" applyFont="1" applyFill="1" applyAlignment="1">
      <alignment horizontal="center" vertical="center"/>
    </xf>
    <xf numFmtId="175" fontId="0" fillId="2" borderId="0" xfId="0" applyNumberFormat="1" applyFill="1" applyAlignment="1">
      <alignment horizontal="center" vertical="center"/>
    </xf>
    <xf numFmtId="175" fontId="2" fillId="2" borderId="0" xfId="0" applyNumberFormat="1" applyFont="1" applyFill="1" applyAlignment="1">
      <alignment horizontal="center" vertical="center"/>
    </xf>
    <xf numFmtId="175" fontId="2" fillId="2" borderId="15" xfId="3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169" fontId="0" fillId="2" borderId="15" xfId="3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vertical="top"/>
    </xf>
    <xf numFmtId="0" fontId="15" fillId="4" borderId="1" xfId="0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center"/>
    </xf>
    <xf numFmtId="10" fontId="48" fillId="8" borderId="30" xfId="3" applyNumberFormat="1" applyFont="1" applyFill="1" applyBorder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4" fillId="2" borderId="0" xfId="0" applyFont="1" applyFill="1"/>
    <xf numFmtId="1" fontId="5" fillId="2" borderId="0" xfId="0" applyNumberFormat="1" applyFont="1" applyFill="1" applyAlignment="1">
      <alignment horizontal="center" vertical="center"/>
    </xf>
    <xf numFmtId="3" fontId="23" fillId="8" borderId="0" xfId="0" applyNumberFormat="1" applyFont="1" applyFill="1" applyAlignment="1">
      <alignment horizontal="center" vertical="center"/>
    </xf>
    <xf numFmtId="176" fontId="51" fillId="2" borderId="0" xfId="0" applyNumberFormat="1" applyFont="1" applyFill="1" applyAlignment="1">
      <alignment horizontal="center" vertical="center"/>
    </xf>
    <xf numFmtId="10" fontId="0" fillId="2" borderId="0" xfId="3" applyNumberFormat="1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54" fillId="2" borderId="0" xfId="0" applyFont="1" applyFill="1" applyAlignment="1">
      <alignment vertical="center"/>
    </xf>
    <xf numFmtId="9" fontId="0" fillId="2" borderId="15" xfId="3" applyFont="1" applyFill="1" applyBorder="1" applyAlignment="1">
      <alignment horizontal="center" vertical="center"/>
    </xf>
    <xf numFmtId="0" fontId="21" fillId="5" borderId="28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3" fontId="30" fillId="2" borderId="0" xfId="0" applyNumberFormat="1" applyFont="1" applyFill="1" applyAlignment="1">
      <alignment horizontal="center" vertical="center"/>
    </xf>
    <xf numFmtId="3" fontId="30" fillId="2" borderId="0" xfId="0" applyNumberFormat="1" applyFont="1" applyFill="1" applyAlignment="1">
      <alignment horizontal="left" vertical="center"/>
    </xf>
    <xf numFmtId="3" fontId="55" fillId="2" borderId="0" xfId="2" applyNumberFormat="1" applyFont="1" applyFill="1" applyBorder="1" applyAlignment="1">
      <alignment horizontal="left" vertical="center"/>
    </xf>
    <xf numFmtId="0" fontId="56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3" fontId="58" fillId="2" borderId="0" xfId="2" applyNumberFormat="1" applyFont="1" applyFill="1" applyBorder="1" applyAlignment="1">
      <alignment horizontal="left" vertical="center"/>
    </xf>
    <xf numFmtId="169" fontId="0" fillId="2" borderId="0" xfId="0" applyNumberFormat="1" applyFill="1" applyAlignment="1">
      <alignment vertical="center"/>
    </xf>
    <xf numFmtId="0" fontId="6" fillId="2" borderId="0" xfId="2" applyFill="1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174" fontId="48" fillId="2" borderId="31" xfId="3" applyNumberFormat="1" applyFont="1" applyFill="1" applyBorder="1" applyAlignment="1">
      <alignment horizontal="right" vertical="center"/>
    </xf>
    <xf numFmtId="175" fontId="0" fillId="2" borderId="15" xfId="3" applyNumberFormat="1" applyFont="1" applyFill="1" applyBorder="1" applyAlignment="1">
      <alignment horizontal="center" vertical="center"/>
    </xf>
    <xf numFmtId="0" fontId="2" fillId="0" borderId="0" xfId="0" applyFont="1"/>
    <xf numFmtId="10" fontId="41" fillId="2" borderId="0" xfId="0" applyNumberFormat="1" applyFont="1" applyFill="1" applyAlignment="1">
      <alignment horizontal="right" vertical="center"/>
    </xf>
    <xf numFmtId="0" fontId="41" fillId="2" borderId="0" xfId="0" applyFont="1" applyFill="1" applyAlignment="1">
      <alignment horizontal="right" vertical="center"/>
    </xf>
    <xf numFmtId="169" fontId="41" fillId="2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4" fontId="0" fillId="2" borderId="0" xfId="0" applyNumberFormat="1" applyFill="1" applyAlignment="1">
      <alignment horizontal="right" vertical="center" indent="1"/>
    </xf>
    <xf numFmtId="4" fontId="0" fillId="2" borderId="0" xfId="3" applyNumberFormat="1" applyFont="1" applyFill="1" applyAlignment="1">
      <alignment horizontal="right" vertical="center" indent="1"/>
    </xf>
    <xf numFmtId="4" fontId="2" fillId="2" borderId="0" xfId="0" applyNumberFormat="1" applyFont="1" applyFill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2" fontId="30" fillId="2" borderId="0" xfId="0" applyNumberFormat="1" applyFont="1" applyFill="1" applyAlignment="1">
      <alignment horizontal="right" vertical="center" indent="1"/>
    </xf>
    <xf numFmtId="0" fontId="1" fillId="5" borderId="28" xfId="0" applyFont="1" applyFill="1" applyBorder="1" applyAlignment="1">
      <alignment horizontal="right" vertical="center" indent="1"/>
    </xf>
    <xf numFmtId="0" fontId="1" fillId="5" borderId="0" xfId="0" applyFont="1" applyFill="1" applyAlignment="1">
      <alignment horizontal="right" vertical="center" indent="1"/>
    </xf>
    <xf numFmtId="0" fontId="1" fillId="5" borderId="26" xfId="0" applyFont="1" applyFill="1" applyBorder="1" applyAlignment="1">
      <alignment horizontal="right" vertical="center" indent="1"/>
    </xf>
    <xf numFmtId="0" fontId="15" fillId="4" borderId="4" xfId="0" applyFont="1" applyFill="1" applyBorder="1" applyAlignment="1">
      <alignment horizontal="right" vertical="center" wrapText="1" indent="1"/>
    </xf>
    <xf numFmtId="0" fontId="15" fillId="4" borderId="0" xfId="0" applyFont="1" applyFill="1" applyAlignment="1">
      <alignment horizontal="right" vertical="center" wrapText="1" indent="1"/>
    </xf>
    <xf numFmtId="0" fontId="45" fillId="4" borderId="0" xfId="0" applyFont="1" applyFill="1" applyAlignment="1">
      <alignment horizontal="right" vertical="center" wrapText="1" indent="1"/>
    </xf>
    <xf numFmtId="3" fontId="30" fillId="2" borderId="0" xfId="0" applyNumberFormat="1" applyFont="1" applyFill="1" applyAlignment="1">
      <alignment horizontal="right" vertical="center" indent="1"/>
    </xf>
    <xf numFmtId="0" fontId="30" fillId="2" borderId="0" xfId="0" applyFont="1" applyFill="1" applyAlignment="1">
      <alignment horizontal="right" vertical="center" indent="1"/>
    </xf>
    <xf numFmtId="9" fontId="30" fillId="2" borderId="0" xfId="3" applyFont="1" applyFill="1" applyAlignment="1">
      <alignment horizontal="right" vertical="center" indent="1"/>
    </xf>
    <xf numFmtId="9" fontId="30" fillId="2" borderId="0" xfId="3" applyFont="1" applyFill="1" applyBorder="1" applyAlignment="1">
      <alignment horizontal="right" vertical="center" indent="1"/>
    </xf>
    <xf numFmtId="10" fontId="30" fillId="2" borderId="0" xfId="3" applyNumberFormat="1" applyFont="1" applyFill="1" applyBorder="1" applyAlignment="1">
      <alignment horizontal="right" vertical="center" indent="1"/>
    </xf>
    <xf numFmtId="9" fontId="0" fillId="2" borderId="0" xfId="3" applyFont="1" applyFill="1" applyAlignment="1">
      <alignment horizontal="right" vertical="center" indent="1"/>
    </xf>
    <xf numFmtId="9" fontId="13" fillId="2" borderId="0" xfId="3" applyFont="1" applyFill="1" applyAlignment="1">
      <alignment horizontal="right" vertical="center" indent="1"/>
    </xf>
    <xf numFmtId="10" fontId="0" fillId="2" borderId="0" xfId="3" applyNumberFormat="1" applyFont="1" applyFill="1" applyAlignment="1">
      <alignment horizontal="center" vertical="center"/>
    </xf>
    <xf numFmtId="10" fontId="0" fillId="2" borderId="0" xfId="3" applyNumberFormat="1" applyFont="1" applyFill="1" applyAlignment="1">
      <alignment horizontal="right" vertical="center" indent="1"/>
    </xf>
    <xf numFmtId="10" fontId="13" fillId="2" borderId="0" xfId="3" applyNumberFormat="1" applyFont="1" applyFill="1" applyAlignment="1">
      <alignment horizontal="right" vertical="center" indent="1"/>
    </xf>
    <xf numFmtId="10" fontId="2" fillId="2" borderId="0" xfId="3" applyNumberFormat="1" applyFont="1" applyFill="1" applyAlignment="1">
      <alignment horizontal="right" vertical="center" indent="1"/>
    </xf>
    <xf numFmtId="4" fontId="1" fillId="5" borderId="0" xfId="0" applyNumberFormat="1" applyFont="1" applyFill="1" applyAlignment="1">
      <alignment horizontal="right" vertical="center" indent="1"/>
    </xf>
    <xf numFmtId="4" fontId="1" fillId="5" borderId="0" xfId="0" applyNumberFormat="1" applyFont="1" applyFill="1" applyAlignment="1">
      <alignment horizontal="right" vertical="top" indent="1"/>
    </xf>
    <xf numFmtId="0" fontId="1" fillId="5" borderId="0" xfId="0" applyFont="1" applyFill="1" applyAlignment="1">
      <alignment horizontal="right" vertical="top" indent="1"/>
    </xf>
    <xf numFmtId="0" fontId="0" fillId="2" borderId="0" xfId="0" applyFill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10" fontId="0" fillId="2" borderId="0" xfId="0" applyNumberFormat="1" applyFill="1" applyAlignment="1">
      <alignment horizontal="right" vertical="center" indent="1"/>
    </xf>
    <xf numFmtId="10" fontId="2" fillId="2" borderId="0" xfId="0" applyNumberFormat="1" applyFont="1" applyFill="1" applyAlignment="1">
      <alignment horizontal="right" vertical="center" indent="1"/>
    </xf>
    <xf numFmtId="3" fontId="2" fillId="2" borderId="0" xfId="0" applyNumberFormat="1" applyFont="1" applyFill="1" applyAlignment="1">
      <alignment horizontal="right" vertical="center" indent="1"/>
    </xf>
    <xf numFmtId="0" fontId="29" fillId="5" borderId="0" xfId="0" applyFont="1" applyFill="1" applyAlignment="1">
      <alignment horizontal="right" vertical="center" indent="1"/>
    </xf>
    <xf numFmtId="0" fontId="15" fillId="5" borderId="0" xfId="0" applyFont="1" applyFill="1" applyAlignment="1">
      <alignment horizontal="right" vertical="center" indent="1"/>
    </xf>
    <xf numFmtId="0" fontId="15" fillId="5" borderId="0" xfId="0" applyFont="1" applyFill="1" applyAlignment="1">
      <alignment horizontal="right" vertical="center" wrapText="1" indent="1"/>
    </xf>
    <xf numFmtId="4" fontId="27" fillId="2" borderId="0" xfId="0" applyNumberFormat="1" applyFont="1" applyFill="1" applyAlignment="1">
      <alignment horizontal="right" vertical="center" indent="1"/>
    </xf>
    <xf numFmtId="169" fontId="27" fillId="2" borderId="0" xfId="0" applyNumberFormat="1" applyFont="1" applyFill="1" applyAlignment="1">
      <alignment horizontal="right" vertical="center" indent="1"/>
    </xf>
    <xf numFmtId="0" fontId="27" fillId="2" borderId="0" xfId="0" applyFont="1" applyFill="1" applyAlignment="1">
      <alignment horizontal="right" vertical="center" indent="1"/>
    </xf>
    <xf numFmtId="169" fontId="27" fillId="2" borderId="0" xfId="3" applyNumberFormat="1" applyFont="1" applyFill="1" applyAlignment="1">
      <alignment horizontal="right" vertical="center" indent="1"/>
    </xf>
    <xf numFmtId="4" fontId="26" fillId="2" borderId="6" xfId="0" applyNumberFormat="1" applyFont="1" applyFill="1" applyBorder="1" applyAlignment="1">
      <alignment horizontal="right" vertical="center" indent="1"/>
    </xf>
    <xf numFmtId="169" fontId="26" fillId="2" borderId="6" xfId="0" applyNumberFormat="1" applyFont="1" applyFill="1" applyBorder="1" applyAlignment="1">
      <alignment horizontal="right" vertical="center" indent="1"/>
    </xf>
    <xf numFmtId="0" fontId="26" fillId="2" borderId="6" xfId="0" applyFont="1" applyFill="1" applyBorder="1" applyAlignment="1">
      <alignment horizontal="right" vertical="center" indent="1"/>
    </xf>
    <xf numFmtId="0" fontId="1" fillId="9" borderId="24" xfId="0" applyFont="1" applyFill="1" applyBorder="1" applyAlignment="1">
      <alignment horizontal="right" vertical="center" indent="1"/>
    </xf>
    <xf numFmtId="0" fontId="1" fillId="9" borderId="25" xfId="0" applyFont="1" applyFill="1" applyBorder="1" applyAlignment="1">
      <alignment horizontal="right" vertical="center" indent="1"/>
    </xf>
    <xf numFmtId="3" fontId="0" fillId="2" borderId="17" xfId="0" applyNumberFormat="1" applyFill="1" applyBorder="1" applyAlignment="1">
      <alignment horizontal="right" vertical="center" indent="1"/>
    </xf>
    <xf numFmtId="0" fontId="0" fillId="2" borderId="18" xfId="0" applyFill="1" applyBorder="1" applyAlignment="1">
      <alignment horizontal="right" vertical="center" indent="1"/>
    </xf>
    <xf numFmtId="171" fontId="0" fillId="2" borderId="0" xfId="0" applyNumberFormat="1" applyFill="1" applyAlignment="1">
      <alignment horizontal="right" vertical="center" indent="1"/>
    </xf>
    <xf numFmtId="172" fontId="0" fillId="2" borderId="20" xfId="0" applyNumberFormat="1" applyFill="1" applyBorder="1" applyAlignment="1">
      <alignment horizontal="right" vertical="center" indent="1"/>
    </xf>
    <xf numFmtId="3" fontId="0" fillId="2" borderId="15" xfId="0" applyNumberFormat="1" applyFill="1" applyBorder="1" applyAlignment="1">
      <alignment horizontal="right" vertical="center" indent="1"/>
    </xf>
    <xf numFmtId="0" fontId="24" fillId="2" borderId="0" xfId="0" applyFont="1" applyFill="1" applyAlignment="1">
      <alignment horizontal="center" vertical="center"/>
    </xf>
    <xf numFmtId="0" fontId="30" fillId="2" borderId="15" xfId="0" applyFont="1" applyFill="1" applyBorder="1" applyAlignment="1">
      <alignment horizontal="left" vertical="center"/>
    </xf>
    <xf numFmtId="3" fontId="30" fillId="2" borderId="15" xfId="0" applyNumberFormat="1" applyFont="1" applyFill="1" applyBorder="1" applyAlignment="1">
      <alignment horizontal="center" vertical="center"/>
    </xf>
    <xf numFmtId="3" fontId="30" fillId="2" borderId="15" xfId="0" applyNumberFormat="1" applyFont="1" applyFill="1" applyBorder="1" applyAlignment="1">
      <alignment horizontal="left" vertical="center"/>
    </xf>
    <xf numFmtId="10" fontId="30" fillId="2" borderId="15" xfId="3" applyNumberFormat="1" applyFont="1" applyFill="1" applyBorder="1" applyAlignment="1">
      <alignment horizontal="right" vertical="center" indent="1"/>
    </xf>
    <xf numFmtId="0" fontId="30" fillId="2" borderId="15" xfId="0" applyFont="1" applyFill="1" applyBorder="1" applyAlignment="1">
      <alignment vertical="center"/>
    </xf>
    <xf numFmtId="0" fontId="59" fillId="3" borderId="0" xfId="0" applyFont="1" applyFill="1" applyAlignment="1">
      <alignment horizontal="left" vertical="center"/>
    </xf>
    <xf numFmtId="2" fontId="30" fillId="2" borderId="15" xfId="0" applyNumberFormat="1" applyFont="1" applyFill="1" applyBorder="1" applyAlignment="1">
      <alignment horizontal="right" vertical="center" indent="1"/>
    </xf>
    <xf numFmtId="0" fontId="0" fillId="0" borderId="15" xfId="0" applyBorder="1"/>
    <xf numFmtId="0" fontId="57" fillId="2" borderId="15" xfId="0" applyFont="1" applyFill="1" applyBorder="1" applyAlignment="1">
      <alignment vertical="center"/>
    </xf>
    <xf numFmtId="10" fontId="48" fillId="8" borderId="0" xfId="3" applyNumberFormat="1" applyFont="1" applyFill="1" applyBorder="1" applyAlignment="1">
      <alignment horizontal="left" vertical="center"/>
    </xf>
    <xf numFmtId="177" fontId="0" fillId="2" borderId="0" xfId="0" applyNumberFormat="1" applyFill="1" applyAlignment="1">
      <alignment horizontal="center" vertical="center"/>
    </xf>
    <xf numFmtId="174" fontId="0" fillId="2" borderId="0" xfId="0" applyNumberFormat="1" applyFill="1" applyAlignment="1">
      <alignment vertical="center"/>
    </xf>
    <xf numFmtId="3" fontId="30" fillId="2" borderId="0" xfId="0" applyNumberFormat="1" applyFont="1" applyFill="1" applyAlignment="1">
      <alignment horizontal="left" vertical="center" wrapText="1"/>
    </xf>
    <xf numFmtId="178" fontId="0" fillId="2" borderId="0" xfId="0" applyNumberFormat="1" applyFill="1" applyAlignment="1">
      <alignment horizontal="center" vertical="center"/>
    </xf>
    <xf numFmtId="169" fontId="0" fillId="2" borderId="0" xfId="3" applyNumberFormat="1" applyFont="1" applyFill="1" applyAlignment="1">
      <alignment vertical="center"/>
    </xf>
    <xf numFmtId="172" fontId="0" fillId="2" borderId="22" xfId="0" applyNumberFormat="1" applyFill="1" applyBorder="1" applyAlignment="1">
      <alignment horizontal="right" vertical="center" indent="1"/>
    </xf>
    <xf numFmtId="168" fontId="0" fillId="2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63" fillId="8" borderId="30" xfId="0" applyFont="1" applyFill="1" applyBorder="1" applyAlignment="1">
      <alignment horizontal="left" vertical="center" wrapText="1"/>
    </xf>
    <xf numFmtId="3" fontId="21" fillId="2" borderId="0" xfId="0" applyNumberFormat="1" applyFont="1" applyFill="1" applyAlignment="1">
      <alignment horizontal="center" vertical="center"/>
    </xf>
    <xf numFmtId="3" fontId="21" fillId="8" borderId="0" xfId="0" applyNumberFormat="1" applyFont="1" applyFill="1" applyAlignment="1">
      <alignment horizontal="center" vertical="center"/>
    </xf>
    <xf numFmtId="0" fontId="47" fillId="8" borderId="30" xfId="0" applyFont="1" applyFill="1" applyBorder="1" applyAlignment="1">
      <alignment horizontal="right" vertical="center"/>
    </xf>
    <xf numFmtId="169" fontId="53" fillId="2" borderId="0" xfId="3" applyNumberFormat="1" applyFont="1" applyFill="1" applyAlignment="1">
      <alignment vertical="center"/>
    </xf>
    <xf numFmtId="1" fontId="53" fillId="2" borderId="0" xfId="0" applyNumberFormat="1" applyFont="1" applyFill="1" applyAlignment="1">
      <alignment vertical="center"/>
    </xf>
    <xf numFmtId="174" fontId="48" fillId="8" borderId="33" xfId="3" applyNumberFormat="1" applyFont="1" applyFill="1" applyBorder="1" applyAlignment="1">
      <alignment horizontal="right" vertical="center"/>
    </xf>
    <xf numFmtId="169" fontId="48" fillId="8" borderId="34" xfId="3" applyNumberFormat="1" applyFont="1" applyFill="1" applyBorder="1" applyAlignment="1">
      <alignment horizontal="left" vertical="center"/>
    </xf>
    <xf numFmtId="0" fontId="47" fillId="2" borderId="30" xfId="0" applyFont="1" applyFill="1" applyBorder="1" applyAlignment="1">
      <alignment horizontal="right" vertical="center"/>
    </xf>
    <xf numFmtId="0" fontId="63" fillId="2" borderId="30" xfId="0" applyFont="1" applyFill="1" applyBorder="1" applyAlignment="1">
      <alignment horizontal="left" vertical="center" wrapText="1"/>
    </xf>
    <xf numFmtId="0" fontId="34" fillId="8" borderId="36" xfId="0" applyFont="1" applyFill="1" applyBorder="1" applyAlignment="1">
      <alignment vertical="center"/>
    </xf>
    <xf numFmtId="0" fontId="47" fillId="8" borderId="34" xfId="0" applyFont="1" applyFill="1" applyBorder="1" applyAlignment="1">
      <alignment horizontal="right" vertical="center"/>
    </xf>
    <xf numFmtId="170" fontId="63" fillId="11" borderId="31" xfId="4" applyNumberFormat="1" applyFont="1" applyFill="1" applyBorder="1" applyAlignment="1">
      <alignment horizontal="center" vertical="center"/>
    </xf>
    <xf numFmtId="170" fontId="63" fillId="11" borderId="30" xfId="4" applyNumberFormat="1" applyFont="1" applyFill="1" applyBorder="1" applyAlignment="1">
      <alignment horizontal="center" vertical="center"/>
    </xf>
    <xf numFmtId="170" fontId="63" fillId="11" borderId="30" xfId="4" applyNumberFormat="1" applyFont="1" applyFill="1" applyBorder="1" applyAlignment="1">
      <alignment horizontal="center" vertical="center" wrapText="1"/>
    </xf>
    <xf numFmtId="170" fontId="63" fillId="2" borderId="31" xfId="4" applyNumberFormat="1" applyFont="1" applyFill="1" applyBorder="1" applyAlignment="1">
      <alignment horizontal="center" vertical="center"/>
    </xf>
    <xf numFmtId="170" fontId="63" fillId="2" borderId="30" xfId="4" applyNumberFormat="1" applyFont="1" applyFill="1" applyBorder="1" applyAlignment="1">
      <alignment horizontal="center" vertical="center"/>
    </xf>
    <xf numFmtId="170" fontId="63" fillId="2" borderId="30" xfId="4" applyNumberFormat="1" applyFont="1" applyFill="1" applyBorder="1" applyAlignment="1">
      <alignment horizontal="center" vertical="center" wrapText="1"/>
    </xf>
    <xf numFmtId="169" fontId="48" fillId="8" borderId="36" xfId="3" applyNumberFormat="1" applyFont="1" applyFill="1" applyBorder="1" applyAlignment="1">
      <alignment horizontal="left" vertical="center"/>
    </xf>
    <xf numFmtId="180" fontId="0" fillId="2" borderId="0" xfId="0" applyNumberFormat="1" applyFill="1" applyAlignment="1">
      <alignment vertical="center"/>
    </xf>
    <xf numFmtId="170" fontId="54" fillId="2" borderId="0" xfId="0" applyNumberFormat="1" applyFont="1" applyFill="1" applyAlignment="1">
      <alignment vertical="center"/>
    </xf>
    <xf numFmtId="170" fontId="31" fillId="2" borderId="0" xfId="0" applyNumberFormat="1" applyFont="1" applyFill="1" applyAlignment="1">
      <alignment vertical="center"/>
    </xf>
    <xf numFmtId="3" fontId="31" fillId="2" borderId="0" xfId="0" applyNumberFormat="1" applyFont="1" applyFill="1" applyAlignment="1">
      <alignment vertical="center"/>
    </xf>
    <xf numFmtId="1" fontId="31" fillId="2" borderId="0" xfId="0" applyNumberFormat="1" applyFont="1" applyFill="1" applyAlignment="1">
      <alignment vertical="center"/>
    </xf>
    <xf numFmtId="170" fontId="64" fillId="2" borderId="0" xfId="0" applyNumberFormat="1" applyFont="1" applyFill="1" applyAlignment="1">
      <alignment vertical="center"/>
    </xf>
    <xf numFmtId="167" fontId="0" fillId="2" borderId="0" xfId="5" applyFont="1" applyFill="1" applyAlignment="1">
      <alignment vertical="center"/>
    </xf>
    <xf numFmtId="2" fontId="30" fillId="2" borderId="0" xfId="0" applyNumberFormat="1" applyFont="1" applyFill="1" applyAlignment="1">
      <alignment vertical="center"/>
    </xf>
    <xf numFmtId="169" fontId="30" fillId="2" borderId="0" xfId="3" applyNumberFormat="1" applyFont="1" applyFill="1" applyAlignment="1">
      <alignment vertical="center"/>
    </xf>
    <xf numFmtId="181" fontId="0" fillId="2" borderId="0" xfId="0" applyNumberFormat="1" applyFill="1" applyAlignment="1">
      <alignment vertical="center"/>
    </xf>
    <xf numFmtId="182" fontId="0" fillId="2" borderId="0" xfId="0" applyNumberForma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183" fontId="0" fillId="2" borderId="0" xfId="0" applyNumberFormat="1" applyFill="1" applyAlignment="1">
      <alignment vertical="center"/>
    </xf>
    <xf numFmtId="0" fontId="15" fillId="4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83" fillId="3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center" vertical="center"/>
    </xf>
    <xf numFmtId="4" fontId="30" fillId="2" borderId="0" xfId="0" applyNumberFormat="1" applyFont="1" applyFill="1" applyAlignment="1">
      <alignment horizontal="right" vertical="center" indent="1"/>
    </xf>
    <xf numFmtId="181" fontId="30" fillId="2" borderId="0" xfId="0" applyNumberFormat="1" applyFont="1" applyFill="1" applyAlignment="1">
      <alignment horizontal="right" vertical="center" indent="1"/>
    </xf>
    <xf numFmtId="0" fontId="30" fillId="2" borderId="0" xfId="0" applyFont="1" applyFill="1" applyAlignment="1">
      <alignment horizontal="left" vertical="center" indent="1"/>
    </xf>
    <xf numFmtId="10" fontId="30" fillId="2" borderId="0" xfId="0" applyNumberFormat="1" applyFont="1" applyFill="1" applyAlignment="1">
      <alignment horizontal="right" vertical="center" indent="1"/>
    </xf>
    <xf numFmtId="2" fontId="59" fillId="2" borderId="0" xfId="0" applyNumberFormat="1" applyFont="1" applyFill="1" applyAlignment="1">
      <alignment horizontal="right" vertical="center" indent="1"/>
    </xf>
    <xf numFmtId="0" fontId="30" fillId="0" borderId="0" xfId="0" applyFont="1"/>
    <xf numFmtId="169" fontId="30" fillId="0" borderId="0" xfId="3" applyNumberFormat="1" applyFont="1" applyBorder="1" applyAlignment="1">
      <alignment horizontal="right" vertical="center" indent="1"/>
    </xf>
    <xf numFmtId="0" fontId="30" fillId="2" borderId="0" xfId="0" applyFont="1" applyFill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0" fillId="2" borderId="15" xfId="0" applyFill="1" applyBorder="1"/>
    <xf numFmtId="169" fontId="30" fillId="2" borderId="0" xfId="0" applyNumberFormat="1" applyFont="1" applyFill="1" applyAlignment="1">
      <alignment horizontal="right" vertical="center" indent="1"/>
    </xf>
    <xf numFmtId="0" fontId="12" fillId="2" borderId="0" xfId="2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wrapText="1"/>
    </xf>
    <xf numFmtId="3" fontId="21" fillId="2" borderId="31" xfId="0" applyNumberFormat="1" applyFont="1" applyFill="1" applyBorder="1" applyAlignment="1">
      <alignment horizontal="center" vertical="center" wrapText="1"/>
    </xf>
    <xf numFmtId="3" fontId="21" fillId="2" borderId="3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21" fillId="2" borderId="31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170" fontId="23" fillId="2" borderId="31" xfId="0" applyNumberFormat="1" applyFont="1" applyFill="1" applyBorder="1" applyAlignment="1">
      <alignment horizontal="center" vertical="center"/>
    </xf>
    <xf numFmtId="170" fontId="23" fillId="2" borderId="30" xfId="0" applyNumberFormat="1" applyFont="1" applyFill="1" applyBorder="1" applyAlignment="1">
      <alignment horizontal="center" vertical="center"/>
    </xf>
    <xf numFmtId="170" fontId="23" fillId="2" borderId="0" xfId="0" applyNumberFormat="1" applyFont="1" applyFill="1" applyAlignment="1">
      <alignment horizontal="center" vertical="center"/>
    </xf>
    <xf numFmtId="0" fontId="1" fillId="4" borderId="27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center" vertical="top" wrapText="1"/>
    </xf>
    <xf numFmtId="3" fontId="21" fillId="8" borderId="29" xfId="0" applyNumberFormat="1" applyFont="1" applyFill="1" applyBorder="1" applyAlignment="1">
      <alignment horizontal="center" vertical="center"/>
    </xf>
    <xf numFmtId="170" fontId="23" fillId="8" borderId="29" xfId="0" applyNumberFormat="1" applyFont="1" applyFill="1" applyBorder="1" applyAlignment="1">
      <alignment horizontal="center" vertical="center"/>
    </xf>
    <xf numFmtId="3" fontId="21" fillId="8" borderId="31" xfId="0" applyNumberFormat="1" applyFont="1" applyFill="1" applyBorder="1" applyAlignment="1">
      <alignment horizontal="center" vertical="center" wrapText="1"/>
    </xf>
    <xf numFmtId="3" fontId="21" fillId="8" borderId="30" xfId="0" applyNumberFormat="1" applyFont="1" applyFill="1" applyBorder="1" applyAlignment="1">
      <alignment horizontal="center" vertical="center" wrapText="1"/>
    </xf>
    <xf numFmtId="170" fontId="23" fillId="8" borderId="31" xfId="0" applyNumberFormat="1" applyFont="1" applyFill="1" applyBorder="1" applyAlignment="1">
      <alignment horizontal="center" vertical="center"/>
    </xf>
    <xf numFmtId="170" fontId="23" fillId="8" borderId="0" xfId="0" applyNumberFormat="1" applyFont="1" applyFill="1" applyAlignment="1">
      <alignment horizontal="center" vertical="center"/>
    </xf>
    <xf numFmtId="3" fontId="21" fillId="8" borderId="31" xfId="0" applyNumberFormat="1" applyFont="1" applyFill="1" applyBorder="1" applyAlignment="1">
      <alignment horizontal="center" vertical="center"/>
    </xf>
    <xf numFmtId="3" fontId="21" fillId="8" borderId="0" xfId="0" applyNumberFormat="1" applyFont="1" applyFill="1" applyAlignment="1">
      <alignment horizontal="center" vertical="center"/>
    </xf>
    <xf numFmtId="0" fontId="29" fillId="8" borderId="30" xfId="0" applyFont="1" applyFill="1" applyBorder="1" applyAlignment="1">
      <alignment horizontal="left" vertical="center" wrapText="1"/>
    </xf>
    <xf numFmtId="0" fontId="29" fillId="2" borderId="30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3" fontId="21" fillId="2" borderId="30" xfId="0" applyNumberFormat="1" applyFont="1" applyFill="1" applyBorder="1" applyAlignment="1">
      <alignment horizontal="center" vertical="center"/>
    </xf>
    <xf numFmtId="3" fontId="21" fillId="8" borderId="30" xfId="0" applyNumberFormat="1" applyFont="1" applyFill="1" applyBorder="1" applyAlignment="1">
      <alignment horizontal="center" vertical="center"/>
    </xf>
    <xf numFmtId="170" fontId="23" fillId="8" borderId="30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1" fillId="5" borderId="28" xfId="2" applyFont="1" applyFill="1" applyBorder="1" applyAlignment="1">
      <alignment horizontal="center" vertical="center"/>
    </xf>
    <xf numFmtId="0" fontId="61" fillId="5" borderId="0" xfId="2" applyFont="1" applyFill="1" applyBorder="1" applyAlignment="1">
      <alignment horizontal="center" vertical="center"/>
    </xf>
    <xf numFmtId="0" fontId="61" fillId="5" borderId="26" xfId="2" applyFont="1" applyFill="1" applyBorder="1" applyAlignment="1">
      <alignment horizontal="center" vertical="center"/>
    </xf>
    <xf numFmtId="0" fontId="62" fillId="5" borderId="28" xfId="2" applyFont="1" applyFill="1" applyBorder="1" applyAlignment="1">
      <alignment horizontal="center" vertical="center"/>
    </xf>
    <xf numFmtId="0" fontId="62" fillId="5" borderId="26" xfId="2" applyFont="1" applyFill="1" applyBorder="1" applyAlignment="1">
      <alignment horizontal="center" vertical="center"/>
    </xf>
    <xf numFmtId="0" fontId="85" fillId="2" borderId="0" xfId="0" applyFont="1" applyFill="1" applyAlignment="1">
      <alignment horizontal="center" vertical="center"/>
    </xf>
    <xf numFmtId="17" fontId="0" fillId="2" borderId="0" xfId="0" applyNumberFormat="1" applyFill="1" applyAlignment="1">
      <alignment horizontal="center" vertical="center" wrapText="1"/>
    </xf>
    <xf numFmtId="10" fontId="41" fillId="2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5" fillId="4" borderId="1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right" vertical="center" wrapText="1" indent="1"/>
    </xf>
    <xf numFmtId="0" fontId="15" fillId="4" borderId="0" xfId="0" applyFont="1" applyFill="1" applyAlignment="1">
      <alignment horizontal="right" vertical="center" wrapText="1" indent="1"/>
    </xf>
    <xf numFmtId="0" fontId="15" fillId="4" borderId="0" xfId="0" applyFont="1" applyFill="1" applyAlignment="1">
      <alignment horizontal="center"/>
    </xf>
    <xf numFmtId="0" fontId="1" fillId="5" borderId="0" xfId="0" applyFont="1" applyFill="1" applyAlignment="1">
      <alignment horizontal="left" vertical="center" wrapText="1"/>
    </xf>
  </cellXfs>
  <cellStyles count="59">
    <cellStyle name="20% - Accent1 2" xfId="31" xr:uid="{21B6A3AB-050B-429A-A9E2-AF22ACAFCC21}"/>
    <cellStyle name="20% - Accent2 2" xfId="35" xr:uid="{E74FB4EC-2174-47CD-8343-208E69D4CC44}"/>
    <cellStyle name="20% - Accent3 2" xfId="39" xr:uid="{9853197C-3900-46E8-8927-0427B51CE16D}"/>
    <cellStyle name="20% - Accent4 2" xfId="43" xr:uid="{AB9B20FB-8817-4D0D-B8F8-780B44D6F485}"/>
    <cellStyle name="20% - Accent5 2" xfId="47" xr:uid="{C35F5D2A-2414-4AD8-A0E0-78DA7EB28D22}"/>
    <cellStyle name="20% - Accent6 2" xfId="51" xr:uid="{736690DE-46B2-435F-A398-A82BF5E81AA2}"/>
    <cellStyle name="40% - Accent1 2" xfId="32" xr:uid="{56EA35B6-716D-4E32-B2A5-C007B6C5906E}"/>
    <cellStyle name="40% - Accent2 2" xfId="36" xr:uid="{316110E8-D269-4560-AE7A-1A8E078CC1DE}"/>
    <cellStyle name="40% - Accent3 2" xfId="40" xr:uid="{9AA3EF94-029A-47CF-89B2-0A0F08AC5F06}"/>
    <cellStyle name="40% - Accent4 2" xfId="44" xr:uid="{11A3A30A-B16E-4ED8-839A-93F47E36EC3C}"/>
    <cellStyle name="40% - Accent5 2" xfId="48" xr:uid="{BED8DAD8-0FC0-48CA-AE32-CFBACCD28828}"/>
    <cellStyle name="40% - Accent6 2" xfId="52" xr:uid="{6309B1F6-7C4B-4696-B540-9100C00A9F69}"/>
    <cellStyle name="60% - Accent1 2" xfId="33" xr:uid="{0A1AF8A6-F78D-419C-8E48-5A8613AA9CEA}"/>
    <cellStyle name="60% - Accent2 2" xfId="37" xr:uid="{95F4470A-CD52-4EFB-B432-CDFFD49D82FF}"/>
    <cellStyle name="60% - Accent3 2" xfId="41" xr:uid="{BC90B960-56DE-4280-A83D-FD6A645FF666}"/>
    <cellStyle name="60% - Accent4 2" xfId="45" xr:uid="{6C39D7C8-4F2A-4000-9CCD-739AA2199C5D}"/>
    <cellStyle name="60% - Accent5 2" xfId="49" xr:uid="{E8A5659A-1FD5-4CA3-B62C-012BD0805EE5}"/>
    <cellStyle name="60% - Accent6 2" xfId="53" xr:uid="{A825B52E-338D-435C-A134-BC69F090E69A}"/>
    <cellStyle name="Accent1 2" xfId="30" xr:uid="{2B047AEC-D964-4177-975D-D57BFC7CE921}"/>
    <cellStyle name="Accent2 2" xfId="34" xr:uid="{97ADB351-5779-4339-979C-6C68F0F8790E}"/>
    <cellStyle name="Accent3 2" xfId="38" xr:uid="{11766CEF-4B61-4A55-87E0-7E916BAB52D9}"/>
    <cellStyle name="Accent4 2" xfId="42" xr:uid="{C1BC497A-2BD1-4F79-AA3A-2BF83B362216}"/>
    <cellStyle name="Accent5 2" xfId="46" xr:uid="{7056A060-286C-424B-8B09-D8AE25181159}"/>
    <cellStyle name="Accent6 2" xfId="50" xr:uid="{24B71E2E-63A9-41D8-A264-815D7ACCA078}"/>
    <cellStyle name="Bad 2" xfId="20" xr:uid="{BE7A0AF5-B058-4120-82F3-FE7DDCAC9AA2}"/>
    <cellStyle name="Calculation 2" xfId="24" xr:uid="{81A19796-4F35-479C-A434-F4497B6C37D5}"/>
    <cellStyle name="Check Cell 2" xfId="26" xr:uid="{1838C58B-ED8B-4ACA-8768-8F40DDA98A2C}"/>
    <cellStyle name="Comma" xfId="5" builtinId="3"/>
    <cellStyle name="Comma [0]" xfId="8" builtinId="6" customBuiltin="1"/>
    <cellStyle name="Comma 2" xfId="13" xr:uid="{6420F009-738B-4445-A025-DB7FCA110149}"/>
    <cellStyle name="Currency" xfId="4" builtinId="4"/>
    <cellStyle name="Currency [0]" xfId="9" builtinId="7" customBuiltin="1"/>
    <cellStyle name="Currency 2" xfId="14" xr:uid="{A5D81D97-6EB6-47A9-B276-83246E57DAB1}"/>
    <cellStyle name="dms_NUM 2" xfId="6" xr:uid="{FE2F55E6-1BDA-4D0A-A06C-516968D585DB}"/>
    <cellStyle name="Explanatory Text 2" xfId="28" xr:uid="{379B564B-0F27-49D9-A755-02001C9ED720}"/>
    <cellStyle name="Good 2" xfId="19" xr:uid="{607731C0-D52F-4EAA-AE5A-D8125FBFB2EA}"/>
    <cellStyle name="Heading 1 2" xfId="15" xr:uid="{6887BE66-F828-4F67-B001-7D55574E2F33}"/>
    <cellStyle name="Heading 2 2" xfId="16" xr:uid="{6682124F-7DE1-4035-BBB2-798BD28FE362}"/>
    <cellStyle name="Heading 3 2" xfId="17" xr:uid="{9EA1C73F-B189-4CC9-B826-83EAD277B489}"/>
    <cellStyle name="Heading 4 2" xfId="18" xr:uid="{3D0A0B64-3FBC-4FE1-B483-38458E94EDFE}"/>
    <cellStyle name="Hyperlink" xfId="2" builtinId="8"/>
    <cellStyle name="Input 2" xfId="22" xr:uid="{5CA80B96-5552-48C7-B881-F26406BFD878}"/>
    <cellStyle name="Linked Cell 2" xfId="25" xr:uid="{4152F064-3F1C-4798-AD93-B5C3466DC1FB}"/>
    <cellStyle name="Neutral 2" xfId="21" xr:uid="{4A56B3A6-9892-4222-A3CB-920C98E292FC}"/>
    <cellStyle name="Normal" xfId="0" builtinId="0"/>
    <cellStyle name="Normal 2" xfId="1" xr:uid="{00000000-0005-0000-0000-000002000000}"/>
    <cellStyle name="Normal 2 2" xfId="55" xr:uid="{5493F9B1-8465-49A6-B4CE-BE5D962C4889}"/>
    <cellStyle name="Normal 3" xfId="57" xr:uid="{CF870800-B086-40EA-9145-984F4093360E}"/>
    <cellStyle name="Normal 3 2" xfId="58" xr:uid="{6C1EB402-623F-4120-A110-E9A71452D6C2}"/>
    <cellStyle name="Normal 4" xfId="7" xr:uid="{175E8A08-E153-497B-85B3-4D0B33C54B80}"/>
    <cellStyle name="Normal 5" xfId="12" xr:uid="{DA771629-519E-481F-8A60-A47B7E7AC41D}"/>
    <cellStyle name="Note" xfId="11" builtinId="10" customBuiltin="1"/>
    <cellStyle name="Output 2" xfId="23" xr:uid="{CF109DD5-E47D-4B7A-BA84-78ABEF4EF6E7}"/>
    <cellStyle name="Percent" xfId="3" builtinId="5" customBuiltin="1"/>
    <cellStyle name="Percent 2" xfId="54" xr:uid="{6DA65D31-B5F4-45DB-818C-EF1C63E9767D}"/>
    <cellStyle name="Percent 3" xfId="56" xr:uid="{C5639A66-F18A-48DB-84EC-2629C3FE01BE}"/>
    <cellStyle name="Title" xfId="10" builtinId="15" customBuiltin="1"/>
    <cellStyle name="Total 2" xfId="29" xr:uid="{CBF35292-BC56-4685-8656-A41DC7DD4626}"/>
    <cellStyle name="Warning Text 2" xfId="27" xr:uid="{50038F35-98CD-48B7-81CC-CEC959100595}"/>
  </cellStyles>
  <dxfs count="132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  <color rgb="FFFFFFFF"/>
      <color rgb="FF009900"/>
      <color rgb="FF076A92"/>
      <color rgb="FFC06C7C"/>
      <color rgb="FFFFFF66"/>
      <color rgb="FFBCEAFC"/>
      <color rgb="FFA0E0FA"/>
      <color rgb="FFFFFF99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CL'!$A$52</c:f>
          <c:strCache>
            <c:ptCount val="1"/>
            <c:pt idx="0">
              <c:v>Endeavour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CL'!$C$52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CL'!$D$52:$J$52</c:f>
              <c:numCache>
                <c:formatCode>#,##0</c:formatCode>
                <c:ptCount val="7"/>
                <c:pt idx="0">
                  <c:v>0</c:v>
                </c:pt>
                <c:pt idx="1">
                  <c:v>1835.8960479613436</c:v>
                </c:pt>
                <c:pt idx="2">
                  <c:v>1845.5529904314474</c:v>
                </c:pt>
                <c:pt idx="3">
                  <c:v>2183.991090431447</c:v>
                </c:pt>
                <c:pt idx="4">
                  <c:v>2180.9505482216809</c:v>
                </c:pt>
                <c:pt idx="5">
                  <c:v>2180.9505482216809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CL'!$C$53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CL'!$K$53</c:f>
                  <c:strCache>
                    <c:ptCount val="1"/>
                    <c:pt idx="0">
                      <c:v>+9.7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{B338EDFB-81E3-49B7-8912-78A4CCDD7778}</c15:txfldGUID>
                      <c15:f>'Res wo CL'!$K$53</c15:f>
                      <c15:dlblFieldTableCache>
                        <c:ptCount val="1"/>
                        <c:pt idx="0">
                          <c:v>+9.7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CL'!$D$53:$J$53</c:f>
              <c:numCache>
                <c:formatCode>#,##0.0</c:formatCode>
                <c:ptCount val="7"/>
                <c:pt idx="0" formatCode="#,##0">
                  <c:v>653.68214999999987</c:v>
                </c:pt>
                <c:pt idx="1">
                  <c:v>9.656942470103786</c:v>
                </c:pt>
                <c:pt idx="6" formatCode="#,##0">
                  <c:v>663.33909247010365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CL'!$C$54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CL'!$K$54</c:f>
                  <c:strCache>
                    <c:ptCount val="1"/>
                    <c:pt idx="0">
                      <c:v>+348.9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{505D1686-BF1B-406B-AC72-F0D3DCD104E1}</c15:txfldGUID>
                      <c15:f>'Res wo CL'!$K$54</c15:f>
                      <c15:dlblFieldTableCache>
                        <c:ptCount val="1"/>
                        <c:pt idx="0">
                          <c:v>+348.9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CL'!$D$54:$J$54</c:f>
              <c:numCache>
                <c:formatCode>#,##0.0</c:formatCode>
                <c:ptCount val="7"/>
                <c:pt idx="0" formatCode="#,##0">
                  <c:v>669.7075000000001</c:v>
                </c:pt>
                <c:pt idx="2">
                  <c:v>348.89469999999983</c:v>
                </c:pt>
                <c:pt idx="6" formatCode="#,##0">
                  <c:v>1018.6021999999999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CL'!$C$55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CL'!$K$55</c:f>
                  <c:strCache>
                    <c:ptCount val="1"/>
                    <c:pt idx="0">
                      <c:v>-10.5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{AA847843-46AB-4E7E-B84B-E7B77FC785E2}</c15:txfldGUID>
                      <c15:f>'Res wo CL'!$K$55</c15:f>
                      <c15:dlblFieldTableCache>
                        <c:ptCount val="1"/>
                        <c:pt idx="0">
                          <c:v>-10.5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CL'!$D$55:$J$55</c:f>
              <c:numCache>
                <c:formatCode>#,##0.0</c:formatCode>
                <c:ptCount val="7"/>
                <c:pt idx="0" formatCode="#,##0">
                  <c:v>112.21980000000001</c:v>
                </c:pt>
                <c:pt idx="3">
                  <c:v>10.456600000000009</c:v>
                </c:pt>
                <c:pt idx="6" formatCode="#,##0">
                  <c:v>101.7632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CL'!$C$56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CL'!$D$56:$J$56</c:f>
              <c:numCache>
                <c:formatCode>#,##0.0</c:formatCode>
                <c:ptCount val="7"/>
                <c:pt idx="0" formatCode="#,##0">
                  <c:v>216.69699316520897</c:v>
                </c:pt>
                <c:pt idx="4">
                  <c:v>3.0405422097660733</c:v>
                </c:pt>
                <c:pt idx="6" formatCode="#,##0">
                  <c:v>213.65645095544289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CL'!$C$57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CL'!$D$57:$J$57</c:f>
              <c:numCache>
                <c:formatCode>#,##0.0</c:formatCode>
                <c:ptCount val="7"/>
                <c:pt idx="0" formatCode="#,##0">
                  <c:v>183.58960479613438</c:v>
                </c:pt>
                <c:pt idx="5">
                  <c:v>38.339388917815313</c:v>
                </c:pt>
                <c:pt idx="6" formatCode="#,##0">
                  <c:v>221.92899371394969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2-45E7-829C-440C2C7D1AEF}"/>
            </c:ext>
          </c:extLst>
        </c:ser>
        <c:ser>
          <c:idx val="6"/>
          <c:order val="6"/>
          <c:tx>
            <c:strRef>
              <c:f>'Res wo CL'!$C$58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CL'!$D$58:$J$58</c:f>
              <c:numCache>
                <c:formatCode>#,##0</c:formatCode>
                <c:ptCount val="7"/>
                <c:pt idx="0">
                  <c:v>1835.8960479613436</c:v>
                </c:pt>
                <c:pt idx="6">
                  <c:v>2219.2899371394965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CL'!$A$59</c:f>
          <c:strCache>
            <c:ptCount val="1"/>
            <c:pt idx="0">
              <c:v>Essential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CL'!$C$59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CL'!$D$59:$J$59</c:f>
              <c:numCache>
                <c:formatCode>#,##0</c:formatCode>
                <c:ptCount val="7"/>
                <c:pt idx="0">
                  <c:v>0</c:v>
                </c:pt>
                <c:pt idx="1">
                  <c:v>2092.2056395030099</c:v>
                </c:pt>
                <c:pt idx="2">
                  <c:v>2209.4519102968216</c:v>
                </c:pt>
                <c:pt idx="3">
                  <c:v>2511.8881102968217</c:v>
                </c:pt>
                <c:pt idx="4">
                  <c:v>2508.6393786852482</c:v>
                </c:pt>
                <c:pt idx="5">
                  <c:v>2508.6393786852482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CL'!$C$60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CL'!$K$60</c:f>
                  <c:strCache>
                    <c:ptCount val="1"/>
                    <c:pt idx="0">
                      <c:v>+117.2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{F3D88167-4EF2-45B3-BCEF-37E8DC877F6B}</c15:txfldGUID>
                      <c15:f>'Res wo CL'!$K$60</c15:f>
                      <c15:dlblFieldTableCache>
                        <c:ptCount val="1"/>
                        <c:pt idx="0">
                          <c:v>+117.2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CL'!$D$60:$J$60</c:f>
              <c:numCache>
                <c:formatCode>#,##0.0</c:formatCode>
                <c:ptCount val="7"/>
                <c:pt idx="0" formatCode="#,##0">
                  <c:v>980.07997999999998</c:v>
                </c:pt>
                <c:pt idx="1">
                  <c:v>117.24627079381139</c:v>
                </c:pt>
                <c:pt idx="6" formatCode="#,##0">
                  <c:v>1097.3262507938114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CL'!$C$61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CL'!$K$61</c:f>
                  <c:strCache>
                    <c:ptCount val="1"/>
                    <c:pt idx="0">
                      <c:v>+312.7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{8A552519-E058-4A33-8E5D-19B97C6D63D2}</c15:txfldGUID>
                      <c15:f>'Res wo CL'!$K$61</c15:f>
                      <c15:dlblFieldTableCache>
                        <c:ptCount val="1"/>
                        <c:pt idx="0">
                          <c:v>+312.7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CL'!$D$61:$J$61</c:f>
              <c:numCache>
                <c:formatCode>#,##0.0</c:formatCode>
                <c:ptCount val="7"/>
                <c:pt idx="0" formatCode="#,##0">
                  <c:v>586.80819999999994</c:v>
                </c:pt>
                <c:pt idx="2">
                  <c:v>312.70800000000008</c:v>
                </c:pt>
                <c:pt idx="6" formatCode="#,##0">
                  <c:v>899.51620000000003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CL'!$C$62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CL'!$K$62</c:f>
                  <c:strCache>
                    <c:ptCount val="1"/>
                    <c:pt idx="0">
                      <c:v>-10.3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{5B478C9D-83BB-451A-BFA1-E139DC2F70E2}</c15:txfldGUID>
                      <c15:f>'Res wo CL'!$K$62</c15:f>
                      <c15:dlblFieldTableCache>
                        <c:ptCount val="1"/>
                        <c:pt idx="0">
                          <c:v>-10.3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CL'!$D$62:$J$62</c:f>
              <c:numCache>
                <c:formatCode>#,##0.0</c:formatCode>
                <c:ptCount val="7"/>
                <c:pt idx="0" formatCode="#,##0">
                  <c:v>103.47699999999999</c:v>
                </c:pt>
                <c:pt idx="3">
                  <c:v>10.271799999999971</c:v>
                </c:pt>
                <c:pt idx="6" formatCode="#,##0">
                  <c:v>93.205200000000019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CL'!$C$63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CL'!$D$63:$J$63</c:f>
              <c:numCache>
                <c:formatCode>#,##0.0</c:formatCode>
                <c:ptCount val="7"/>
                <c:pt idx="0" formatCode="#,##0">
                  <c:v>212.61989555270895</c:v>
                </c:pt>
                <c:pt idx="4">
                  <c:v>3.2487316115732767</c:v>
                </c:pt>
                <c:pt idx="6" formatCode="#,##0">
                  <c:v>209.37116394113568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CL'!$C$64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CL'!$D$64:$J$64</c:f>
              <c:numCache>
                <c:formatCode>#,##0.0</c:formatCode>
                <c:ptCount val="7"/>
                <c:pt idx="0" formatCode="#,##0">
                  <c:v>209.22056395030086</c:v>
                </c:pt>
                <c:pt idx="5">
                  <c:v>46.270415464693087</c:v>
                </c:pt>
                <c:pt idx="6" formatCode="#,##0">
                  <c:v>255.49097941499394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28-4A15-A2B8-8D4BEE4FD5C1}"/>
            </c:ext>
          </c:extLst>
        </c:ser>
        <c:ser>
          <c:idx val="6"/>
          <c:order val="6"/>
          <c:tx>
            <c:strRef>
              <c:f>'Res wo CL'!$C$65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CL'!$D$65:$J$65</c:f>
              <c:numCache>
                <c:formatCode>#,##0</c:formatCode>
                <c:ptCount val="7"/>
                <c:pt idx="0">
                  <c:v>2092.2056395030099</c:v>
                </c:pt>
                <c:pt idx="6">
                  <c:v>2554.9097941499413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CL'!$A$66</c:f>
          <c:strCache>
            <c:ptCount val="1"/>
            <c:pt idx="0">
              <c:v>Energex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CL'!$C$66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CL'!$D$66:$J$66</c:f>
              <c:numCache>
                <c:formatCode>#,##0</c:formatCode>
                <c:ptCount val="7"/>
                <c:pt idx="0">
                  <c:v>0</c:v>
                </c:pt>
                <c:pt idx="1">
                  <c:v>1620.2111112202062</c:v>
                </c:pt>
                <c:pt idx="2">
                  <c:v>1653.8877211830927</c:v>
                </c:pt>
                <c:pt idx="3">
                  <c:v>1919.942521183093</c:v>
                </c:pt>
                <c:pt idx="4">
                  <c:v>1914.3341646840686</c:v>
                </c:pt>
                <c:pt idx="5">
                  <c:v>1914.3341646840686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CL'!$C$67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CL'!$K$67</c:f>
                  <c:strCache>
                    <c:ptCount val="1"/>
                    <c:pt idx="0">
                      <c:v>+33.7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{6E2D3894-B5E4-414B-A0EC-6756FF59091E}</c15:txfldGUID>
                      <c15:f>'Res wo CL'!$K$67</c15:f>
                      <c15:dlblFieldTableCache>
                        <c:ptCount val="1"/>
                        <c:pt idx="0">
                          <c:v>+33.7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CL'!$D$67:$J$67</c:f>
              <c:numCache>
                <c:formatCode>#,##0.0</c:formatCode>
                <c:ptCount val="7"/>
                <c:pt idx="0" formatCode="#,##0">
                  <c:v>626.91969999999992</c:v>
                </c:pt>
                <c:pt idx="1">
                  <c:v>33.676609962886346</c:v>
                </c:pt>
                <c:pt idx="6" formatCode="#,##0">
                  <c:v>660.59630996288627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CL'!$C$68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1362794538617383E-17"/>
                  <c:y val="3.9597016654774754E-2"/>
                </c:manualLayout>
              </c:layout>
              <c:tx>
                <c:strRef>
                  <c:f>'Res wo CL'!$K$68</c:f>
                  <c:strCache>
                    <c:ptCount val="1"/>
                    <c:pt idx="0">
                      <c:v>+276.2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{D9937190-A0DF-4FA6-8CE7-976E9D9D3B53}</c15:txfldGUID>
                      <c15:f>'Res wo CL'!$K$68</c15:f>
                      <c15:dlblFieldTableCache>
                        <c:ptCount val="1"/>
                        <c:pt idx="0">
                          <c:v>+276.2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CL'!$D$68:$J$68</c:f>
              <c:numCache>
                <c:formatCode>#,##0.0</c:formatCode>
                <c:ptCount val="7"/>
                <c:pt idx="0" formatCode="#,##0">
                  <c:v>559.28179999999998</c:v>
                </c:pt>
                <c:pt idx="2">
                  <c:v>276.17480000000012</c:v>
                </c:pt>
                <c:pt idx="6" formatCode="#,##0">
                  <c:v>835.45660000000009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CL'!$C$69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CL'!$K$69</c:f>
                  <c:strCache>
                    <c:ptCount val="1"/>
                    <c:pt idx="0">
                      <c:v>-10.1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{A4E06F0A-47F3-484E-86AC-18BD0DE99135}</c15:txfldGUID>
                      <c15:f>'Res wo CL'!$K$69</c15:f>
                      <c15:dlblFieldTableCache>
                        <c:ptCount val="1"/>
                        <c:pt idx="0">
                          <c:v>-10.1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CL'!$D$69:$J$69</c:f>
              <c:numCache>
                <c:formatCode>#,##0.0</c:formatCode>
                <c:ptCount val="7"/>
                <c:pt idx="0" formatCode="#,##0">
                  <c:v>86.525999999999996</c:v>
                </c:pt>
                <c:pt idx="3">
                  <c:v>10.120000000000005</c:v>
                </c:pt>
                <c:pt idx="6" formatCode="#,##0">
                  <c:v>76.405999999999992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CL'!$C$70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CL'!$D$70:$J$70</c:f>
              <c:numCache>
                <c:formatCode>#,##0.0</c:formatCode>
                <c:ptCount val="7"/>
                <c:pt idx="0" formatCode="#,##0">
                  <c:v>211.38587787770896</c:v>
                </c:pt>
                <c:pt idx="4">
                  <c:v>5.608356499024552</c:v>
                </c:pt>
                <c:pt idx="6" formatCode="#,##0">
                  <c:v>205.77752137868441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CL'!$C$71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CL'!$D$71:$J$71</c:f>
              <c:numCache>
                <c:formatCode>#,##0.0</c:formatCode>
                <c:ptCount val="7"/>
                <c:pt idx="0" formatCode="#,##0">
                  <c:v>136.09773334249735</c:v>
                </c:pt>
                <c:pt idx="5">
                  <c:v>26.971983068738382</c:v>
                </c:pt>
                <c:pt idx="6" formatCode="#,##0">
                  <c:v>163.06971641123573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9-4CA8-8EE7-B592EE55D9D2}"/>
            </c:ext>
          </c:extLst>
        </c:ser>
        <c:ser>
          <c:idx val="6"/>
          <c:order val="6"/>
          <c:tx>
            <c:strRef>
              <c:f>'Res wo CL'!$C$72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CL'!$D$72:$J$72</c:f>
              <c:numCache>
                <c:formatCode>#,##0</c:formatCode>
                <c:ptCount val="7"/>
                <c:pt idx="0">
                  <c:v>1620.2111112202062</c:v>
                </c:pt>
                <c:pt idx="6">
                  <c:v>1941.3061477528065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CL'!$A$73</c:f>
          <c:strCache>
            <c:ptCount val="1"/>
            <c:pt idx="0">
              <c:v>SAPN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CL'!$C$73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CL'!$D$73:$J$73</c:f>
              <c:numCache>
                <c:formatCode>#,##0</c:formatCode>
                <c:ptCount val="7"/>
                <c:pt idx="0">
                  <c:v>0</c:v>
                </c:pt>
                <c:pt idx="1">
                  <c:v>1840.1638293778822</c:v>
                </c:pt>
                <c:pt idx="2">
                  <c:v>1843.5221733778817</c:v>
                </c:pt>
                <c:pt idx="3">
                  <c:v>2224.9581733778818</c:v>
                </c:pt>
                <c:pt idx="4">
                  <c:v>2217.0626171192116</c:v>
                </c:pt>
                <c:pt idx="5">
                  <c:v>2217.0626171192116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CL'!$C$74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CL'!$K$74</c:f>
                  <c:strCache>
                    <c:ptCount val="1"/>
                    <c:pt idx="0">
                      <c:v>+3.4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{35C9E59B-0586-4915-942C-BF8E29E533CD}</c15:txfldGUID>
                      <c15:f>'Res wo CL'!$K$74</c15:f>
                      <c15:dlblFieldTableCache>
                        <c:ptCount val="1"/>
                        <c:pt idx="0">
                          <c:v>+3.4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CL'!$D$74:$J$74</c:f>
              <c:numCache>
                <c:formatCode>#,##0.0</c:formatCode>
                <c:ptCount val="7"/>
                <c:pt idx="0" formatCode="#,##0">
                  <c:v>826.75890000000004</c:v>
                </c:pt>
                <c:pt idx="1">
                  <c:v>3.3583439999996472</c:v>
                </c:pt>
                <c:pt idx="6" formatCode="#,##0">
                  <c:v>830.11724399999969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CL'!$C$75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CL'!$K$75</c:f>
                  <c:strCache>
                    <c:ptCount val="1"/>
                    <c:pt idx="0">
                      <c:v>+390.7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{D678DB07-8B21-4AB0-B47F-FE434299D1E7}</c15:txfldGUID>
                      <c15:f>'Res wo CL'!$K$75</c15:f>
                      <c15:dlblFieldTableCache>
                        <c:ptCount val="1"/>
                        <c:pt idx="0">
                          <c:v>+390.7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CL'!$D$75:$J$75</c:f>
              <c:numCache>
                <c:formatCode>#,##0.0</c:formatCode>
                <c:ptCount val="7"/>
                <c:pt idx="0" formatCode="#,##0">
                  <c:v>591.93200000000002</c:v>
                </c:pt>
                <c:pt idx="2">
                  <c:v>390.67599999999993</c:v>
                </c:pt>
                <c:pt idx="6" formatCode="#,##0">
                  <c:v>982.60799999999995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CL'!$C$76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CL'!$K$76</c:f>
                  <c:strCache>
                    <c:ptCount val="1"/>
                    <c:pt idx="0">
                      <c:v>-9.2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{0097ABE1-0ECE-4BC2-858C-A29D91C0D031}</c15:txfldGUID>
                      <c15:f>'Res wo CL'!$K$76</c15:f>
                      <c15:dlblFieldTableCache>
                        <c:ptCount val="1"/>
                        <c:pt idx="0">
                          <c:v>-9.2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CL'!$D$76:$J$76</c:f>
              <c:numCache>
                <c:formatCode>#,##0.0</c:formatCode>
                <c:ptCount val="7"/>
                <c:pt idx="0" formatCode="#,##0">
                  <c:v>89.671999999999997</c:v>
                </c:pt>
                <c:pt idx="3">
                  <c:v>9.2399999999999949</c:v>
                </c:pt>
                <c:pt idx="6" formatCode="#,##0">
                  <c:v>80.432000000000002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CL'!$C$77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CL'!$D$77:$J$77</c:f>
              <c:numCache>
                <c:formatCode>#,##0.0</c:formatCode>
                <c:ptCount val="7"/>
                <c:pt idx="0" formatCode="#,##0">
                  <c:v>221.39109961520896</c:v>
                </c:pt>
                <c:pt idx="4">
                  <c:v>7.8955562586701546</c:v>
                </c:pt>
                <c:pt idx="6" formatCode="#,##0">
                  <c:v>213.4955433565388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CL'!$C$78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CL'!$D$78:$J$78</c:f>
              <c:numCache>
                <c:formatCode>#,##0.0</c:formatCode>
                <c:ptCount val="7"/>
                <c:pt idx="0" formatCode="#,##0">
                  <c:v>110.4098297626731</c:v>
                </c:pt>
                <c:pt idx="5">
                  <c:v>24.05736943029774</c:v>
                </c:pt>
                <c:pt idx="6" formatCode="#,##0">
                  <c:v>134.46719919297084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A4-47B6-AA3E-F8EE1DA41199}"/>
            </c:ext>
          </c:extLst>
        </c:ser>
        <c:ser>
          <c:idx val="6"/>
          <c:order val="6"/>
          <c:tx>
            <c:strRef>
              <c:f>'Res wo CL'!$C$79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CL'!$D$79:$J$79</c:f>
              <c:numCache>
                <c:formatCode>#,##0</c:formatCode>
                <c:ptCount val="7"/>
                <c:pt idx="0">
                  <c:v>1840.1638293778822</c:v>
                </c:pt>
                <c:pt idx="6">
                  <c:v>2241.1199865495096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Ausgrid Residential without CL $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CL'!$C$45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CL'!$D$45:$J$45</c:f>
              <c:numCache>
                <c:formatCode>#,##0</c:formatCode>
                <c:ptCount val="7"/>
                <c:pt idx="0">
                  <c:v>0</c:v>
                </c:pt>
                <c:pt idx="1">
                  <c:v>1511.7830652391212</c:v>
                </c:pt>
                <c:pt idx="2">
                  <c:v>1552.3923966146249</c:v>
                </c:pt>
                <c:pt idx="3">
                  <c:v>1814.4684966146249</c:v>
                </c:pt>
                <c:pt idx="4">
                  <c:v>1813.6709176570055</c:v>
                </c:pt>
                <c:pt idx="5">
                  <c:v>1813.6709176570055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D-4496-88F5-CD2DC0185002}"/>
            </c:ext>
          </c:extLst>
        </c:ser>
        <c:ser>
          <c:idx val="1"/>
          <c:order val="1"/>
          <c:tx>
            <c:strRef>
              <c:f>'Res wo CL'!$C$46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CL'!$K$46</c:f>
                  <c:strCache>
                    <c:ptCount val="1"/>
                    <c:pt idx="0">
                      <c:v>+40.6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{13C8FF23-82E4-4004-B103-BDCD0F91886E}</c15:txfldGUID>
                      <c15:f>'Res wo CL'!$K$46</c15:f>
                      <c15:dlblFieldTableCache>
                        <c:ptCount val="1"/>
                        <c:pt idx="0">
                          <c:v>+40.6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28D-4496-88F5-CD2DC018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CL'!$D$46:$J$46</c:f>
              <c:numCache>
                <c:formatCode>#,##0.0</c:formatCode>
                <c:ptCount val="7"/>
                <c:pt idx="0" formatCode="#,##0">
                  <c:v>538.42154299999993</c:v>
                </c:pt>
                <c:pt idx="1">
                  <c:v>40.609331375503643</c:v>
                </c:pt>
                <c:pt idx="6" formatCode="#,##0">
                  <c:v>579.03087437550357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D-4496-88F5-CD2DC0185002}"/>
            </c:ext>
          </c:extLst>
        </c:ser>
        <c:ser>
          <c:idx val="2"/>
          <c:order val="2"/>
          <c:tx>
            <c:strRef>
              <c:f>'Res wo CL'!$C$47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CL'!$K$47</c:f>
                  <c:strCache>
                    <c:ptCount val="1"/>
                    <c:pt idx="0">
                      <c:v>+270.5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{93D60B39-F262-49AC-8E74-7BCFC978E3CA}</c15:txfldGUID>
                      <c15:f>'Res wo CL'!$K$47</c15:f>
                      <c15:dlblFieldTableCache>
                        <c:ptCount val="1"/>
                        <c:pt idx="0">
                          <c:v>+270.5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28D-4496-88F5-CD2DC018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CL'!$D$47:$J$47</c:f>
              <c:numCache>
                <c:formatCode>#,##0.0</c:formatCode>
                <c:ptCount val="7"/>
                <c:pt idx="0" formatCode="#,##0">
                  <c:v>524.36670000000004</c:v>
                </c:pt>
                <c:pt idx="2">
                  <c:v>270.48449999999991</c:v>
                </c:pt>
                <c:pt idx="6" formatCode="#,##0">
                  <c:v>794.85119999999995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D-4496-88F5-CD2DC0185002}"/>
            </c:ext>
          </c:extLst>
        </c:ser>
        <c:ser>
          <c:idx val="3"/>
          <c:order val="3"/>
          <c:tx>
            <c:strRef>
              <c:f>'Res wo CL'!$C$48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CL'!$K$48</c:f>
                  <c:strCache>
                    <c:ptCount val="1"/>
                    <c:pt idx="0">
                      <c:v>-8.4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{C41DA12B-63CC-426D-94E4-1ED89E954EE5}</c15:txfldGUID>
                      <c15:f>'Res wo CL'!$K$48</c15:f>
                      <c15:dlblFieldTableCache>
                        <c:ptCount val="1"/>
                        <c:pt idx="0">
                          <c:v>-8.4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28D-4496-88F5-CD2DC018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CL'!$D$48:$J$48</c:f>
              <c:numCache>
                <c:formatCode>#,##0.0</c:formatCode>
                <c:ptCount val="7"/>
                <c:pt idx="0" formatCode="#,##0">
                  <c:v>88.717200000000005</c:v>
                </c:pt>
                <c:pt idx="3">
                  <c:v>8.4084000000000145</c:v>
                </c:pt>
                <c:pt idx="6" formatCode="#,##0">
                  <c:v>80.308799999999991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D-4496-88F5-CD2DC0185002}"/>
            </c:ext>
          </c:extLst>
        </c:ser>
        <c:ser>
          <c:idx val="4"/>
          <c:order val="4"/>
          <c:tx>
            <c:strRef>
              <c:f>'Res wo CL'!$C$49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CL'!$D$49:$J$49</c:f>
              <c:numCache>
                <c:formatCode>#,##0.0</c:formatCode>
                <c:ptCount val="7"/>
                <c:pt idx="0" formatCode="#,##0">
                  <c:v>209.099315715209</c:v>
                </c:pt>
                <c:pt idx="4">
                  <c:v>0.79757895761946429</c:v>
                </c:pt>
                <c:pt idx="6" formatCode="#,##0">
                  <c:v>208.30173675758954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D-4496-88F5-CD2DC0185002}"/>
            </c:ext>
          </c:extLst>
        </c:ser>
        <c:ser>
          <c:idx val="5"/>
          <c:order val="5"/>
          <c:tx>
            <c:strRef>
              <c:f>'Res wo CL'!$C$50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CL'!$D$50:$J$50</c:f>
              <c:numCache>
                <c:formatCode>#,##0.0</c:formatCode>
                <c:ptCount val="7"/>
                <c:pt idx="0" formatCode="#,##0">
                  <c:v>151.17830652391217</c:v>
                </c:pt>
                <c:pt idx="5">
                  <c:v>33.543094713098071</c:v>
                </c:pt>
                <c:pt idx="6" formatCode="#,##0">
                  <c:v>184.72140123701024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3E-437C-B209-E19DE64A2471}"/>
            </c:ext>
          </c:extLst>
        </c:ser>
        <c:ser>
          <c:idx val="6"/>
          <c:order val="6"/>
          <c:tx>
            <c:strRef>
              <c:f>'Res wo CL'!$C$51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wo CL'!$D$51:$J$51</c:f>
              <c:numCache>
                <c:formatCode>#,##0</c:formatCode>
                <c:ptCount val="7"/>
                <c:pt idx="0">
                  <c:v>1511.7830652391212</c:v>
                </c:pt>
                <c:pt idx="6">
                  <c:v>1847.2140123701035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8D-4496-88F5-CD2DC0185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CL'!$A$52</c:f>
          <c:strCache>
            <c:ptCount val="1"/>
            <c:pt idx="0">
              <c:v>Endeavour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CL'!$C$52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CL'!$D$52:$J$52</c:f>
              <c:numCache>
                <c:formatCode>#,##0</c:formatCode>
                <c:ptCount val="7"/>
                <c:pt idx="0">
                  <c:v>0</c:v>
                </c:pt>
                <c:pt idx="1">
                  <c:v>2382.5298792946764</c:v>
                </c:pt>
                <c:pt idx="2">
                  <c:v>2395.6995325638127</c:v>
                </c:pt>
                <c:pt idx="3">
                  <c:v>2893.2823325638128</c:v>
                </c:pt>
                <c:pt idx="4">
                  <c:v>2890.2417903540468</c:v>
                </c:pt>
                <c:pt idx="5">
                  <c:v>2890.2417903540468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8-4284-834E-C4F8AA49D780}"/>
            </c:ext>
          </c:extLst>
        </c:ser>
        <c:ser>
          <c:idx val="1"/>
          <c:order val="1"/>
          <c:tx>
            <c:strRef>
              <c:f>'Res w CL'!$C$53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CL'!$K$53</c:f>
                  <c:strCache>
                    <c:ptCount val="1"/>
                    <c:pt idx="0">
                      <c:v>+13.2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{1EDEA702-BB6C-4D27-B3EA-9B44367F228A}</c15:txfldGUID>
                      <c15:f>'Res w CL'!$K$53</c15:f>
                      <c15:dlblFieldTableCache>
                        <c:ptCount val="1"/>
                        <c:pt idx="0">
                          <c:v>+13.2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628-4284-834E-C4F8AA49D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CL'!$D$53:$J$53</c:f>
              <c:numCache>
                <c:formatCode>#,##0.0</c:formatCode>
                <c:ptCount val="7"/>
                <c:pt idx="0" formatCode="#,##0">
                  <c:v>770.30509819999997</c:v>
                </c:pt>
                <c:pt idx="1">
                  <c:v>13.16965326913612</c:v>
                </c:pt>
                <c:pt idx="6" formatCode="#,##0">
                  <c:v>783.47475146913609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8-4284-834E-C4F8AA49D780}"/>
            </c:ext>
          </c:extLst>
        </c:ser>
        <c:ser>
          <c:idx val="2"/>
          <c:order val="2"/>
          <c:tx>
            <c:strRef>
              <c:f>'Res w CL'!$C$54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CL'!$K$54</c:f>
                  <c:strCache>
                    <c:ptCount val="1"/>
                    <c:pt idx="0">
                      <c:v>+513.4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{9DD35E3D-7693-4FC1-8D43-79DF134AAFCB}</c15:txfldGUID>
                      <c15:f>'Res w CL'!$K$54</c15:f>
                      <c15:dlblFieldTableCache>
                        <c:ptCount val="1"/>
                        <c:pt idx="0">
                          <c:v>+513.4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628-4284-834E-C4F8AA49D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CL'!$D$54:$J$54</c:f>
              <c:numCache>
                <c:formatCode>#,##0.0</c:formatCode>
                <c:ptCount val="7"/>
                <c:pt idx="0" formatCode="#,##0">
                  <c:v>987.8</c:v>
                </c:pt>
                <c:pt idx="2">
                  <c:v>513.37440000000015</c:v>
                </c:pt>
                <c:pt idx="6" formatCode="#,##0">
                  <c:v>1501.1744000000001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28-4284-834E-C4F8AA49D780}"/>
            </c:ext>
          </c:extLst>
        </c:ser>
        <c:ser>
          <c:idx val="3"/>
          <c:order val="3"/>
          <c:tx>
            <c:strRef>
              <c:f>'Res w CL'!$C$55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CL'!$K$55</c:f>
                  <c:strCache>
                    <c:ptCount val="1"/>
                    <c:pt idx="0">
                      <c:v>-15.8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{395FF910-7BF0-4A6F-8AE2-670B283012B5}</c15:txfldGUID>
                      <c15:f>'Res w CL'!$K$55</c15:f>
                      <c15:dlblFieldTableCache>
                        <c:ptCount val="1"/>
                        <c:pt idx="0">
                          <c:v>-15.8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628-4284-834E-C4F8AA49D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CL'!$D$55:$J$55</c:f>
              <c:numCache>
                <c:formatCode>#,##0.0</c:formatCode>
                <c:ptCount val="7"/>
                <c:pt idx="0" formatCode="#,##0">
                  <c:v>169.47479999999999</c:v>
                </c:pt>
                <c:pt idx="3">
                  <c:v>15.79159999999996</c:v>
                </c:pt>
                <c:pt idx="6" formatCode="#,##0">
                  <c:v>153.68320000000003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28-4284-834E-C4F8AA49D780}"/>
            </c:ext>
          </c:extLst>
        </c:ser>
        <c:ser>
          <c:idx val="4"/>
          <c:order val="4"/>
          <c:tx>
            <c:strRef>
              <c:f>'Res w CL'!$C$56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CL'!$D$56:$J$56</c:f>
              <c:numCache>
                <c:formatCode>#,##0.0</c:formatCode>
                <c:ptCount val="7"/>
                <c:pt idx="0" formatCode="#,##0">
                  <c:v>216.69699316520897</c:v>
                </c:pt>
                <c:pt idx="4">
                  <c:v>3.0405422097660733</c:v>
                </c:pt>
                <c:pt idx="6" formatCode="#,##0">
                  <c:v>213.65645095544289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28-4284-834E-C4F8AA49D780}"/>
            </c:ext>
          </c:extLst>
        </c:ser>
        <c:ser>
          <c:idx val="5"/>
          <c:order val="5"/>
          <c:tx>
            <c:strRef>
              <c:f>'Res w CL'!$C$57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CL'!$D$57:$J$57</c:f>
              <c:numCache>
                <c:formatCode>#,##0.0</c:formatCode>
                <c:ptCount val="7"/>
                <c:pt idx="0" formatCode="#,##0">
                  <c:v>238.25298792946751</c:v>
                </c:pt>
                <c:pt idx="5">
                  <c:v>56.412434562152157</c:v>
                </c:pt>
                <c:pt idx="6" formatCode="#,##0">
                  <c:v>294.66542249161967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28-4284-834E-C4F8AA49D780}"/>
            </c:ext>
          </c:extLst>
        </c:ser>
        <c:ser>
          <c:idx val="6"/>
          <c:order val="6"/>
          <c:tx>
            <c:strRef>
              <c:f>'Res w CL'!$C$58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CL'!$D$58:$J$58</c:f>
              <c:numCache>
                <c:formatCode>#,##0</c:formatCode>
                <c:ptCount val="7"/>
                <c:pt idx="0">
                  <c:v>2382.5298792946764</c:v>
                </c:pt>
                <c:pt idx="6">
                  <c:v>2946.6542249161985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28-4284-834E-C4F8AA49D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3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CL'!$A$59</c:f>
          <c:strCache>
            <c:ptCount val="1"/>
            <c:pt idx="0">
              <c:v>Essential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CL'!$C$59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CL'!$D$59:$J$59</c:f>
              <c:numCache>
                <c:formatCode>#,##0</c:formatCode>
                <c:ptCount val="7"/>
                <c:pt idx="0">
                  <c:v>0</c:v>
                </c:pt>
                <c:pt idx="1">
                  <c:v>2489.7721617252323</c:v>
                </c:pt>
                <c:pt idx="2">
                  <c:v>2620.4569125148391</c:v>
                </c:pt>
                <c:pt idx="3">
                  <c:v>2972.3711125148393</c:v>
                </c:pt>
                <c:pt idx="4">
                  <c:v>2969.1223809032658</c:v>
                </c:pt>
                <c:pt idx="5">
                  <c:v>2969.1223809032658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2-409C-86A8-43A940A9EE0D}"/>
            </c:ext>
          </c:extLst>
        </c:ser>
        <c:ser>
          <c:idx val="1"/>
          <c:order val="1"/>
          <c:tx>
            <c:strRef>
              <c:f>'Res w CL'!$C$60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CL'!$K$60</c:f>
                  <c:strCache>
                    <c:ptCount val="1"/>
                    <c:pt idx="0">
                      <c:v>+130.7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{3EDBCB37-8B4B-433C-981E-2431F4EA724C}</c15:txfldGUID>
                      <c15:f>'Res w CL'!$K$60</c15:f>
                      <c15:dlblFieldTableCache>
                        <c:ptCount val="1"/>
                        <c:pt idx="0">
                          <c:v>+130.7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6A2-409C-86A8-43A940A9E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CL'!$D$60:$J$60</c:f>
              <c:numCache>
                <c:formatCode>#,##0.0</c:formatCode>
                <c:ptCount val="7"/>
                <c:pt idx="0" formatCode="#,##0">
                  <c:v>1100.4438500000001</c:v>
                </c:pt>
                <c:pt idx="1">
                  <c:v>130.6847507896066</c:v>
                </c:pt>
                <c:pt idx="6" formatCode="#,##0">
                  <c:v>1231.1286007896067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A2-409C-86A8-43A940A9EE0D}"/>
            </c:ext>
          </c:extLst>
        </c:ser>
        <c:ser>
          <c:idx val="2"/>
          <c:order val="2"/>
          <c:tx>
            <c:strRef>
              <c:f>'Res w CL'!$C$61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CL'!$K$61</c:f>
                  <c:strCache>
                    <c:ptCount val="1"/>
                    <c:pt idx="0">
                      <c:v>+366.7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{B29810EA-0A4A-43E6-8EAD-7CEA8F3B99FA}</c15:txfldGUID>
                      <c15:f>'Res w CL'!$K$61</c15:f>
                      <c15:dlblFieldTableCache>
                        <c:ptCount val="1"/>
                        <c:pt idx="0">
                          <c:v>+366.7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6A2-409C-86A8-43A940A9E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CL'!$D$61:$J$61</c:f>
              <c:numCache>
                <c:formatCode>#,##0.0</c:formatCode>
                <c:ptCount val="7"/>
                <c:pt idx="0" formatCode="#,##0">
                  <c:v>779.26420000000007</c:v>
                </c:pt>
                <c:pt idx="2">
                  <c:v>366.65199999999982</c:v>
                </c:pt>
                <c:pt idx="6" formatCode="#,##0">
                  <c:v>1145.9161999999999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A2-409C-86A8-43A940A9EE0D}"/>
            </c:ext>
          </c:extLst>
        </c:ser>
        <c:ser>
          <c:idx val="3"/>
          <c:order val="3"/>
          <c:tx>
            <c:strRef>
              <c:f>'Res w CL'!$C$62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CL'!$K$62</c:f>
                  <c:strCache>
                    <c:ptCount val="1"/>
                    <c:pt idx="0">
                      <c:v>-14.7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{1E03C676-4F2B-4DA5-A6EC-80DAF2CC8FD5}</c15:txfldGUID>
                      <c15:f>'Res w CL'!$K$62</c15:f>
                      <c15:dlblFieldTableCache>
                        <c:ptCount val="1"/>
                        <c:pt idx="0">
                          <c:v>-14.7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6A2-409C-86A8-43A940A9E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CL'!$D$62:$J$62</c:f>
              <c:numCache>
                <c:formatCode>#,##0.0</c:formatCode>
                <c:ptCount val="7"/>
                <c:pt idx="0" formatCode="#,##0">
                  <c:v>148.46699999999998</c:v>
                </c:pt>
                <c:pt idx="3">
                  <c:v>14.737799999999964</c:v>
                </c:pt>
                <c:pt idx="6" formatCode="#,##0">
                  <c:v>133.72920000000002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A2-409C-86A8-43A940A9EE0D}"/>
            </c:ext>
          </c:extLst>
        </c:ser>
        <c:ser>
          <c:idx val="4"/>
          <c:order val="4"/>
          <c:tx>
            <c:strRef>
              <c:f>'Res w CL'!$C$63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CL'!$D$63:$J$63</c:f>
              <c:numCache>
                <c:formatCode>#,##0.0</c:formatCode>
                <c:ptCount val="7"/>
                <c:pt idx="0" formatCode="#,##0">
                  <c:v>212.61989555270895</c:v>
                </c:pt>
                <c:pt idx="4">
                  <c:v>3.2487316115732767</c:v>
                </c:pt>
                <c:pt idx="6" formatCode="#,##0">
                  <c:v>209.37116394113568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A2-409C-86A8-43A940A9EE0D}"/>
            </c:ext>
          </c:extLst>
        </c:ser>
        <c:ser>
          <c:idx val="5"/>
          <c:order val="5"/>
          <c:tx>
            <c:strRef>
              <c:f>'Res w CL'!$C$64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CL'!$D$64:$J$64</c:f>
              <c:numCache>
                <c:formatCode>#,##0.0</c:formatCode>
                <c:ptCount val="7"/>
                <c:pt idx="0" formatCode="#,##0">
                  <c:v>248.97721617252319</c:v>
                </c:pt>
                <c:pt idx="5">
                  <c:v>53.261135464225845</c:v>
                </c:pt>
                <c:pt idx="6" formatCode="#,##0">
                  <c:v>302.23835163674903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A2-409C-86A8-43A940A9EE0D}"/>
            </c:ext>
          </c:extLst>
        </c:ser>
        <c:ser>
          <c:idx val="6"/>
          <c:order val="6"/>
          <c:tx>
            <c:strRef>
              <c:f>'Res w CL'!$C$65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CL'!$D$65:$J$65</c:f>
              <c:numCache>
                <c:formatCode>#,##0</c:formatCode>
                <c:ptCount val="7"/>
                <c:pt idx="0">
                  <c:v>2489.7721617252323</c:v>
                </c:pt>
                <c:pt idx="6">
                  <c:v>3022.3835163674917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A2-409C-86A8-43A940A9E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3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CL'!$A$66</c:f>
          <c:strCache>
            <c:ptCount val="1"/>
            <c:pt idx="0">
              <c:v>Energex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CL'!$C$66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CL'!$D$66:$J$66</c:f>
              <c:numCache>
                <c:formatCode>#,##0</c:formatCode>
                <c:ptCount val="7"/>
                <c:pt idx="0">
                  <c:v>0</c:v>
                </c:pt>
                <c:pt idx="1">
                  <c:v>1960.594973197454</c:v>
                </c:pt>
                <c:pt idx="2">
                  <c:v>2012.6264001232407</c:v>
                </c:pt>
                <c:pt idx="3">
                  <c:v>2310.8614801232411</c:v>
                </c:pt>
                <c:pt idx="4">
                  <c:v>2305.2531236242166</c:v>
                </c:pt>
                <c:pt idx="5">
                  <c:v>2305.2531236242166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B-42AF-94B3-E64EDD081EEC}"/>
            </c:ext>
          </c:extLst>
        </c:ser>
        <c:ser>
          <c:idx val="1"/>
          <c:order val="1"/>
          <c:tx>
            <c:strRef>
              <c:f>'Res w CL'!$C$67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CL'!$K$67</c:f>
                  <c:strCache>
                    <c:ptCount val="1"/>
                    <c:pt idx="0">
                      <c:v>+52.0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{0C290957-0CB0-4063-A669-B2509A76C809}</c15:txfldGUID>
                      <c15:f>'Res w CL'!$K$67</c15:f>
                      <c15:dlblFieldTableCache>
                        <c:ptCount val="1"/>
                        <c:pt idx="0">
                          <c:v>+52.0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97B-42AF-94B3-E64EDD081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CL'!$D$67:$J$67</c:f>
              <c:numCache>
                <c:formatCode>#,##0.0</c:formatCode>
                <c:ptCount val="7"/>
                <c:pt idx="0" formatCode="#,##0">
                  <c:v>708.46269999999993</c:v>
                </c:pt>
                <c:pt idx="1">
                  <c:v>52.031426925786832</c:v>
                </c:pt>
                <c:pt idx="6" formatCode="#,##0">
                  <c:v>760.49412692578676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B-42AF-94B3-E64EDD081EEC}"/>
            </c:ext>
          </c:extLst>
        </c:ser>
        <c:ser>
          <c:idx val="2"/>
          <c:order val="2"/>
          <c:tx>
            <c:strRef>
              <c:f>'Res w CL'!$C$68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1362794538617383E-17"/>
                  <c:y val="3.9597016654774754E-2"/>
                </c:manualLayout>
              </c:layout>
              <c:tx>
                <c:strRef>
                  <c:f>'Res w CL'!$K$68</c:f>
                  <c:strCache>
                    <c:ptCount val="1"/>
                    <c:pt idx="0">
                      <c:v>+312.1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{380C9FAD-D0BD-4C7D-881D-580DB0FD6A6A}</c15:txfldGUID>
                      <c15:f>'Res w CL'!$K$68</c15:f>
                      <c15:dlblFieldTableCache>
                        <c:ptCount val="1"/>
                        <c:pt idx="0">
                          <c:v>+312.1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97B-42AF-94B3-E64EDD081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CL'!$D$68:$J$68</c:f>
              <c:numCache>
                <c:formatCode>#,##0.0</c:formatCode>
                <c:ptCount val="7"/>
                <c:pt idx="0" formatCode="#,##0">
                  <c:v>726.183898</c:v>
                </c:pt>
                <c:pt idx="2">
                  <c:v>312.09508000000028</c:v>
                </c:pt>
                <c:pt idx="6" formatCode="#,##0">
                  <c:v>1038.2789780000003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7B-42AF-94B3-E64EDD081EEC}"/>
            </c:ext>
          </c:extLst>
        </c:ser>
        <c:ser>
          <c:idx val="3"/>
          <c:order val="3"/>
          <c:tx>
            <c:strRef>
              <c:f>'Res w CL'!$C$69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CL'!$K$69</c:f>
                  <c:strCache>
                    <c:ptCount val="1"/>
                    <c:pt idx="0">
                      <c:v>-13.9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{F60E3F99-15BD-4D60-BBDD-E6509C44D527}</c15:txfldGUID>
                      <c15:f>'Res w CL'!$K$69</c15:f>
                      <c15:dlblFieldTableCache>
                        <c:ptCount val="1"/>
                        <c:pt idx="0">
                          <c:v>-13.9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97B-42AF-94B3-E64EDD081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CL'!$D$69:$J$69</c:f>
              <c:numCache>
                <c:formatCode>#,##0.0</c:formatCode>
                <c:ptCount val="7"/>
                <c:pt idx="0" formatCode="#,##0">
                  <c:v>118.50299999999999</c:v>
                </c:pt>
                <c:pt idx="3">
                  <c:v>13.859999999999985</c:v>
                </c:pt>
                <c:pt idx="6" formatCode="#,##0">
                  <c:v>104.643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7B-42AF-94B3-E64EDD081EEC}"/>
            </c:ext>
          </c:extLst>
        </c:ser>
        <c:ser>
          <c:idx val="4"/>
          <c:order val="4"/>
          <c:tx>
            <c:strRef>
              <c:f>'Res w CL'!$C$70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CL'!$D$70:$J$70</c:f>
              <c:numCache>
                <c:formatCode>#,##0.0</c:formatCode>
                <c:ptCount val="7"/>
                <c:pt idx="0" formatCode="#,##0">
                  <c:v>211.38587787770896</c:v>
                </c:pt>
                <c:pt idx="4">
                  <c:v>5.608356499024552</c:v>
                </c:pt>
                <c:pt idx="6" formatCode="#,##0">
                  <c:v>205.77752137868441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7B-42AF-94B3-E64EDD081EEC}"/>
            </c:ext>
          </c:extLst>
        </c:ser>
        <c:ser>
          <c:idx val="5"/>
          <c:order val="5"/>
          <c:tx>
            <c:strRef>
              <c:f>'Res w CL'!$C$71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CL'!$D$71:$J$71</c:f>
              <c:numCache>
                <c:formatCode>#,##0.0</c:formatCode>
                <c:ptCount val="7"/>
                <c:pt idx="0" formatCode="#,##0">
                  <c:v>196.05949731974533</c:v>
                </c:pt>
                <c:pt idx="5">
                  <c:v>38.295350047418196</c:v>
                </c:pt>
                <c:pt idx="6" formatCode="#,##0">
                  <c:v>234.35484736716353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7B-42AF-94B3-E64EDD081EEC}"/>
            </c:ext>
          </c:extLst>
        </c:ser>
        <c:ser>
          <c:idx val="6"/>
          <c:order val="6"/>
          <c:tx>
            <c:strRef>
              <c:f>'Res w CL'!$C$72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CL'!$D$72:$J$72</c:f>
              <c:numCache>
                <c:formatCode>#,##0</c:formatCode>
                <c:ptCount val="7"/>
                <c:pt idx="0">
                  <c:v>1960.594973197454</c:v>
                </c:pt>
                <c:pt idx="6">
                  <c:v>2343.5484736716348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7B-42AF-94B3-E64EDD081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CL'!$A$73</c:f>
          <c:strCache>
            <c:ptCount val="1"/>
            <c:pt idx="0">
              <c:v>SAPN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CL'!$C$73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CL'!$D$73:$J$73</c:f>
              <c:numCache>
                <c:formatCode>#,##0</c:formatCode>
                <c:ptCount val="7"/>
                <c:pt idx="0">
                  <c:v>0</c:v>
                </c:pt>
                <c:pt idx="1">
                  <c:v>2275.4853187395838</c:v>
                </c:pt>
                <c:pt idx="2">
                  <c:v>2279.1366851395833</c:v>
                </c:pt>
                <c:pt idx="3">
                  <c:v>2738.5692851395829</c:v>
                </c:pt>
                <c:pt idx="4">
                  <c:v>2730.6737288809127</c:v>
                </c:pt>
                <c:pt idx="5">
                  <c:v>2730.6737288809127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8-4F8E-AEB9-DAD8ECFC835B}"/>
            </c:ext>
          </c:extLst>
        </c:ser>
        <c:ser>
          <c:idx val="1"/>
          <c:order val="1"/>
          <c:tx>
            <c:strRef>
              <c:f>'Res w CL'!$C$74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CL'!$K$74</c:f>
                  <c:strCache>
                    <c:ptCount val="1"/>
                    <c:pt idx="0">
                      <c:v>+3.7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{043DB58D-A9E4-4406-B081-9A77AA5E000A}</c15:txfldGUID>
                      <c15:f>'Res w CL'!$K$74</c15:f>
                      <c15:dlblFieldTableCache>
                        <c:ptCount val="1"/>
                        <c:pt idx="0">
                          <c:v>+3.7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8A8-4F8E-AEB9-DAD8ECFC8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CL'!$D$74:$J$74</c:f>
              <c:numCache>
                <c:formatCode>#,##0.0</c:formatCode>
                <c:ptCount val="7"/>
                <c:pt idx="0" formatCode="#,##0">
                  <c:v>1015.9589000000001</c:v>
                </c:pt>
                <c:pt idx="1">
                  <c:v>3.6513663999996879</c:v>
                </c:pt>
                <c:pt idx="6" formatCode="#,##0">
                  <c:v>1019.6102663999998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8-4F8E-AEB9-DAD8ECFC835B}"/>
            </c:ext>
          </c:extLst>
        </c:ser>
        <c:ser>
          <c:idx val="2"/>
          <c:order val="2"/>
          <c:tx>
            <c:strRef>
              <c:f>'Res w CL'!$C$75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CL'!$K$75</c:f>
                  <c:strCache>
                    <c:ptCount val="1"/>
                    <c:pt idx="0">
                      <c:v>+473.3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{958E1563-FC85-4835-9B16-020840E4C806}</c15:txfldGUID>
                      <c15:f>'Res w CL'!$K$75</c15:f>
                      <c15:dlblFieldTableCache>
                        <c:ptCount val="1"/>
                        <c:pt idx="0">
                          <c:v>+473.3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8A8-4F8E-AEB9-DAD8ECFC8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CL'!$D$75:$J$75</c:f>
              <c:numCache>
                <c:formatCode>#,##0.0</c:formatCode>
                <c:ptCount val="7"/>
                <c:pt idx="0" formatCode="#,##0">
                  <c:v>767.09819999999991</c:v>
                </c:pt>
                <c:pt idx="2">
                  <c:v>473.29259999999999</c:v>
                </c:pt>
                <c:pt idx="6" formatCode="#,##0">
                  <c:v>1240.3907999999999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8-4F8E-AEB9-DAD8ECFC835B}"/>
            </c:ext>
          </c:extLst>
        </c:ser>
        <c:ser>
          <c:idx val="3"/>
          <c:order val="3"/>
          <c:tx>
            <c:strRef>
              <c:f>'Res w CL'!$C$76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CL'!$K$76</c:f>
                  <c:strCache>
                    <c:ptCount val="1"/>
                    <c:pt idx="0">
                      <c:v>-13.9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{7CE2E076-7781-44AB-ACEF-F4FA268149B2}</c15:txfldGUID>
                      <c15:f>'Res w CL'!$K$76</c15:f>
                      <c15:dlblFieldTableCache>
                        <c:ptCount val="1"/>
                        <c:pt idx="0">
                          <c:v>-13.9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8A8-4F8E-AEB9-DAD8ECFC8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CL'!$D$76:$J$76</c:f>
              <c:numCache>
                <c:formatCode>#,##0.0</c:formatCode>
                <c:ptCount val="7"/>
                <c:pt idx="0" formatCode="#,##0">
                  <c:v>134.50800000000001</c:v>
                </c:pt>
                <c:pt idx="3">
                  <c:v>13.86</c:v>
                </c:pt>
                <c:pt idx="6" formatCode="#,##0">
                  <c:v>120.64800000000001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A8-4F8E-AEB9-DAD8ECFC835B}"/>
            </c:ext>
          </c:extLst>
        </c:ser>
        <c:ser>
          <c:idx val="4"/>
          <c:order val="4"/>
          <c:tx>
            <c:strRef>
              <c:f>'Res w CL'!$C$77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CL'!$D$77:$J$77</c:f>
              <c:numCache>
                <c:formatCode>#,##0.0</c:formatCode>
                <c:ptCount val="7"/>
                <c:pt idx="0" formatCode="#,##0">
                  <c:v>221.39109961520896</c:v>
                </c:pt>
                <c:pt idx="4">
                  <c:v>7.8955562586701546</c:v>
                </c:pt>
                <c:pt idx="6" formatCode="#,##0">
                  <c:v>213.4955433565388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A8-4F8E-AEB9-DAD8ECFC835B}"/>
            </c:ext>
          </c:extLst>
        </c:ser>
        <c:ser>
          <c:idx val="5"/>
          <c:order val="5"/>
          <c:tx>
            <c:strRef>
              <c:f>'Res w CL'!$C$78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CL'!$D$78:$J$78</c:f>
              <c:numCache>
                <c:formatCode>#,##0.0</c:formatCode>
                <c:ptCount val="7"/>
                <c:pt idx="0" formatCode="#,##0">
                  <c:v>136.52911912437503</c:v>
                </c:pt>
                <c:pt idx="5">
                  <c:v>29.054579370723332</c:v>
                </c:pt>
                <c:pt idx="6" formatCode="#,##0">
                  <c:v>165.58369849509836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A8-4F8E-AEB9-DAD8ECFC835B}"/>
            </c:ext>
          </c:extLst>
        </c:ser>
        <c:ser>
          <c:idx val="6"/>
          <c:order val="6"/>
          <c:tx>
            <c:strRef>
              <c:f>'Res w CL'!$C$79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CL'!$D$79:$J$79</c:f>
              <c:numCache>
                <c:formatCode>#,##0</c:formatCode>
                <c:ptCount val="7"/>
                <c:pt idx="0">
                  <c:v>2275.4853187395838</c:v>
                </c:pt>
                <c:pt idx="6">
                  <c:v>2759.7283082516369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A8-4F8E-AEB9-DAD8ECFC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3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Ausgrid Residential without CL $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CL'!$C$45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CL'!$D$45:$J$45</c:f>
              <c:numCache>
                <c:formatCode>#,##0</c:formatCode>
                <c:ptCount val="7"/>
                <c:pt idx="0">
                  <c:v>0</c:v>
                </c:pt>
                <c:pt idx="1">
                  <c:v>2122.2937266835652</c:v>
                </c:pt>
                <c:pt idx="2">
                  <c:v>2159.2149529719582</c:v>
                </c:pt>
                <c:pt idx="3">
                  <c:v>2532.9861529719583</c:v>
                </c:pt>
                <c:pt idx="4">
                  <c:v>2532.1885740143389</c:v>
                </c:pt>
                <c:pt idx="5">
                  <c:v>2532.1885740143389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7-43E3-8954-F67209C66BB1}"/>
            </c:ext>
          </c:extLst>
        </c:ser>
        <c:ser>
          <c:idx val="1"/>
          <c:order val="1"/>
          <c:tx>
            <c:strRef>
              <c:f>'Res w CL'!$C$46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CL'!$K$46</c:f>
                  <c:strCache>
                    <c:ptCount val="1"/>
                    <c:pt idx="0">
                      <c:v>+36.9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{BBD55B9B-4708-4AEC-8E71-FC9DFBD5CB33}</c15:txfldGUID>
                      <c15:f>'Res w CL'!$K$46</c15:f>
                      <c15:dlblFieldTableCache>
                        <c:ptCount val="1"/>
                        <c:pt idx="0">
                          <c:v>+36.9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037-43E3-8954-F67209C66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CL'!$D$46:$J$46</c:f>
              <c:numCache>
                <c:formatCode>#,##0.0</c:formatCode>
                <c:ptCount val="7"/>
                <c:pt idx="0" formatCode="#,##0">
                  <c:v>706.79559829999994</c:v>
                </c:pt>
                <c:pt idx="1">
                  <c:v>36.9212262883932</c:v>
                </c:pt>
                <c:pt idx="6" formatCode="#,##0">
                  <c:v>743.71682458839314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7-43E3-8954-F67209C66BB1}"/>
            </c:ext>
          </c:extLst>
        </c:ser>
        <c:ser>
          <c:idx val="2"/>
          <c:order val="2"/>
          <c:tx>
            <c:strRef>
              <c:f>'Res w CL'!$C$47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CL'!$K$47</c:f>
                  <c:strCache>
                    <c:ptCount val="1"/>
                    <c:pt idx="0">
                      <c:v>+388.5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{DDCD1377-179F-40C6-9AF4-71889FCE0867}</c15:txfldGUID>
                      <c15:f>'Res w CL'!$K$47</c15:f>
                      <c15:dlblFieldTableCache>
                        <c:ptCount val="1"/>
                        <c:pt idx="0">
                          <c:v>+388.5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037-43E3-8954-F67209C66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CL'!$D$47:$J$47</c:f>
              <c:numCache>
                <c:formatCode>#,##0.0</c:formatCode>
                <c:ptCount val="7"/>
                <c:pt idx="0" formatCode="#,##0">
                  <c:v>839.3510399999999</c:v>
                </c:pt>
                <c:pt idx="2">
                  <c:v>388.45400000000006</c:v>
                </c:pt>
                <c:pt idx="6" formatCode="#,##0">
                  <c:v>1227.80504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7-43E3-8954-F67209C66BB1}"/>
            </c:ext>
          </c:extLst>
        </c:ser>
        <c:ser>
          <c:idx val="3"/>
          <c:order val="3"/>
          <c:tx>
            <c:strRef>
              <c:f>'Res w CL'!$C$48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CL'!$K$48</c:f>
                  <c:strCache>
                    <c:ptCount val="1"/>
                    <c:pt idx="0">
                      <c:v>-14.7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{0E026CBA-CBE9-4F78-AE0D-B31F4CC0EB8C}</c15:txfldGUID>
                      <c15:f>'Res w CL'!$K$48</c15:f>
                      <c15:dlblFieldTableCache>
                        <c:ptCount val="1"/>
                        <c:pt idx="0">
                          <c:v>-14.7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037-43E3-8954-F67209C66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CL'!$D$48:$J$48</c:f>
              <c:numCache>
                <c:formatCode>#,##0.0</c:formatCode>
                <c:ptCount val="7"/>
                <c:pt idx="0" formatCode="#,##0">
                  <c:v>154.8184</c:v>
                </c:pt>
                <c:pt idx="3">
                  <c:v>14.682800000000015</c:v>
                </c:pt>
                <c:pt idx="6" formatCode="#,##0">
                  <c:v>140.13559999999998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7-43E3-8954-F67209C66BB1}"/>
            </c:ext>
          </c:extLst>
        </c:ser>
        <c:ser>
          <c:idx val="4"/>
          <c:order val="4"/>
          <c:tx>
            <c:strRef>
              <c:f>'Res w CL'!$C$49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CL'!$D$49:$J$49</c:f>
              <c:numCache>
                <c:formatCode>#,##0.0</c:formatCode>
                <c:ptCount val="7"/>
                <c:pt idx="0" formatCode="#,##0">
                  <c:v>209.099315715209</c:v>
                </c:pt>
                <c:pt idx="4">
                  <c:v>0.79757895761946429</c:v>
                </c:pt>
                <c:pt idx="6" formatCode="#,##0">
                  <c:v>208.30173675758954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7-43E3-8954-F67209C66BB1}"/>
            </c:ext>
          </c:extLst>
        </c:ser>
        <c:ser>
          <c:idx val="5"/>
          <c:order val="5"/>
          <c:tx>
            <c:strRef>
              <c:f>'Res w CL'!$C$50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CL'!$D$50:$J$50</c:f>
              <c:numCache>
                <c:formatCode>#,##0.0</c:formatCode>
                <c:ptCount val="7"/>
                <c:pt idx="0" formatCode="#,##0">
                  <c:v>212.22937266835629</c:v>
                </c:pt>
                <c:pt idx="5">
                  <c:v>45.543871925641497</c:v>
                </c:pt>
                <c:pt idx="6" formatCode="#,##0">
                  <c:v>257.77324459399779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7-43E3-8954-F67209C66BB1}"/>
            </c:ext>
          </c:extLst>
        </c:ser>
        <c:ser>
          <c:idx val="6"/>
          <c:order val="6"/>
          <c:tx>
            <c:strRef>
              <c:f>'Res w CL'!$C$51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'Res w CL'!$D$51:$J$51</c:f>
              <c:numCache>
                <c:formatCode>#,##0</c:formatCode>
                <c:ptCount val="7"/>
                <c:pt idx="0">
                  <c:v>2122.2937266835652</c:v>
                </c:pt>
                <c:pt idx="6">
                  <c:v>2577.7324459399802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7-43E3-8954-F67209C66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'SB wo CL'!$A$52</c:f>
          <c:strCache>
            <c:ptCount val="1"/>
            <c:pt idx="0">
              <c:v>Endeavour Small Business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'SB wo CL'!$C$52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CL'!$D$52:$J$52</c:f>
              <c:numCache>
                <c:formatCode>#,##0</c:formatCode>
                <c:ptCount val="7"/>
                <c:pt idx="0">
                  <c:v>0</c:v>
                </c:pt>
                <c:pt idx="1">
                  <c:v>3782.35148086356</c:v>
                </c:pt>
                <c:pt idx="2">
                  <c:v>3800.6928036596901</c:v>
                </c:pt>
                <c:pt idx="3">
                  <c:v>4491.3828036596897</c:v>
                </c:pt>
                <c:pt idx="4">
                  <c:v>4437.2560746609997</c:v>
                </c:pt>
                <c:pt idx="5">
                  <c:v>4437.2560746609997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A-4E45-A3FE-46BA45C6790F}"/>
            </c:ext>
          </c:extLst>
        </c:ser>
        <c:ser>
          <c:idx val="1"/>
          <c:order val="1"/>
          <c:tx>
            <c:strRef>
              <c:f>'SB wo CL'!$C$53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'SB wo CL'!$K$53</c:f>
                  <c:strCache>
                    <c:ptCount val="1"/>
                    <c:pt idx="0">
                      <c:v>+18.3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{1A5FE6E2-5044-412D-9BB0-17B52B6AD6C9}</c15:txfldGUID>
                      <c15:f>'SB wo CL'!$K$53</c15:f>
                      <c15:dlblFieldTableCache>
                        <c:ptCount val="1"/>
                        <c:pt idx="0">
                          <c:v>+18.3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F9A-4E45-A3FE-46BA45C67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CL'!$D$53:$J$53</c:f>
              <c:numCache>
                <c:formatCode>#,##0.0</c:formatCode>
                <c:ptCount val="7"/>
                <c:pt idx="0" formatCode="#,##0">
                  <c:v>1262.7708500000001</c:v>
                </c:pt>
                <c:pt idx="1">
                  <c:v>18.341322796129816</c:v>
                </c:pt>
                <c:pt idx="6" formatCode="#,##0">
                  <c:v>1281.1121727961299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A-4E45-A3FE-46BA45C6790F}"/>
            </c:ext>
          </c:extLst>
        </c:ser>
        <c:ser>
          <c:idx val="2"/>
          <c:order val="2"/>
          <c:tx>
            <c:strRef>
              <c:f>'SB wo CL'!$C$54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'SB wo CL'!$K$54</c:f>
                  <c:strCache>
                    <c:ptCount val="1"/>
                    <c:pt idx="0">
                      <c:v>+712.0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{4A3D6026-87A1-4CA9-94B6-F76C769A82C6}</c15:txfldGUID>
                      <c15:f>'SB wo CL'!$K$54</c15:f>
                      <c15:dlblFieldTableCache>
                        <c:ptCount val="1"/>
                        <c:pt idx="0">
                          <c:v>+712.0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F9A-4E45-A3FE-46BA45C67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CL'!$D$54:$J$54</c:f>
              <c:numCache>
                <c:formatCode>#,##0.0</c:formatCode>
                <c:ptCount val="7"/>
                <c:pt idx="0" formatCode="#,##0">
                  <c:v>1366.75</c:v>
                </c:pt>
                <c:pt idx="2">
                  <c:v>712.02999999999975</c:v>
                </c:pt>
                <c:pt idx="6" formatCode="#,##0">
                  <c:v>2078.7799999999997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9A-4E45-A3FE-46BA45C6790F}"/>
            </c:ext>
          </c:extLst>
        </c:ser>
        <c:ser>
          <c:idx val="3"/>
          <c:order val="3"/>
          <c:tx>
            <c:strRef>
              <c:f>'SB wo CL'!$C$55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'SB wo CL'!$K$55</c:f>
                  <c:strCache>
                    <c:ptCount val="1"/>
                    <c:pt idx="0">
                      <c:v>-21.3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{E1871C1C-536B-4957-97F5-C12D97F8EA4A}</c15:txfldGUID>
                      <c15:f>'SB wo CL'!$K$55</c15:f>
                      <c15:dlblFieldTableCache>
                        <c:ptCount val="1"/>
                        <c:pt idx="0">
                          <c:v>-21.3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F9A-4E45-A3FE-46BA45C67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CL'!$D$55:$J$55</c:f>
              <c:numCache>
                <c:formatCode>#,##0.0</c:formatCode>
                <c:ptCount val="7"/>
                <c:pt idx="0" formatCode="#,##0">
                  <c:v>229.01999999999998</c:v>
                </c:pt>
                <c:pt idx="3">
                  <c:v>21.339999999999975</c:v>
                </c:pt>
                <c:pt idx="6" formatCode="#,##0">
                  <c:v>207.68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9A-4E45-A3FE-46BA45C6790F}"/>
            </c:ext>
          </c:extLst>
        </c:ser>
        <c:ser>
          <c:idx val="4"/>
          <c:order val="4"/>
          <c:tx>
            <c:strRef>
              <c:f>'SB wo CL'!$C$56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CL'!$D$56:$J$56</c:f>
              <c:numCache>
                <c:formatCode>#,##0.0</c:formatCode>
                <c:ptCount val="7"/>
                <c:pt idx="0" formatCode="#,##0">
                  <c:v>295.94028504020901</c:v>
                </c:pt>
                <c:pt idx="4">
                  <c:v>54.126728998689771</c:v>
                </c:pt>
                <c:pt idx="6" formatCode="#,##0">
                  <c:v>241.81355604151923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9A-4E45-A3FE-46BA45C6790F}"/>
            </c:ext>
          </c:extLst>
        </c:ser>
        <c:ser>
          <c:idx val="5"/>
          <c:order val="5"/>
          <c:tx>
            <c:strRef>
              <c:f>'SB wo CL'!$C$57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'SB wo CL'!$D$57:$J$57</c:f>
              <c:numCache>
                <c:formatCode>#,##0.0</c:formatCode>
                <c:ptCount val="7"/>
                <c:pt idx="0" formatCode="#,##0">
                  <c:v>627.87034582335127</c:v>
                </c:pt>
                <c:pt idx="5">
                  <c:v>97.726935860010144</c:v>
                </c:pt>
                <c:pt idx="6" formatCode="#,##0">
                  <c:v>725.59728168336142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9A-4E45-A3FE-46BA45C6790F}"/>
            </c:ext>
          </c:extLst>
        </c:ser>
        <c:ser>
          <c:idx val="6"/>
          <c:order val="6"/>
          <c:tx>
            <c:strRef>
              <c:f>'SB wo CL'!$C$58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CL'!$D$58:$J$58</c:f>
              <c:numCache>
                <c:formatCode>#,##0</c:formatCode>
                <c:ptCount val="7"/>
                <c:pt idx="0">
                  <c:v>3782.35148086356</c:v>
                </c:pt>
                <c:pt idx="6">
                  <c:v>4534.9830105210103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9A-4E45-A3FE-46BA45C6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'SB wo CL'!$A$59</c:f>
          <c:strCache>
            <c:ptCount val="1"/>
            <c:pt idx="0">
              <c:v>Essential Small Business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'SB wo CL'!$C$59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CL'!$D$59:$J$59</c:f>
              <c:numCache>
                <c:formatCode>#,##0</c:formatCode>
                <c:ptCount val="7"/>
                <c:pt idx="0">
                  <c:v>0</c:v>
                </c:pt>
                <c:pt idx="1">
                  <c:v>4901.0203471175773</c:v>
                </c:pt>
                <c:pt idx="2">
                  <c:v>5126.6304416312796</c:v>
                </c:pt>
                <c:pt idx="3">
                  <c:v>5784.1004416312799</c:v>
                </c:pt>
                <c:pt idx="4">
                  <c:v>5745.9307441396186</c:v>
                </c:pt>
                <c:pt idx="5">
                  <c:v>5745.9307441396186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F-44EE-879C-561E9E6ED10C}"/>
            </c:ext>
          </c:extLst>
        </c:ser>
        <c:ser>
          <c:idx val="1"/>
          <c:order val="1"/>
          <c:tx>
            <c:strRef>
              <c:f>'SB wo CL'!$C$60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'SB wo CL'!$K$60</c:f>
                  <c:strCache>
                    <c:ptCount val="1"/>
                    <c:pt idx="0">
                      <c:v>+225.6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{31F1FC61-A131-4875-8F49-55B19A3B29D9}</c15:txfldGUID>
                      <c15:f>'SB wo CL'!$K$60</c15:f>
                      <c15:dlblFieldTableCache>
                        <c:ptCount val="1"/>
                        <c:pt idx="0">
                          <c:v>+225.6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FFF-44EE-879C-561E9E6ED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CL'!$D$60:$J$60</c:f>
              <c:numCache>
                <c:formatCode>#,##0.0</c:formatCode>
                <c:ptCount val="7"/>
                <c:pt idx="0" formatCode="#,##0">
                  <c:v>2122.8972600000002</c:v>
                </c:pt>
                <c:pt idx="1">
                  <c:v>225.61009451370228</c:v>
                </c:pt>
                <c:pt idx="6" formatCode="#,##0">
                  <c:v>2348.5073545137025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FF-44EE-879C-561E9E6ED10C}"/>
            </c:ext>
          </c:extLst>
        </c:ser>
        <c:ser>
          <c:idx val="2"/>
          <c:order val="2"/>
          <c:tx>
            <c:strRef>
              <c:f>'SB wo CL'!$C$61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'SB wo CL'!$K$61</c:f>
                  <c:strCache>
                    <c:ptCount val="1"/>
                    <c:pt idx="0">
                      <c:v>+679.8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{063C0AA9-D9EC-40B5-B7C3-EF86F960FF7C}</c15:txfldGUID>
                      <c15:f>'SB wo CL'!$K$61</c15:f>
                      <c15:dlblFieldTableCache>
                        <c:ptCount val="1"/>
                        <c:pt idx="0">
                          <c:v>+679.8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FFF-44EE-879C-561E9E6ED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CL'!$D$61:$J$61</c:f>
              <c:numCache>
                <c:formatCode>#,##0.0</c:formatCode>
                <c:ptCount val="7"/>
                <c:pt idx="0" formatCode="#,##0">
                  <c:v>1275.67</c:v>
                </c:pt>
                <c:pt idx="2">
                  <c:v>679.8</c:v>
                </c:pt>
                <c:pt idx="6" formatCode="#,##0">
                  <c:v>1955.47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FF-44EE-879C-561E9E6ED10C}"/>
            </c:ext>
          </c:extLst>
        </c:ser>
        <c:ser>
          <c:idx val="3"/>
          <c:order val="3"/>
          <c:tx>
            <c:strRef>
              <c:f>'SB wo CL'!$C$62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'SB wo CL'!$K$62</c:f>
                  <c:strCache>
                    <c:ptCount val="1"/>
                    <c:pt idx="0">
                      <c:v>-22.3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{B90B46A9-6B1A-43DB-831E-688EFB48503D}</c15:txfldGUID>
                      <c15:f>'SB wo CL'!$K$62</c15:f>
                      <c15:dlblFieldTableCache>
                        <c:ptCount val="1"/>
                        <c:pt idx="0">
                          <c:v>-22.3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FFF-44EE-879C-561E9E6ED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CL'!$D$62:$J$62</c:f>
              <c:numCache>
                <c:formatCode>#,##0.0</c:formatCode>
                <c:ptCount val="7"/>
                <c:pt idx="0" formatCode="#,##0">
                  <c:v>224.95</c:v>
                </c:pt>
                <c:pt idx="3">
                  <c:v>22.329999999999984</c:v>
                </c:pt>
                <c:pt idx="6" formatCode="#,##0">
                  <c:v>202.62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FF-44EE-879C-561E9E6ED10C}"/>
            </c:ext>
          </c:extLst>
        </c:ser>
        <c:ser>
          <c:idx val="4"/>
          <c:order val="4"/>
          <c:tx>
            <c:strRef>
              <c:f>'SB wo CL'!$C$63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CL'!$D$63:$J$63</c:f>
              <c:numCache>
                <c:formatCode>#,##0.0</c:formatCode>
                <c:ptCount val="7"/>
                <c:pt idx="0" formatCode="#,##0">
                  <c:v>282.59595665270899</c:v>
                </c:pt>
                <c:pt idx="4">
                  <c:v>38.169697491661452</c:v>
                </c:pt>
                <c:pt idx="6" formatCode="#,##0">
                  <c:v>244.42625916104754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FF-44EE-879C-561E9E6ED10C}"/>
            </c:ext>
          </c:extLst>
        </c:ser>
        <c:ser>
          <c:idx val="5"/>
          <c:order val="5"/>
          <c:tx>
            <c:strRef>
              <c:f>'SB wo CL'!$C$64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'SB wo CL'!$D$64:$J$64</c:f>
              <c:numCache>
                <c:formatCode>#,##0.0</c:formatCode>
                <c:ptCount val="7"/>
                <c:pt idx="0" formatCode="#,##0">
                  <c:v>994.90713046486826</c:v>
                </c:pt>
                <c:pt idx="5">
                  <c:v>12.885757284321244</c:v>
                </c:pt>
                <c:pt idx="6" formatCode="#,##0">
                  <c:v>1007.7928877491895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FF-44EE-879C-561E9E6ED10C}"/>
            </c:ext>
          </c:extLst>
        </c:ser>
        <c:ser>
          <c:idx val="6"/>
          <c:order val="6"/>
          <c:tx>
            <c:strRef>
              <c:f>'SB wo CL'!$C$65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CL'!$D$65:$J$65</c:f>
              <c:numCache>
                <c:formatCode>#,##0</c:formatCode>
                <c:ptCount val="7"/>
                <c:pt idx="0">
                  <c:v>4901.0203471175773</c:v>
                </c:pt>
                <c:pt idx="6">
                  <c:v>5758.8165014239394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FF-44EE-879C-561E9E6E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'SB wo CL'!$A$66</c:f>
          <c:strCache>
            <c:ptCount val="1"/>
            <c:pt idx="0">
              <c:v>Energex Small Business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'SB wo CL'!$C$66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CL'!$D$66:$J$66</c:f>
              <c:numCache>
                <c:formatCode>#,##0</c:formatCode>
                <c:ptCount val="7"/>
                <c:pt idx="0">
                  <c:v>0</c:v>
                </c:pt>
                <c:pt idx="1">
                  <c:v>3445.9377744912158</c:v>
                </c:pt>
                <c:pt idx="2">
                  <c:v>3495.2198740545346</c:v>
                </c:pt>
                <c:pt idx="3">
                  <c:v>4073.5998740545347</c:v>
                </c:pt>
                <c:pt idx="4">
                  <c:v>4042.4576056917253</c:v>
                </c:pt>
                <c:pt idx="5">
                  <c:v>4042.4576056917253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F-4454-B3AB-F1F31AA20D84}"/>
            </c:ext>
          </c:extLst>
        </c:ser>
        <c:ser>
          <c:idx val="1"/>
          <c:order val="1"/>
          <c:tx>
            <c:strRef>
              <c:f>'SB wo CL'!$C$67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'SB wo CL'!$K$67</c:f>
                  <c:strCache>
                    <c:ptCount val="1"/>
                    <c:pt idx="0">
                      <c:v>+49.3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{689C8C2C-C60F-4598-8AB5-23F6C18B58DA}</c15:txfldGUID>
                      <c15:f>'SB wo CL'!$K$67</c15:f>
                      <c15:dlblFieldTableCache>
                        <c:ptCount val="1"/>
                        <c:pt idx="0">
                          <c:v>+49.3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A6F-4454-B3AB-F1F31AA20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CL'!$D$67:$J$67</c:f>
              <c:numCache>
                <c:formatCode>#,##0.0</c:formatCode>
                <c:ptCount val="7"/>
                <c:pt idx="0" formatCode="#,##0">
                  <c:v>1220.2773000000002</c:v>
                </c:pt>
                <c:pt idx="1">
                  <c:v>49.282099563318752</c:v>
                </c:pt>
                <c:pt idx="6" formatCode="#,##0">
                  <c:v>1269.5593995633189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6F-4454-B3AB-F1F31AA20D84}"/>
            </c:ext>
          </c:extLst>
        </c:ser>
        <c:ser>
          <c:idx val="2"/>
          <c:order val="2"/>
          <c:tx>
            <c:strRef>
              <c:f>'SB wo CL'!$C$68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1362794538617383E-17"/>
                  <c:y val="3.9597016654774754E-2"/>
                </c:manualLayout>
              </c:layout>
              <c:tx>
                <c:strRef>
                  <c:f>'SB wo CL'!$K$68</c:f>
                  <c:strCache>
                    <c:ptCount val="1"/>
                    <c:pt idx="0">
                      <c:v>+600.4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{BC7CFE35-69C8-41D2-B654-9F3175C34973}</c15:txfldGUID>
                      <c15:f>'SB wo CL'!$K$68</c15:f>
                      <c15:dlblFieldTableCache>
                        <c:ptCount val="1"/>
                        <c:pt idx="0">
                          <c:v>+600.4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A6F-4454-B3AB-F1F31AA20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CL'!$D$68:$J$68</c:f>
              <c:numCache>
                <c:formatCode>#,##0.0</c:formatCode>
                <c:ptCount val="7"/>
                <c:pt idx="0" formatCode="#,##0">
                  <c:v>1215.83</c:v>
                </c:pt>
                <c:pt idx="2">
                  <c:v>600.38000000000011</c:v>
                </c:pt>
                <c:pt idx="6" formatCode="#,##0">
                  <c:v>1816.21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6F-4454-B3AB-F1F31AA20D84}"/>
            </c:ext>
          </c:extLst>
        </c:ser>
        <c:ser>
          <c:idx val="3"/>
          <c:order val="3"/>
          <c:tx>
            <c:strRef>
              <c:f>'SB wo CL'!$C$69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'SB wo CL'!$K$69</c:f>
                  <c:strCache>
                    <c:ptCount val="1"/>
                    <c:pt idx="0">
                      <c:v>-22.0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{ADA58FF4-D6CC-4B1F-9B6C-6064F8EA90DC}</c15:txfldGUID>
                      <c15:f>'SB wo CL'!$K$69</c15:f>
                      <c15:dlblFieldTableCache>
                        <c:ptCount val="1"/>
                        <c:pt idx="0">
                          <c:v>-22.0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A6F-4454-B3AB-F1F31AA20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CL'!$D$69:$J$69</c:f>
              <c:numCache>
                <c:formatCode>#,##0.0</c:formatCode>
                <c:ptCount val="7"/>
                <c:pt idx="0" formatCode="#,##0">
                  <c:v>188.1</c:v>
                </c:pt>
                <c:pt idx="3">
                  <c:v>22</c:v>
                </c:pt>
                <c:pt idx="6" formatCode="#,##0">
                  <c:v>166.1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6F-4454-B3AB-F1F31AA20D84}"/>
            </c:ext>
          </c:extLst>
        </c:ser>
        <c:ser>
          <c:idx val="4"/>
          <c:order val="4"/>
          <c:tx>
            <c:strRef>
              <c:f>'SB wo CL'!$C$70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CL'!$D$70:$J$70</c:f>
              <c:numCache>
                <c:formatCode>#,##0.0</c:formatCode>
                <c:ptCount val="7"/>
                <c:pt idx="0" formatCode="#,##0">
                  <c:v>235.92105282770893</c:v>
                </c:pt>
                <c:pt idx="4">
                  <c:v>31.14226836280946</c:v>
                </c:pt>
                <c:pt idx="6" formatCode="#,##0">
                  <c:v>204.77878446489947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6F-4454-B3AB-F1F31AA20D84}"/>
            </c:ext>
          </c:extLst>
        </c:ser>
        <c:ser>
          <c:idx val="5"/>
          <c:order val="5"/>
          <c:tx>
            <c:strRef>
              <c:f>'SB wo CL'!$C$71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'SB wo CL'!$D$71:$J$71</c:f>
              <c:numCache>
                <c:formatCode>#,##0.0</c:formatCode>
                <c:ptCount val="7"/>
                <c:pt idx="0" formatCode="#,##0">
                  <c:v>585.80942166350678</c:v>
                </c:pt>
                <c:pt idx="5">
                  <c:v>72.599756246630477</c:v>
                </c:pt>
                <c:pt idx="6" formatCode="#,##0">
                  <c:v>658.40917791013726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6F-4454-B3AB-F1F31AA20D84}"/>
            </c:ext>
          </c:extLst>
        </c:ser>
        <c:ser>
          <c:idx val="6"/>
          <c:order val="6"/>
          <c:tx>
            <c:strRef>
              <c:f>'SB wo CL'!$C$72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CL'!$D$72:$J$72</c:f>
              <c:numCache>
                <c:formatCode>#,##0</c:formatCode>
                <c:ptCount val="7"/>
                <c:pt idx="0">
                  <c:v>3445.9377744912158</c:v>
                </c:pt>
                <c:pt idx="6">
                  <c:v>4115.0573619383558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6F-4454-B3AB-F1F31AA20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'SB wo CL'!$A$73</c:f>
          <c:strCache>
            <c:ptCount val="1"/>
            <c:pt idx="0">
              <c:v>SAPN Small Business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'SB wo CL'!$C$73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CL'!$D$73:$J$73</c:f>
              <c:numCache>
                <c:formatCode>#,##0</c:formatCode>
                <c:ptCount val="7"/>
                <c:pt idx="0">
                  <c:v>0</c:v>
                </c:pt>
                <c:pt idx="1">
                  <c:v>4538.7298773414223</c:v>
                </c:pt>
                <c:pt idx="2">
                  <c:v>4567.4506582211789</c:v>
                </c:pt>
                <c:pt idx="3">
                  <c:v>5521.0406582211781</c:v>
                </c:pt>
                <c:pt idx="4">
                  <c:v>5517.2752308951658</c:v>
                </c:pt>
                <c:pt idx="5">
                  <c:v>5517.2752308951658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3-41EC-88D7-3A4FCD5CC3B5}"/>
            </c:ext>
          </c:extLst>
        </c:ser>
        <c:ser>
          <c:idx val="1"/>
          <c:order val="1"/>
          <c:tx>
            <c:strRef>
              <c:f>'SB wo CL'!$C$74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'SB wo CL'!$K$74</c:f>
                  <c:strCache>
                    <c:ptCount val="1"/>
                    <c:pt idx="0">
                      <c:v>+28.7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{F63C0C0D-2430-4341-B2DA-F9E9DE7823EB}</c15:txfldGUID>
                      <c15:f>'SB wo CL'!$K$74</c15:f>
                      <c15:dlblFieldTableCache>
                        <c:ptCount val="1"/>
                        <c:pt idx="0">
                          <c:v>+28.7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EE3-41EC-88D7-3A4FCD5CC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CL'!$D$74:$J$74</c:f>
              <c:numCache>
                <c:formatCode>#,##0.0</c:formatCode>
                <c:ptCount val="7"/>
                <c:pt idx="0" formatCode="#,##0">
                  <c:v>1930.4626000000003</c:v>
                </c:pt>
                <c:pt idx="1">
                  <c:v>28.72078087975683</c:v>
                </c:pt>
                <c:pt idx="6" formatCode="#,##0">
                  <c:v>1959.1833808797571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3-41EC-88D7-3A4FCD5CC3B5}"/>
            </c:ext>
          </c:extLst>
        </c:ser>
        <c:ser>
          <c:idx val="2"/>
          <c:order val="2"/>
          <c:tx>
            <c:strRef>
              <c:f>'SB wo CL'!$C$75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'SB wo CL'!$K$75</c:f>
                  <c:strCache>
                    <c:ptCount val="1"/>
                    <c:pt idx="0">
                      <c:v>+976.7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{9E84ED20-C410-4F41-8306-B71B5A1A116F}</c15:txfldGUID>
                      <c15:f>'SB wo CL'!$K$75</c15:f>
                      <c15:dlblFieldTableCache>
                        <c:ptCount val="1"/>
                        <c:pt idx="0">
                          <c:v>+976.7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EE3-41EC-88D7-3A4FCD5CC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CL'!$D$75:$J$75</c:f>
              <c:numCache>
                <c:formatCode>#,##0.0</c:formatCode>
                <c:ptCount val="7"/>
                <c:pt idx="0" formatCode="#,##0">
                  <c:v>1479.83</c:v>
                </c:pt>
                <c:pt idx="2">
                  <c:v>976.69</c:v>
                </c:pt>
                <c:pt idx="6" formatCode="#,##0">
                  <c:v>2456.52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3-41EC-88D7-3A4FCD5CC3B5}"/>
            </c:ext>
          </c:extLst>
        </c:ser>
        <c:ser>
          <c:idx val="3"/>
          <c:order val="3"/>
          <c:tx>
            <c:strRef>
              <c:f>'SB wo CL'!$C$76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'SB wo CL'!$K$76</c:f>
                  <c:strCache>
                    <c:ptCount val="1"/>
                    <c:pt idx="0">
                      <c:v>-23.1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{BEB34A26-9502-4165-945A-E96E753BEE36}</c15:txfldGUID>
                      <c15:f>'SB wo CL'!$K$76</c15:f>
                      <c15:dlblFieldTableCache>
                        <c:ptCount val="1"/>
                        <c:pt idx="0">
                          <c:v>-23.1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EE3-41EC-88D7-3A4FCD5CC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CL'!$D$76:$J$76</c:f>
              <c:numCache>
                <c:formatCode>#,##0.0</c:formatCode>
                <c:ptCount val="7"/>
                <c:pt idx="0" formatCode="#,##0">
                  <c:v>224.18</c:v>
                </c:pt>
                <c:pt idx="3">
                  <c:v>23.099999999999994</c:v>
                </c:pt>
                <c:pt idx="6" formatCode="#,##0">
                  <c:v>201.08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E3-41EC-88D7-3A4FCD5CC3B5}"/>
            </c:ext>
          </c:extLst>
        </c:ser>
        <c:ser>
          <c:idx val="4"/>
          <c:order val="4"/>
          <c:tx>
            <c:strRef>
              <c:f>'SB wo CL'!$C$77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CL'!$D$77:$J$77</c:f>
              <c:numCache>
                <c:formatCode>#,##0.0</c:formatCode>
                <c:ptCount val="7"/>
                <c:pt idx="0" formatCode="#,##0">
                  <c:v>223.44779574020896</c:v>
                </c:pt>
                <c:pt idx="4">
                  <c:v>3.765427326012599</c:v>
                </c:pt>
                <c:pt idx="6" formatCode="#,##0">
                  <c:v>219.68236841419636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E3-41EC-88D7-3A4FCD5CC3B5}"/>
            </c:ext>
          </c:extLst>
        </c:ser>
        <c:ser>
          <c:idx val="5"/>
          <c:order val="5"/>
          <c:tx>
            <c:strRef>
              <c:f>'SB wo CL'!$C$78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CL'!$D$78:$J$78</c:f>
              <c:numCache>
                <c:formatCode>#,##0.0</c:formatCode>
                <c:ptCount val="7"/>
                <c:pt idx="0" formatCode="#,##0">
                  <c:v>680.80948160121307</c:v>
                </c:pt>
                <c:pt idx="5">
                  <c:v>172.68447415654327</c:v>
                </c:pt>
                <c:pt idx="6" formatCode="#,##0">
                  <c:v>853.49395575775634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E3-41EC-88D7-3A4FCD5CC3B5}"/>
            </c:ext>
          </c:extLst>
        </c:ser>
        <c:ser>
          <c:idx val="6"/>
          <c:order val="6"/>
          <c:tx>
            <c:strRef>
              <c:f>'SB wo CL'!$C$79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CL'!$D$79:$J$79</c:f>
              <c:numCache>
                <c:formatCode>#,##0</c:formatCode>
                <c:ptCount val="7"/>
                <c:pt idx="0">
                  <c:v>4538.7298773414223</c:v>
                </c:pt>
                <c:pt idx="6">
                  <c:v>5689.9597050517095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E3-41EC-88D7-3A4FCD5C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Ausgrid Small Business without CL $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'SB wo CL'!$C$45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CL'!$D$45:$J$45</c:f>
              <c:numCache>
                <c:formatCode>#,##0</c:formatCode>
                <c:ptCount val="7"/>
                <c:pt idx="0">
                  <c:v>0</c:v>
                </c:pt>
                <c:pt idx="1">
                  <c:v>4359.5307004536126</c:v>
                </c:pt>
                <c:pt idx="2">
                  <c:v>4463.6299034421036</c:v>
                </c:pt>
                <c:pt idx="3">
                  <c:v>5135.6199034421034</c:v>
                </c:pt>
                <c:pt idx="4">
                  <c:v>5089.7168859873336</c:v>
                </c:pt>
                <c:pt idx="5">
                  <c:v>4999.7927635924134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F-4661-8332-C4B328DDBFA4}"/>
            </c:ext>
          </c:extLst>
        </c:ser>
        <c:ser>
          <c:idx val="1"/>
          <c:order val="1"/>
          <c:tx>
            <c:strRef>
              <c:f>'SB wo CL'!$C$46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'SB wo CL'!$K$46</c:f>
                  <c:strCache>
                    <c:ptCount val="1"/>
                    <c:pt idx="0">
                      <c:v>+104.1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{73DA2FB5-6030-4DD9-912B-378B70C2C802}</c15:txfldGUID>
                      <c15:f>'SB wo CL'!$K$46</c15:f>
                      <c15:dlblFieldTableCache>
                        <c:ptCount val="1"/>
                        <c:pt idx="0">
                          <c:v>+104.1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ABF-4661-8332-C4B328DDB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CL'!$D$46:$J$46</c:f>
              <c:numCache>
                <c:formatCode>#,##0.0</c:formatCode>
                <c:ptCount val="7"/>
                <c:pt idx="0" formatCode="#,##0">
                  <c:v>1408.5695250000003</c:v>
                </c:pt>
                <c:pt idx="1">
                  <c:v>104.09920298849079</c:v>
                </c:pt>
                <c:pt idx="6" formatCode="#,##0">
                  <c:v>1512.6687279884911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BF-4661-8332-C4B328DDBFA4}"/>
            </c:ext>
          </c:extLst>
        </c:ser>
        <c:ser>
          <c:idx val="2"/>
          <c:order val="2"/>
          <c:tx>
            <c:strRef>
              <c:f>'SB wo CL'!$C$47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'SB wo CL'!$K$47</c:f>
                  <c:strCache>
                    <c:ptCount val="1"/>
                    <c:pt idx="0">
                      <c:v>+693.6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{71A163A2-D9DF-4D3E-9CCF-0B63D8EAD77A}</c15:txfldGUID>
                      <c15:f>'SB wo CL'!$K$47</c15:f>
                      <c15:dlblFieldTableCache>
                        <c:ptCount val="1"/>
                        <c:pt idx="0">
                          <c:v>+693.6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ABF-4661-8332-C4B328DDB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CL'!$D$47:$J$47</c:f>
              <c:numCache>
                <c:formatCode>#,##0.0</c:formatCode>
                <c:ptCount val="7"/>
                <c:pt idx="0" formatCode="#,##0">
                  <c:v>1344.53</c:v>
                </c:pt>
                <c:pt idx="2">
                  <c:v>693.55</c:v>
                </c:pt>
                <c:pt idx="6" formatCode="#,##0">
                  <c:v>2038.08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F-4661-8332-C4B328DDBFA4}"/>
            </c:ext>
          </c:extLst>
        </c:ser>
        <c:ser>
          <c:idx val="3"/>
          <c:order val="3"/>
          <c:tx>
            <c:strRef>
              <c:f>'SB wo CL'!$C$48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'SB wo CL'!$K$48</c:f>
                  <c:strCache>
                    <c:ptCount val="1"/>
                    <c:pt idx="0">
                      <c:v>-21.6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{4AC5F9D7-74D6-43A7-8230-BF69F113105F}</c15:txfldGUID>
                      <c15:f>'SB wo CL'!$K$48</c15:f>
                      <c15:dlblFieldTableCache>
                        <c:ptCount val="1"/>
                        <c:pt idx="0">
                          <c:v>-21.6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ABF-4661-8332-C4B328DDB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CL'!$D$48:$J$48</c:f>
              <c:numCache>
                <c:formatCode>#,##0.0</c:formatCode>
                <c:ptCount val="7"/>
                <c:pt idx="0" formatCode="#,##0">
                  <c:v>227.48000000000002</c:v>
                </c:pt>
                <c:pt idx="3">
                  <c:v>21.560000000000031</c:v>
                </c:pt>
                <c:pt idx="6" formatCode="#,##0">
                  <c:v>205.92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BF-4661-8332-C4B328DDBFA4}"/>
            </c:ext>
          </c:extLst>
        </c:ser>
        <c:ser>
          <c:idx val="4"/>
          <c:order val="4"/>
          <c:tx>
            <c:strRef>
              <c:f>'SB wo CL'!$C$49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CL'!$D$49:$J$49</c:f>
              <c:numCache>
                <c:formatCode>#,##0.0</c:formatCode>
                <c:ptCount val="7"/>
                <c:pt idx="0" formatCode="#,##0">
                  <c:v>289.06850034020903</c:v>
                </c:pt>
                <c:pt idx="4">
                  <c:v>45.903017454769667</c:v>
                </c:pt>
                <c:pt idx="6" formatCode="#,##0">
                  <c:v>243.16548288543936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BF-4661-8332-C4B328DDBFA4}"/>
            </c:ext>
          </c:extLst>
        </c:ser>
        <c:ser>
          <c:idx val="5"/>
          <c:order val="5"/>
          <c:tx>
            <c:strRef>
              <c:f>'SB wo CL'!$C$50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'SB wo CL'!$D$50:$J$50</c:f>
              <c:numCache>
                <c:formatCode>#,##0.0</c:formatCode>
                <c:ptCount val="7"/>
                <c:pt idx="0" formatCode="#,##0">
                  <c:v>1089.8826751134029</c:v>
                </c:pt>
                <c:pt idx="5">
                  <c:v>89.924122394920687</c:v>
                </c:pt>
                <c:pt idx="6" formatCode="#,##0">
                  <c:v>999.95855271848222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BF-4661-8332-C4B328DDBFA4}"/>
            </c:ext>
          </c:extLst>
        </c:ser>
        <c:ser>
          <c:idx val="6"/>
          <c:order val="6"/>
          <c:tx>
            <c:strRef>
              <c:f>'SB wo CL'!$C$51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'SB wo CL'!$D$44:$J$44</c:f>
              <c:strCache>
                <c:ptCount val="7"/>
                <c:pt idx="0">
                  <c:v>2022-23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Retail cost</c:v>
                </c:pt>
                <c:pt idx="5">
                  <c:v>DMO allowance</c:v>
                </c:pt>
                <c:pt idx="6">
                  <c:v>2023-24</c:v>
                </c:pt>
              </c:strCache>
            </c:strRef>
          </c:cat>
          <c:val>
            <c:numRef>
              <c:f>'SB wo CL'!$D$51:$J$51</c:f>
              <c:numCache>
                <c:formatCode>#,##0</c:formatCode>
                <c:ptCount val="7"/>
                <c:pt idx="0">
                  <c:v>4359.5307004536126</c:v>
                </c:pt>
                <c:pt idx="6">
                  <c:v>4999.7927635924125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BF-4661-8332-C4B328DD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5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Ausgrid!$D$3</c:f>
          <c:strCache>
            <c:ptCount val="1"/>
            <c:pt idx="0">
              <c:v>Ausgrid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Ausgrid!$F$33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Ausgrid!$S$33</c:f>
                  <c:strCache>
                    <c:ptCount val="1"/>
                    <c:pt idx="0">
                      <c:v>33.3%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{317F9626-606A-4374-B388-D305C3E60B40}</c15:txfldGUID>
                      <c15:f>Ausgrid!$S$33</c15:f>
                      <c15:dlblFieldTableCache>
                        <c:ptCount val="1"/>
                        <c:pt idx="0">
                          <c:v>33.3%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6CA-42EA-9312-8B86CB7F901B}"/>
                </c:ext>
              </c:extLst>
            </c:dLbl>
            <c:dLbl>
              <c:idx val="1"/>
              <c:tx>
                <c:strRef>
                  <c:f>Ausgrid!$X$33</c:f>
                  <c:strCache>
                    <c:ptCount val="1"/>
                    <c:pt idx="0">
                      <c:v>28.9%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{11CDA619-3E2C-4A56-B768-7FFA6B858A6C}</c15:txfldGUID>
                      <c15:f>Ausgrid!$X$33</c15:f>
                      <c15:dlblFieldTableCache>
                        <c:ptCount val="1"/>
                        <c:pt idx="0">
                          <c:v>28.9%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(Ausgrid!$R$33,Ausgrid!$W$33)</c:f>
              <c:numCache>
                <c:formatCode>#,##0.00</c:formatCode>
                <c:ptCount val="2"/>
                <c:pt idx="0">
                  <c:v>706.79559829999994</c:v>
                </c:pt>
                <c:pt idx="1">
                  <c:v>743.71682458839314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CA-42EA-9312-8B86CB7F901B}"/>
            </c:ext>
          </c:extLst>
        </c:ser>
        <c:ser>
          <c:idx val="1"/>
          <c:order val="1"/>
          <c:tx>
            <c:strRef>
              <c:f>Ausgrid!$F$34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Ausgrid!$S$34</c:f>
                  <c:strCache>
                    <c:ptCount val="1"/>
                    <c:pt idx="0">
                      <c:v>39.6%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{6BEF98D5-F928-4441-A63A-E70C6AB9A4CE}</c15:txfldGUID>
                      <c15:f>Ausgrid!$S$34</c15:f>
                      <c15:dlblFieldTableCache>
                        <c:ptCount val="1"/>
                        <c:pt idx="0">
                          <c:v>39.6%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6CA-42EA-9312-8B86CB7F901B}"/>
                </c:ext>
              </c:extLst>
            </c:dLbl>
            <c:dLbl>
              <c:idx val="1"/>
              <c:tx>
                <c:strRef>
                  <c:f>Ausgrid!$X$34</c:f>
                  <c:strCache>
                    <c:ptCount val="1"/>
                    <c:pt idx="0">
                      <c:v>47.6%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{A61635BA-1EFC-4355-AD1F-EB2DE3A28FDF}</c15:txfldGUID>
                      <c15:f>Ausgrid!$X$34</c15:f>
                      <c15:dlblFieldTableCache>
                        <c:ptCount val="1"/>
                        <c:pt idx="0">
                          <c:v>47.6%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(Ausgrid!$R$34,Ausgrid!$W$34)</c:f>
              <c:numCache>
                <c:formatCode>#,##0.00</c:formatCode>
                <c:ptCount val="2"/>
                <c:pt idx="0">
                  <c:v>839.3510399999999</c:v>
                </c:pt>
                <c:pt idx="1">
                  <c:v>1227.80504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CA-42EA-9312-8B86CB7F901B}"/>
            </c:ext>
          </c:extLst>
        </c:ser>
        <c:ser>
          <c:idx val="2"/>
          <c:order val="2"/>
          <c:tx>
            <c:strRef>
              <c:f>Ausgrid!$F$35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Ausgrid!$S$35</c:f>
                  <c:strCache>
                    <c:ptCount val="1"/>
                    <c:pt idx="0">
                      <c:v>7.3%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{010430B3-2D3C-49BD-AF16-D21156931CE1}</c15:txfldGUID>
                      <c15:f>Ausgrid!$S$35</c15:f>
                      <c15:dlblFieldTableCache>
                        <c:ptCount val="1"/>
                        <c:pt idx="0">
                          <c:v>7.3%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6CA-42EA-9312-8B86CB7F901B}"/>
                </c:ext>
              </c:extLst>
            </c:dLbl>
            <c:dLbl>
              <c:idx val="1"/>
              <c:tx>
                <c:strRef>
                  <c:f>Ausgrid!$X$35</c:f>
                  <c:strCache>
                    <c:ptCount val="1"/>
                    <c:pt idx="0">
                      <c:v>5.4%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{808864BE-A962-4550-AA69-03B7861ECC8F}</c15:txfldGUID>
                      <c15:f>Ausgrid!$X$35</c15:f>
                      <c15:dlblFieldTableCache>
                        <c:ptCount val="1"/>
                        <c:pt idx="0">
                          <c:v>5.4%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(Ausgrid!$R$35,Ausgrid!$W$35)</c:f>
              <c:numCache>
                <c:formatCode>#,##0.00</c:formatCode>
                <c:ptCount val="2"/>
                <c:pt idx="0">
                  <c:v>154.8184</c:v>
                </c:pt>
                <c:pt idx="1">
                  <c:v>140.13559999999998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CA-42EA-9312-8B86CB7F901B}"/>
            </c:ext>
          </c:extLst>
        </c:ser>
        <c:ser>
          <c:idx val="3"/>
          <c:order val="3"/>
          <c:tx>
            <c:strRef>
              <c:f>Ausgrid!$F$36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295DA24-DBD3-4FC1-BE2C-5FAD5D9C87DD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6CA-42EA-9312-8B86CB7F90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1A81742-7E94-49CE-8C30-5D8E728C6A6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(Ausgrid!$R$36,Ausgrid!$W$36)</c:f>
              <c:numCache>
                <c:formatCode>#,##0.00</c:formatCode>
                <c:ptCount val="2"/>
                <c:pt idx="0">
                  <c:v>209.099315715209</c:v>
                </c:pt>
                <c:pt idx="1">
                  <c:v>208.30173675758954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(Ausgrid!$S$36,Ausgrid!$X$36)</c15:f>
                <c15:dlblRangeCache>
                  <c:ptCount val="2"/>
                  <c:pt idx="0">
                    <c:v>9.9%</c:v>
                  </c:pt>
                  <c:pt idx="1">
                    <c:v>8.1%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D6CA-42EA-9312-8B86CB7F901B}"/>
            </c:ext>
          </c:extLst>
        </c:ser>
        <c:ser>
          <c:idx val="5"/>
          <c:order val="4"/>
          <c:tx>
            <c:strRef>
              <c:f>Ausgrid!$F$37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6C07CB1-5EE7-45AA-AE81-B8434494A63B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6CA-42EA-9312-8B86CB7F90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7D8890B-70A3-47C8-8B22-ACDEC5BBFC2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(Ausgrid!$R$37,Ausgrid!$W$37)</c:f>
              <c:numCache>
                <c:formatCode>#,##0.00</c:formatCode>
                <c:ptCount val="2"/>
                <c:pt idx="0">
                  <c:v>212.22937266835629</c:v>
                </c:pt>
                <c:pt idx="1">
                  <c:v>257.77324459399779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(Ausgrid!$S$37,Ausgrid!$X$37)</c15:f>
                <c15:dlblRangeCache>
                  <c:ptCount val="2"/>
                  <c:pt idx="0">
                    <c:v>10.0%</c:v>
                  </c:pt>
                  <c:pt idx="1">
                    <c:v>10.0%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D6CA-42EA-9312-8B86CB7F901B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(Ausgrid!$Q$32,Ausgrid!$Q$38)</c:f>
              <c:numCache>
                <c:formatCode>#,##0.00</c:formatCode>
                <c:ptCount val="2"/>
                <c:pt idx="0">
                  <c:v>2122</c:v>
                </c:pt>
                <c:pt idx="1">
                  <c:v>2577.7324459399802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6CA-42EA-9312-8B86CB7F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Ausgrid!$C$3</c:f>
          <c:strCache>
            <c:ptCount val="1"/>
            <c:pt idx="0">
              <c:v>Ausgrid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Ausgrid!$F$33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Ausgrid!$J$33</c:f>
                  <c:strCache>
                    <c:ptCount val="1"/>
                    <c:pt idx="0">
                      <c:v>35.6%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{8048F62B-CBD4-427F-A155-4BA6FC90825A}</c15:txfldGUID>
                      <c15:f>Ausgrid!$J$33</c15:f>
                      <c15:dlblFieldTableCache>
                        <c:ptCount val="1"/>
                        <c:pt idx="0">
                          <c:v>35.6%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92A-413D-8D88-618D8700F382}"/>
                </c:ext>
              </c:extLst>
            </c:dLbl>
            <c:dLbl>
              <c:idx val="1"/>
              <c:tx>
                <c:strRef>
                  <c:f>Ausgrid!$O$33</c:f>
                  <c:strCache>
                    <c:ptCount val="1"/>
                    <c:pt idx="0">
                      <c:v>31.3%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{1851AC24-2F12-450D-BFAF-8F7658EB258F}</c15:txfldGUID>
                      <c15:f>Ausgrid!$O$33</c15:f>
                      <c15:dlblFieldTableCache>
                        <c:ptCount val="1"/>
                        <c:pt idx="0">
                          <c:v>31.3%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(Ausgrid!$I$33,Ausgrid!$N$33)</c:f>
              <c:numCache>
                <c:formatCode>#,##0.00</c:formatCode>
                <c:ptCount val="2"/>
                <c:pt idx="0">
                  <c:v>538.42154299999993</c:v>
                </c:pt>
                <c:pt idx="1">
                  <c:v>579.03087437550357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2A-413D-8D88-618D8700F382}"/>
            </c:ext>
          </c:extLst>
        </c:ser>
        <c:ser>
          <c:idx val="1"/>
          <c:order val="1"/>
          <c:tx>
            <c:strRef>
              <c:f>Ausgrid!$F$34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Ausgrid!$J$34</c:f>
                  <c:strCache>
                    <c:ptCount val="1"/>
                    <c:pt idx="0">
                      <c:v>34.7%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{92B0E7D4-7A66-42DA-94C4-B5F6EB3D96F4}</c15:txfldGUID>
                      <c15:f>Ausgrid!$J$34</c15:f>
                      <c15:dlblFieldTableCache>
                        <c:ptCount val="1"/>
                        <c:pt idx="0">
                          <c:v>34.7%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92A-413D-8D88-618D8700F382}"/>
                </c:ext>
              </c:extLst>
            </c:dLbl>
            <c:dLbl>
              <c:idx val="1"/>
              <c:tx>
                <c:strRef>
                  <c:f>Ausgrid!$O$34</c:f>
                  <c:strCache>
                    <c:ptCount val="1"/>
                    <c:pt idx="0">
                      <c:v>43.0%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{CEA1E8BB-E328-43F5-89B6-8E325F74EC6D}</c15:txfldGUID>
                      <c15:f>Ausgrid!$O$34</c15:f>
                      <c15:dlblFieldTableCache>
                        <c:ptCount val="1"/>
                        <c:pt idx="0">
                          <c:v>43.0%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(Ausgrid!$I$34,Ausgrid!$N$34)</c:f>
              <c:numCache>
                <c:formatCode>#,##0.00</c:formatCode>
                <c:ptCount val="2"/>
                <c:pt idx="0">
                  <c:v>524.36670000000004</c:v>
                </c:pt>
                <c:pt idx="1">
                  <c:v>794.85119999999995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2A-413D-8D88-618D8700F382}"/>
            </c:ext>
          </c:extLst>
        </c:ser>
        <c:ser>
          <c:idx val="2"/>
          <c:order val="2"/>
          <c:tx>
            <c:strRef>
              <c:f>Ausgrid!$F$35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Ausgrid!$J$35</c:f>
                  <c:strCache>
                    <c:ptCount val="1"/>
                    <c:pt idx="0">
                      <c:v>5.9%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{EA629CB0-7D80-4BF8-9B03-51AA611DF095}</c15:txfldGUID>
                      <c15:f>Ausgrid!$J$35</c15:f>
                      <c15:dlblFieldTableCache>
                        <c:ptCount val="1"/>
                        <c:pt idx="0">
                          <c:v>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92A-413D-8D88-618D8700F382}"/>
                </c:ext>
              </c:extLst>
            </c:dLbl>
            <c:dLbl>
              <c:idx val="1"/>
              <c:tx>
                <c:strRef>
                  <c:f>Ausgrid!$O$35</c:f>
                  <c:strCache>
                    <c:ptCount val="1"/>
                    <c:pt idx="0">
                      <c:v>4.3%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{F72F059D-8679-4675-B88D-8384182D6424}</c15:txfldGUID>
                      <c15:f>Ausgrid!$O$35</c15:f>
                      <c15:dlblFieldTableCache>
                        <c:ptCount val="1"/>
                        <c:pt idx="0">
                          <c:v>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(Ausgrid!$I$35,Ausgrid!$N$35)</c:f>
              <c:numCache>
                <c:formatCode>#,##0.00</c:formatCode>
                <c:ptCount val="2"/>
                <c:pt idx="0">
                  <c:v>88.717200000000005</c:v>
                </c:pt>
                <c:pt idx="1">
                  <c:v>80.308799999999991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2A-413D-8D88-618D8700F382}"/>
            </c:ext>
          </c:extLst>
        </c:ser>
        <c:ser>
          <c:idx val="3"/>
          <c:order val="3"/>
          <c:tx>
            <c:strRef>
              <c:f>Ausgrid!$F$36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98B762E-05AC-4BB4-9D5D-E6E7C6C38BE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92A-413D-8D88-618D8700F3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1C30ED-B0AB-4612-993A-C434A00F2B0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(Ausgrid!$I$36,Ausgrid!$N$36)</c:f>
              <c:numCache>
                <c:formatCode>#,##0.00</c:formatCode>
                <c:ptCount val="2"/>
                <c:pt idx="0">
                  <c:v>209.099315715209</c:v>
                </c:pt>
                <c:pt idx="1">
                  <c:v>208.30173675758954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(Ausgrid!$J$36,Ausgrid!$O$36)</c15:f>
                <c15:dlblRangeCache>
                  <c:ptCount val="2"/>
                  <c:pt idx="0">
                    <c:v>13.8%</c:v>
                  </c:pt>
                  <c:pt idx="1">
                    <c:v>11.3%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92A-413D-8D88-618D8700F382}"/>
            </c:ext>
          </c:extLst>
        </c:ser>
        <c:ser>
          <c:idx val="5"/>
          <c:order val="4"/>
          <c:tx>
            <c:strRef>
              <c:f>Ausgrid!$F$37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2CC66DA-97F5-475D-8C99-6D0831CC00EF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92A-413D-8D88-618D8700F3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372C63-64BB-4E5F-9A93-63826BE0B07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(Ausgrid!$I$37,Ausgrid!$N$37)</c:f>
              <c:numCache>
                <c:formatCode>#,##0.00</c:formatCode>
                <c:ptCount val="2"/>
                <c:pt idx="0">
                  <c:v>151.17830652391217</c:v>
                </c:pt>
                <c:pt idx="1">
                  <c:v>184.72140123701024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(Ausgrid!$J$37,Ausgrid!$O$37)</c15:f>
                <c15:dlblRangeCache>
                  <c:ptCount val="2"/>
                  <c:pt idx="0">
                    <c:v>10.0%</c:v>
                  </c:pt>
                  <c:pt idx="1">
                    <c:v>10.0%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C92A-413D-8D88-618D8700F382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(Ausgrid!$H$32,Ausgrid!$H$38)</c:f>
              <c:numCache>
                <c:formatCode>#,##0.00</c:formatCode>
                <c:ptCount val="2"/>
                <c:pt idx="0">
                  <c:v>1512</c:v>
                </c:pt>
                <c:pt idx="1">
                  <c:v>1847.2140123701035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92A-413D-8D88-618D8700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Ausgrid!$E$3</c:f>
          <c:strCache>
            <c:ptCount val="1"/>
            <c:pt idx="0">
              <c:v>Ausgrid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Ausgrid!$F$33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Ausgrid!$AB$33</c:f>
                  <c:strCache>
                    <c:ptCount val="1"/>
                    <c:pt idx="0">
                      <c:v>32.3%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{A6F731FD-05D6-4C50-99F4-BA62CA85B4BC}</c15:txfldGUID>
                      <c15:f>Ausgrid!$AB$33</c15:f>
                      <c15:dlblFieldTableCache>
                        <c:ptCount val="1"/>
                        <c:pt idx="0">
                          <c:v>32.3%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49C-4EFD-A9CE-F6D82CBDA0E6}"/>
                </c:ext>
              </c:extLst>
            </c:dLbl>
            <c:dLbl>
              <c:idx val="1"/>
              <c:tx>
                <c:strRef>
                  <c:f>Ausgrid!$AG$33</c:f>
                  <c:strCache>
                    <c:ptCount val="1"/>
                    <c:pt idx="0">
                      <c:v>30.3%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{E8CE9937-1B02-4FFB-B766-A44FE3668778}</c15:txfldGUID>
                      <c15:f>Ausgrid!$AG$33</c15:f>
                      <c15:dlblFieldTableCache>
                        <c:ptCount val="1"/>
                        <c:pt idx="0">
                          <c:v>30.3%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(Ausgrid!$AA$29,Ausgrid!$AD$29)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(Ausgrid!$AA$33,Ausgrid!$AF$33)</c:f>
              <c:numCache>
                <c:formatCode>#,##0.00</c:formatCode>
                <c:ptCount val="2"/>
                <c:pt idx="0">
                  <c:v>1408.5695250000003</c:v>
                </c:pt>
                <c:pt idx="1">
                  <c:v>1512.6687279884911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C-4EFD-A9CE-F6D82CBDA0E6}"/>
            </c:ext>
          </c:extLst>
        </c:ser>
        <c:ser>
          <c:idx val="1"/>
          <c:order val="1"/>
          <c:tx>
            <c:strRef>
              <c:f>Ausgrid!$F$34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Ausgrid!$AB$34</c:f>
                  <c:strCache>
                    <c:ptCount val="1"/>
                    <c:pt idx="0">
                      <c:v>30.8%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{650239E6-60BE-4DD0-BB2B-C6C1C2899726}</c15:txfldGUID>
                      <c15:f>Ausgrid!$AB$34</c15:f>
                      <c15:dlblFieldTableCache>
                        <c:ptCount val="1"/>
                        <c:pt idx="0">
                          <c:v>30.8%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49C-4EFD-A9CE-F6D82CBDA0E6}"/>
                </c:ext>
              </c:extLst>
            </c:dLbl>
            <c:dLbl>
              <c:idx val="1"/>
              <c:tx>
                <c:strRef>
                  <c:f>Ausgrid!$AG$34</c:f>
                  <c:strCache>
                    <c:ptCount val="1"/>
                    <c:pt idx="0">
                      <c:v>40.8%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{63CA4FC4-D2D9-4D87-BFF0-1CC33650FC46}</c15:txfldGUID>
                      <c15:f>Ausgrid!$AG$34</c15:f>
                      <c15:dlblFieldTableCache>
                        <c:ptCount val="1"/>
                        <c:pt idx="0">
                          <c:v>40.8%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(Ausgrid!$AA$29,Ausgrid!$AD$29)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(Ausgrid!$AA$34,Ausgrid!$AF$34)</c:f>
              <c:numCache>
                <c:formatCode>#,##0.00</c:formatCode>
                <c:ptCount val="2"/>
                <c:pt idx="0">
                  <c:v>1344.53</c:v>
                </c:pt>
                <c:pt idx="1">
                  <c:v>2038.08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9C-4EFD-A9CE-F6D82CBDA0E6}"/>
            </c:ext>
          </c:extLst>
        </c:ser>
        <c:ser>
          <c:idx val="2"/>
          <c:order val="2"/>
          <c:tx>
            <c:strRef>
              <c:f>Ausgrid!$F$35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Ausgrid!$AB$35</c:f>
                  <c:strCache>
                    <c:ptCount val="1"/>
                    <c:pt idx="0">
                      <c:v>5.2%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{858EAEA9-C2AA-4B02-93C3-9B5F8EDD6560}</c15:txfldGUID>
                      <c15:f>Ausgrid!$AB$35</c15:f>
                      <c15:dlblFieldTableCache>
                        <c:ptCount val="1"/>
                        <c:pt idx="0">
                          <c:v>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49C-4EFD-A9CE-F6D82CBDA0E6}"/>
                </c:ext>
              </c:extLst>
            </c:dLbl>
            <c:dLbl>
              <c:idx val="1"/>
              <c:tx>
                <c:strRef>
                  <c:f>Ausgrid!$AG$35</c:f>
                  <c:strCache>
                    <c:ptCount val="1"/>
                    <c:pt idx="0">
                      <c:v>4.1%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{4F6B6383-E2DE-4238-8D6F-CBB513D56905}</c15:txfldGUID>
                      <c15:f>Ausgrid!$AG$35</c15:f>
                      <c15:dlblFieldTableCache>
                        <c:ptCount val="1"/>
                        <c:pt idx="0">
                          <c:v>4.1%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(Ausgrid!$AA$29,Ausgrid!$AD$29)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(Ausgrid!$AA$35,Ausgrid!$AF$35)</c:f>
              <c:numCache>
                <c:formatCode>#,##0.00</c:formatCode>
                <c:ptCount val="2"/>
                <c:pt idx="0">
                  <c:v>227.48000000000002</c:v>
                </c:pt>
                <c:pt idx="1">
                  <c:v>205.92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9C-4EFD-A9CE-F6D82CBDA0E6}"/>
            </c:ext>
          </c:extLst>
        </c:ser>
        <c:ser>
          <c:idx val="3"/>
          <c:order val="3"/>
          <c:tx>
            <c:strRef>
              <c:f>Ausgrid!$F$36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AA2682A-7FC8-4576-9829-98AE1EB0B6ED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49C-4EFD-A9CE-F6D82CBDA0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E2501D-476A-4910-810B-8CF3075440B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(Ausgrid!$AA$29,Ausgrid!$AD$29)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(Ausgrid!$AA$36,Ausgrid!$AF$36)</c:f>
              <c:numCache>
                <c:formatCode>#,##0.00</c:formatCode>
                <c:ptCount val="2"/>
                <c:pt idx="0">
                  <c:v>289.06850034020903</c:v>
                </c:pt>
                <c:pt idx="1">
                  <c:v>243.16548288543936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(Ausgrid!$AB$36,Ausgrid!$AG$36)</c15:f>
                <c15:dlblRangeCache>
                  <c:ptCount val="2"/>
                  <c:pt idx="0">
                    <c:v>6.6%</c:v>
                  </c:pt>
                  <c:pt idx="1">
                    <c:v>4.9%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A49C-4EFD-A9CE-F6D82CBDA0E6}"/>
            </c:ext>
          </c:extLst>
        </c:ser>
        <c:ser>
          <c:idx val="5"/>
          <c:order val="4"/>
          <c:tx>
            <c:strRef>
              <c:f>Ausgrid!$F$37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6CB3572-E428-4EB4-88D1-D97B0C1BDD73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49C-4EFD-A9CE-F6D82CBDA0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00EF7B-EAB0-4506-AE31-0E008BA0ECB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(Ausgrid!$AA$37,Ausgrid!$AF$37)</c:f>
              <c:numCache>
                <c:formatCode>#,##0.00</c:formatCode>
                <c:ptCount val="2"/>
                <c:pt idx="0">
                  <c:v>1089.8826751134029</c:v>
                </c:pt>
                <c:pt idx="1">
                  <c:v>999.95855271848222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(Ausgrid!$AB$37,Ausgrid!$AG$37)</c15:f>
                <c15:dlblRangeCache>
                  <c:ptCount val="2"/>
                  <c:pt idx="0">
                    <c:v>25.0%</c:v>
                  </c:pt>
                  <c:pt idx="1">
                    <c:v>20.0%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A49C-4EFD-A9CE-F6D82CBDA0E6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(Ausgrid!$AA$29,Ausgrid!$AD$29)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(Ausgrid!$Z$32,Ausgrid!$Z$38)</c:f>
              <c:numCache>
                <c:formatCode>#,##0.00</c:formatCode>
                <c:ptCount val="2"/>
                <c:pt idx="0">
                  <c:v>4360</c:v>
                </c:pt>
                <c:pt idx="1">
                  <c:v>4999.7927635924125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49C-4EFD-A9CE-F6D82CBD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1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Endeavour!$D$3</c:f>
          <c:strCache>
            <c:ptCount val="1"/>
            <c:pt idx="0">
              <c:v>Endeavour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Endeavour!$F$33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Endeavour!$S$33</c:f>
                  <c:strCache>
                    <c:ptCount val="1"/>
                    <c:pt idx="0">
                      <c:v>32.3%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{DF283289-C78A-4749-8ECC-6ABC57C478B2}</c15:txfldGUID>
                      <c15:f>Endeavour!$S$33</c15:f>
                      <c15:dlblFieldTableCache>
                        <c:ptCount val="1"/>
                        <c:pt idx="0">
                          <c:v>32.3%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A76-43FC-BFE5-9CBAB72D06F8}"/>
                </c:ext>
              </c:extLst>
            </c:dLbl>
            <c:dLbl>
              <c:idx val="1"/>
              <c:tx>
                <c:strRef>
                  <c:f>Endeavour!$X$33</c:f>
                  <c:strCache>
                    <c:ptCount val="1"/>
                    <c:pt idx="0">
                      <c:v>26.6%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{D753723C-CFB0-4C17-A969-C75E7AB21913}</c15:txfldGUID>
                      <c15:f>Endeavour!$X$33</c15:f>
                      <c15:dlblFieldTableCache>
                        <c:ptCount val="1"/>
                        <c:pt idx="0">
                          <c:v>26.6%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A76-43FC-BFE5-9CBAB72D0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(Endeavour!$R$33,Endeavour!$W$33)</c:f>
              <c:numCache>
                <c:formatCode>#,##0.00</c:formatCode>
                <c:ptCount val="2"/>
                <c:pt idx="0">
                  <c:v>770.30509819999997</c:v>
                </c:pt>
                <c:pt idx="1">
                  <c:v>783.47475146913609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76-43FC-BFE5-9CBAB72D06F8}"/>
            </c:ext>
          </c:extLst>
        </c:ser>
        <c:ser>
          <c:idx val="1"/>
          <c:order val="1"/>
          <c:tx>
            <c:strRef>
              <c:f>Endeavour!$F$34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Endeavour!$S$34</c:f>
                  <c:strCache>
                    <c:ptCount val="1"/>
                    <c:pt idx="0">
                      <c:v>41.5%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{618F62E1-9E52-416C-B271-5B1573C8035B}</c15:txfldGUID>
                      <c15:f>Endeavour!$S$34</c15:f>
                      <c15:dlblFieldTableCache>
                        <c:ptCount val="1"/>
                        <c:pt idx="0">
                          <c:v>41.5%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A76-43FC-BFE5-9CBAB72D06F8}"/>
                </c:ext>
              </c:extLst>
            </c:dLbl>
            <c:dLbl>
              <c:idx val="1"/>
              <c:tx>
                <c:strRef>
                  <c:f>Endeavour!$X$34</c:f>
                  <c:strCache>
                    <c:ptCount val="1"/>
                    <c:pt idx="0">
                      <c:v>50.9%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{6FA7CF4C-3373-4BCE-8AFC-838EA21AC289}</c15:txfldGUID>
                      <c15:f>Endeavour!$X$34</c15:f>
                      <c15:dlblFieldTableCache>
                        <c:ptCount val="1"/>
                        <c:pt idx="0">
                          <c:v>50.9%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6A76-43FC-BFE5-9CBAB72D0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(Endeavour!$R$34,Endeavour!$W$34)</c:f>
              <c:numCache>
                <c:formatCode>#,##0.00</c:formatCode>
                <c:ptCount val="2"/>
                <c:pt idx="0">
                  <c:v>987.8</c:v>
                </c:pt>
                <c:pt idx="1">
                  <c:v>1501.1744000000001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76-43FC-BFE5-9CBAB72D06F8}"/>
            </c:ext>
          </c:extLst>
        </c:ser>
        <c:ser>
          <c:idx val="2"/>
          <c:order val="2"/>
          <c:tx>
            <c:strRef>
              <c:f>Endeavour!$F$35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Endeavour!$S$35</c:f>
                  <c:strCache>
                    <c:ptCount val="1"/>
                    <c:pt idx="0">
                      <c:v>7.1%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{9FDB3AEF-AAD9-4275-8F3A-A7D5222D1314}</c15:txfldGUID>
                      <c15:f>Endeavour!$S$35</c15:f>
                      <c15:dlblFieldTableCache>
                        <c:ptCount val="1"/>
                        <c:pt idx="0">
                          <c:v>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A76-43FC-BFE5-9CBAB72D06F8}"/>
                </c:ext>
              </c:extLst>
            </c:dLbl>
            <c:dLbl>
              <c:idx val="1"/>
              <c:tx>
                <c:strRef>
                  <c:f>Endeavour!$X$35</c:f>
                  <c:strCache>
                    <c:ptCount val="1"/>
                    <c:pt idx="0">
                      <c:v>5.2%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{1710BBF7-FBA6-4D41-B294-1FD98EDA7911}</c15:txfldGUID>
                      <c15:f>Endeavour!$X$35</c15:f>
                      <c15:dlblFieldTableCache>
                        <c:ptCount val="1"/>
                        <c:pt idx="0">
                          <c:v>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A76-43FC-BFE5-9CBAB72D0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(Endeavour!$R$35,Endeavour!$W$35)</c:f>
              <c:numCache>
                <c:formatCode>#,##0.00</c:formatCode>
                <c:ptCount val="2"/>
                <c:pt idx="0">
                  <c:v>169.47479999999999</c:v>
                </c:pt>
                <c:pt idx="1">
                  <c:v>153.68320000000003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76-43FC-BFE5-9CBAB72D06F8}"/>
            </c:ext>
          </c:extLst>
        </c:ser>
        <c:ser>
          <c:idx val="3"/>
          <c:order val="3"/>
          <c:tx>
            <c:strRef>
              <c:f>Endeavour!$F$36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2D2A272-4D67-49B2-8230-65081F94EE9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A76-43FC-BFE5-9CBAB72D06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C4E455-5CAB-40EF-B625-6EDF0EBC8DE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A76-43FC-BFE5-9CBAB72D0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(Endeavour!$R$36,Endeavour!$W$36)</c:f>
              <c:numCache>
                <c:formatCode>#,##0.00</c:formatCode>
                <c:ptCount val="2"/>
                <c:pt idx="0">
                  <c:v>216.69699316520897</c:v>
                </c:pt>
                <c:pt idx="1">
                  <c:v>213.65645095544289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(Endeavour!$S$36,Endeavour!$X$36)</c15:f>
                <c15:dlblRangeCache>
                  <c:ptCount val="2"/>
                  <c:pt idx="0">
                    <c:v>9.1%</c:v>
                  </c:pt>
                  <c:pt idx="1">
                    <c:v>7.3%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6A76-43FC-BFE5-9CBAB72D06F8}"/>
            </c:ext>
          </c:extLst>
        </c:ser>
        <c:ser>
          <c:idx val="5"/>
          <c:order val="4"/>
          <c:tx>
            <c:strRef>
              <c:f>Endeavour!$F$37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032EEF3-439C-4621-A8E5-F086F090E33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A76-43FC-BFE5-9CBAB72D06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F07A259-30FC-445D-A630-8FD65CD36B6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A76-43FC-BFE5-9CBAB72D0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(Endeavour!$R$37,Endeavour!$W$37)</c:f>
              <c:numCache>
                <c:formatCode>#,##0.00</c:formatCode>
                <c:ptCount val="2"/>
                <c:pt idx="0">
                  <c:v>238.25298792946751</c:v>
                </c:pt>
                <c:pt idx="1">
                  <c:v>294.66542249161967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(Endeavour!$S$37,Endeavour!$X$37)</c15:f>
                <c15:dlblRangeCache>
                  <c:ptCount val="2"/>
                  <c:pt idx="0">
                    <c:v>10.0%</c:v>
                  </c:pt>
                  <c:pt idx="1">
                    <c:v>10.0%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6A76-43FC-BFE5-9CBAB72D06F8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(Endeavour!$Q$32,Endeavour!$Q$38)</c:f>
              <c:numCache>
                <c:formatCode>#,##0.00</c:formatCode>
                <c:ptCount val="2"/>
                <c:pt idx="0">
                  <c:v>2383</c:v>
                </c:pt>
                <c:pt idx="1">
                  <c:v>2946.6542249161985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A76-43FC-BFE5-9CBAB72D0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31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Endeavour!$C$3</c:f>
          <c:strCache>
            <c:ptCount val="1"/>
            <c:pt idx="0">
              <c:v>Endeavour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Endeavour!$F$33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Endeavour!$J$33</c:f>
                  <c:strCache>
                    <c:ptCount val="1"/>
                    <c:pt idx="0">
                      <c:v>35.6%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{09EA1AE7-3F74-4EAA-B12F-C4397B9D3EE4}</c15:txfldGUID>
                      <c15:f>Endeavour!$J$33</c15:f>
                      <c15:dlblFieldTableCache>
                        <c:ptCount val="1"/>
                        <c:pt idx="0">
                          <c:v>35.6%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337-45BE-834B-F7930ECD51BC}"/>
                </c:ext>
              </c:extLst>
            </c:dLbl>
            <c:dLbl>
              <c:idx val="1"/>
              <c:tx>
                <c:strRef>
                  <c:f>Endeavour!$O$33</c:f>
                  <c:strCache>
                    <c:ptCount val="1"/>
                    <c:pt idx="0">
                      <c:v>29.9%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{580C004C-ABD1-4EFD-8E7C-D3A998E66E69}</c15:txfldGUID>
                      <c15:f>Endeavour!$O$33</c15:f>
                      <c15:dlblFieldTableCache>
                        <c:ptCount val="1"/>
                        <c:pt idx="0">
                          <c:v>29.9%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337-45BE-834B-F7930ECD51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(Endeavour!$I$33,Endeavour!$N$33)</c:f>
              <c:numCache>
                <c:formatCode>#,##0.00</c:formatCode>
                <c:ptCount val="2"/>
                <c:pt idx="0">
                  <c:v>653.68214999999987</c:v>
                </c:pt>
                <c:pt idx="1">
                  <c:v>663.33909247010365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37-45BE-834B-F7930ECD51BC}"/>
            </c:ext>
          </c:extLst>
        </c:ser>
        <c:ser>
          <c:idx val="1"/>
          <c:order val="1"/>
          <c:tx>
            <c:strRef>
              <c:f>Endeavour!$F$34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Endeavour!$J$34</c:f>
                  <c:strCache>
                    <c:ptCount val="1"/>
                    <c:pt idx="0">
                      <c:v>36.5%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{06EE6E39-F2C3-43AA-BCAC-72C88ED009F2}</c15:txfldGUID>
                      <c15:f>Endeavour!$J$34</c15:f>
                      <c15:dlblFieldTableCache>
                        <c:ptCount val="1"/>
                        <c:pt idx="0">
                          <c:v>36.5%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337-45BE-834B-F7930ECD51BC}"/>
                </c:ext>
              </c:extLst>
            </c:dLbl>
            <c:dLbl>
              <c:idx val="1"/>
              <c:tx>
                <c:strRef>
                  <c:f>Endeavour!$O$34</c:f>
                  <c:strCache>
                    <c:ptCount val="1"/>
                    <c:pt idx="0">
                      <c:v>45.9%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{3C1729E6-50E5-4D89-800F-1146878F4284}</c15:txfldGUID>
                      <c15:f>Endeavour!$O$34</c15:f>
                      <c15:dlblFieldTableCache>
                        <c:ptCount val="1"/>
                        <c:pt idx="0">
                          <c:v>45.9%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337-45BE-834B-F7930ECD51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(Endeavour!$I$34,Endeavour!$N$34)</c:f>
              <c:numCache>
                <c:formatCode>#,##0.00</c:formatCode>
                <c:ptCount val="2"/>
                <c:pt idx="0">
                  <c:v>669.7075000000001</c:v>
                </c:pt>
                <c:pt idx="1">
                  <c:v>1018.6021999999999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37-45BE-834B-F7930ECD51BC}"/>
            </c:ext>
          </c:extLst>
        </c:ser>
        <c:ser>
          <c:idx val="2"/>
          <c:order val="2"/>
          <c:tx>
            <c:strRef>
              <c:f>Endeavour!$F$35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Endeavour!$J$35</c:f>
                  <c:strCache>
                    <c:ptCount val="1"/>
                    <c:pt idx="0">
                      <c:v>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{955BD581-ABBF-4C8D-91CB-B25637C1D6FA}</c15:txfldGUID>
                      <c15:f>Endeavour!$J$35</c15:f>
                      <c15:dlblFieldTableCache>
                        <c:ptCount val="1"/>
                        <c:pt idx="0">
                          <c:v>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337-45BE-834B-F7930ECD51BC}"/>
                </c:ext>
              </c:extLst>
            </c:dLbl>
            <c:dLbl>
              <c:idx val="1"/>
              <c:tx>
                <c:strRef>
                  <c:f>Endeavour!$O$35</c:f>
                  <c:strCache>
                    <c:ptCount val="1"/>
                    <c:pt idx="0">
                      <c:v>4.6%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{19DAE908-CB74-4E43-9C4D-C21D59CE7A43}</c15:txfldGUID>
                      <c15:f>Endeavour!$O$35</c15:f>
                      <c15:dlblFieldTableCache>
                        <c:ptCount val="1"/>
                        <c:pt idx="0">
                          <c:v>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337-45BE-834B-F7930ECD51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(Endeavour!$I$35,Endeavour!$N$35)</c:f>
              <c:numCache>
                <c:formatCode>#,##0.00</c:formatCode>
                <c:ptCount val="2"/>
                <c:pt idx="0">
                  <c:v>112.21980000000001</c:v>
                </c:pt>
                <c:pt idx="1">
                  <c:v>101.7632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37-45BE-834B-F7930ECD51BC}"/>
            </c:ext>
          </c:extLst>
        </c:ser>
        <c:ser>
          <c:idx val="3"/>
          <c:order val="3"/>
          <c:tx>
            <c:strRef>
              <c:f>Endeavour!$F$36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6439ADB-B161-4A87-AB06-334295C106B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337-45BE-834B-F7930ECD51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6A9C76-7E9D-4319-AE16-00ECC7C98BE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37-45BE-834B-F7930ECD51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(Endeavour!$I$36,Endeavour!$N$36)</c:f>
              <c:numCache>
                <c:formatCode>#,##0.00</c:formatCode>
                <c:ptCount val="2"/>
                <c:pt idx="0">
                  <c:v>216.69699316520897</c:v>
                </c:pt>
                <c:pt idx="1">
                  <c:v>213.65645095544289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(Endeavour!$J$36,Endeavour!$O$36)</c15:f>
                <c15:dlblRangeCache>
                  <c:ptCount val="2"/>
                  <c:pt idx="0">
                    <c:v>11.8%</c:v>
                  </c:pt>
                  <c:pt idx="1">
                    <c:v>9.6%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F337-45BE-834B-F7930ECD51BC}"/>
            </c:ext>
          </c:extLst>
        </c:ser>
        <c:ser>
          <c:idx val="5"/>
          <c:order val="4"/>
          <c:tx>
            <c:strRef>
              <c:f>Endeavour!$F$37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7DD9319-761F-4DE5-8548-EA2426A64F3A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337-45BE-834B-F7930ECD51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390D66B-2E0F-4E26-9D0B-9F2FD7B01F0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37-45BE-834B-F7930ECD51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(Endeavour!$I$37,Endeavour!$N$37)</c:f>
              <c:numCache>
                <c:formatCode>#,##0.00</c:formatCode>
                <c:ptCount val="2"/>
                <c:pt idx="0">
                  <c:v>183.58960479613438</c:v>
                </c:pt>
                <c:pt idx="1">
                  <c:v>221.92899371394969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(Endeavour!$J$37,Endeavour!$O$37)</c15:f>
                <c15:dlblRangeCache>
                  <c:ptCount val="2"/>
                  <c:pt idx="0">
                    <c:v>10.0%</c:v>
                  </c:pt>
                  <c:pt idx="1">
                    <c:v>10.0%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F337-45BE-834B-F7930ECD51BC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(Endeavour!$H$32,Endeavour!$H$38)</c:f>
              <c:numCache>
                <c:formatCode>#,##0.00</c:formatCode>
                <c:ptCount val="2"/>
                <c:pt idx="0">
                  <c:v>1836</c:v>
                </c:pt>
                <c:pt idx="1">
                  <c:v>2219.2899371394965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37-45BE-834B-F7930ECD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3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Endeavour!$E$3</c:f>
          <c:strCache>
            <c:ptCount val="1"/>
            <c:pt idx="0">
              <c:v>Endeavour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Endeavour!$F$33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Endeavour!$AB$33</c:f>
                  <c:strCache>
                    <c:ptCount val="1"/>
                    <c:pt idx="0">
                      <c:v>33.4%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{2287748C-3100-4439-A379-E9FB221A82E3}</c15:txfldGUID>
                      <c15:f>Endeavour!$AB$33</c15:f>
                      <c15:dlblFieldTableCache>
                        <c:ptCount val="1"/>
                        <c:pt idx="0">
                          <c:v>33.4%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AC3-4CBC-B0D1-2CBBD24F975C}"/>
                </c:ext>
              </c:extLst>
            </c:dLbl>
            <c:dLbl>
              <c:idx val="1"/>
              <c:tx>
                <c:strRef>
                  <c:f>Endeavour!$AG$33</c:f>
                  <c:strCache>
                    <c:ptCount val="1"/>
                    <c:pt idx="0">
                      <c:v>28.2%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{72285907-1D50-494A-896D-8C5D22493534}</c15:txfldGUID>
                      <c15:f>Endeavour!$AG$33</c15:f>
                      <c15:dlblFieldTableCache>
                        <c:ptCount val="1"/>
                        <c:pt idx="0">
                          <c:v>28.2%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AC3-4CBC-B0D1-2CBBD24F9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(Endeavour!$AA$29,Endeavour!$AD$29)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(Endeavour!$AA$33,Endeavour!$AF$33)</c:f>
              <c:numCache>
                <c:formatCode>#,##0.00</c:formatCode>
                <c:ptCount val="2"/>
                <c:pt idx="0">
                  <c:v>1262.7708500000001</c:v>
                </c:pt>
                <c:pt idx="1">
                  <c:v>1281.1121727961299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3-4CBC-B0D1-2CBBD24F975C}"/>
            </c:ext>
          </c:extLst>
        </c:ser>
        <c:ser>
          <c:idx val="1"/>
          <c:order val="1"/>
          <c:tx>
            <c:strRef>
              <c:f>Endeavour!$F$34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Endeavour!$AB$34</c:f>
                  <c:strCache>
                    <c:ptCount val="1"/>
                    <c:pt idx="0">
                      <c:v>36.1%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{F2E4492D-D5F1-4F1E-B3D4-A2C85AC61435}</c15:txfldGUID>
                      <c15:f>Endeavour!$AB$34</c15:f>
                      <c15:dlblFieldTableCache>
                        <c:ptCount val="1"/>
                        <c:pt idx="0">
                          <c:v>36.1%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AC3-4CBC-B0D1-2CBBD24F975C}"/>
                </c:ext>
              </c:extLst>
            </c:dLbl>
            <c:dLbl>
              <c:idx val="1"/>
              <c:tx>
                <c:strRef>
                  <c:f>Endeavour!$AG$34</c:f>
                  <c:strCache>
                    <c:ptCount val="1"/>
                    <c:pt idx="0">
                      <c:v>45.8%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{E33E1B51-E6C0-48F4-9073-CA0C66E030D7}</c15:txfldGUID>
                      <c15:f>Endeavour!$AG$34</c15:f>
                      <c15:dlblFieldTableCache>
                        <c:ptCount val="1"/>
                        <c:pt idx="0">
                          <c:v>45.8%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AC3-4CBC-B0D1-2CBBD24F9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(Endeavour!$AA$29,Endeavour!$AD$29)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(Endeavour!$AA$34,Endeavour!$AF$34)</c:f>
              <c:numCache>
                <c:formatCode>#,##0.00</c:formatCode>
                <c:ptCount val="2"/>
                <c:pt idx="0">
                  <c:v>1366.75</c:v>
                </c:pt>
                <c:pt idx="1">
                  <c:v>2078.7799999999997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C3-4CBC-B0D1-2CBBD24F975C}"/>
            </c:ext>
          </c:extLst>
        </c:ser>
        <c:ser>
          <c:idx val="2"/>
          <c:order val="2"/>
          <c:tx>
            <c:strRef>
              <c:f>Endeavour!$F$35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Endeavour!$AB$35</c:f>
                  <c:strCache>
                    <c:ptCount val="1"/>
                    <c:pt idx="0">
                      <c:v>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{84DA02DC-15E9-47BC-9448-F5209CDBE59C}</c15:txfldGUID>
                      <c15:f>Endeavour!$AB$35</c15:f>
                      <c15:dlblFieldTableCache>
                        <c:ptCount val="1"/>
                        <c:pt idx="0">
                          <c:v>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AC3-4CBC-B0D1-2CBBD24F975C}"/>
                </c:ext>
              </c:extLst>
            </c:dLbl>
            <c:dLbl>
              <c:idx val="1"/>
              <c:tx>
                <c:strRef>
                  <c:f>Endeavour!$AG$35</c:f>
                  <c:strCache>
                    <c:ptCount val="1"/>
                    <c:pt idx="0">
                      <c:v>4.6%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{86ED1BB9-FBCA-454B-B9F4-54169E805B9E}</c15:txfldGUID>
                      <c15:f>Endeavour!$AG$35</c15:f>
                      <c15:dlblFieldTableCache>
                        <c:ptCount val="1"/>
                        <c:pt idx="0">
                          <c:v>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AC3-4CBC-B0D1-2CBBD24F9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(Endeavour!$AA$29,Endeavour!$AD$29)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(Endeavour!$AA$35,Endeavour!$AF$35)</c:f>
              <c:numCache>
                <c:formatCode>#,##0.00</c:formatCode>
                <c:ptCount val="2"/>
                <c:pt idx="0">
                  <c:v>229.01999999999998</c:v>
                </c:pt>
                <c:pt idx="1">
                  <c:v>207.68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C3-4CBC-B0D1-2CBBD24F975C}"/>
            </c:ext>
          </c:extLst>
        </c:ser>
        <c:ser>
          <c:idx val="3"/>
          <c:order val="3"/>
          <c:tx>
            <c:strRef>
              <c:f>Endeavour!$F$36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5381625-91F2-4573-8089-DD5994E55E71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AC3-4CBC-B0D1-2CBBD24F97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863D18C-B5B3-4BCC-8EB5-6BE39C721C1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C3-4CBC-B0D1-2CBBD24F9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(Endeavour!$AA$29,Endeavour!$AD$29)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(Endeavour!$AA$36,Endeavour!$AF$36)</c:f>
              <c:numCache>
                <c:formatCode>#,##0.00</c:formatCode>
                <c:ptCount val="2"/>
                <c:pt idx="0">
                  <c:v>295.94028504020901</c:v>
                </c:pt>
                <c:pt idx="1">
                  <c:v>241.81355604151923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(Endeavour!$AB$36,Endeavour!$AG$36)</c15:f>
                <c15:dlblRangeCache>
                  <c:ptCount val="2"/>
                  <c:pt idx="0">
                    <c:v>7.8%</c:v>
                  </c:pt>
                  <c:pt idx="1">
                    <c:v>5.3%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AC3-4CBC-B0D1-2CBBD24F975C}"/>
            </c:ext>
          </c:extLst>
        </c:ser>
        <c:ser>
          <c:idx val="5"/>
          <c:order val="4"/>
          <c:tx>
            <c:strRef>
              <c:f>Endeavour!$F$37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950C06F-2BB0-42D2-ACC2-EE5DFBCD1226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AC3-4CBC-B0D1-2CBBD24F97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8207C9-7CF6-4610-8E60-7C7AB9378EA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AC3-4CBC-B0D1-2CBBD24F9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(Endeavour!$AA$37,Endeavour!$AF$37)</c:f>
              <c:numCache>
                <c:formatCode>#,##0.00</c:formatCode>
                <c:ptCount val="2"/>
                <c:pt idx="0">
                  <c:v>627.87034582335127</c:v>
                </c:pt>
                <c:pt idx="1">
                  <c:v>725.59728168336142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(Endeavour!$AB$37,Endeavour!$AG$37)</c15:f>
                <c15:dlblRangeCache>
                  <c:ptCount val="2"/>
                  <c:pt idx="0">
                    <c:v>16.6%</c:v>
                  </c:pt>
                  <c:pt idx="1">
                    <c:v>16.0%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EAC3-4CBC-B0D1-2CBBD24F975C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(Endeavour!$AA$29,Endeavour!$AD$29)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(Endeavour!$Z$32,Endeavour!$Z$38)</c:f>
              <c:numCache>
                <c:formatCode>#,##0.00</c:formatCode>
                <c:ptCount val="2"/>
                <c:pt idx="0">
                  <c:v>3782</c:v>
                </c:pt>
                <c:pt idx="1">
                  <c:v>4534.9830105210103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AC3-4CBC-B0D1-2CBBD24F9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0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Essential!$D$3</c:f>
          <c:strCache>
            <c:ptCount val="1"/>
            <c:pt idx="0">
              <c:v>Essential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Essential!$F$33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Essential!$S$33</c:f>
                  <c:strCache>
                    <c:ptCount val="1"/>
                    <c:pt idx="0">
                      <c:v>44.2%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{940AAB63-F7F9-4298-9454-89E21BF63E33}</c15:txfldGUID>
                      <c15:f>Essential!$S$33</c15:f>
                      <c15:dlblFieldTableCache>
                        <c:ptCount val="1"/>
                        <c:pt idx="0">
                          <c:v>44.2%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8FD-4F0C-8D80-51A31A2D35E7}"/>
                </c:ext>
              </c:extLst>
            </c:dLbl>
            <c:dLbl>
              <c:idx val="1"/>
              <c:tx>
                <c:strRef>
                  <c:f>Essential!$X$33</c:f>
                  <c:strCache>
                    <c:ptCount val="1"/>
                    <c:pt idx="0">
                      <c:v>40.7%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{37E07F5B-7CFA-4CEF-8769-6418847ADE9E}</c15:txfldGUID>
                      <c15:f>Essential!$X$33</c15:f>
                      <c15:dlblFieldTableCache>
                        <c:ptCount val="1"/>
                        <c:pt idx="0">
                          <c:v>40.7%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8FD-4F0C-8D80-51A31A2D3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(Essential!$R$33,Essential!$W$33)</c:f>
              <c:numCache>
                <c:formatCode>#,##0.00</c:formatCode>
                <c:ptCount val="2"/>
                <c:pt idx="0">
                  <c:v>1100.4438500000001</c:v>
                </c:pt>
                <c:pt idx="1">
                  <c:v>1231.1286007896067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D-4F0C-8D80-51A31A2D35E7}"/>
            </c:ext>
          </c:extLst>
        </c:ser>
        <c:ser>
          <c:idx val="1"/>
          <c:order val="1"/>
          <c:tx>
            <c:strRef>
              <c:f>Essential!$F$34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Essential!$S$34</c:f>
                  <c:strCache>
                    <c:ptCount val="1"/>
                    <c:pt idx="0">
                      <c:v>31.3%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{FC60E527-F4E7-4BCD-AA05-EE4246491ABA}</c15:txfldGUID>
                      <c15:f>Essential!$S$34</c15:f>
                      <c15:dlblFieldTableCache>
                        <c:ptCount val="1"/>
                        <c:pt idx="0">
                          <c:v>31.3%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8FD-4F0C-8D80-51A31A2D35E7}"/>
                </c:ext>
              </c:extLst>
            </c:dLbl>
            <c:dLbl>
              <c:idx val="1"/>
              <c:tx>
                <c:strRef>
                  <c:f>Essential!$X$34</c:f>
                  <c:strCache>
                    <c:ptCount val="1"/>
                    <c:pt idx="0">
                      <c:v>37.9%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{63D56360-7656-4B02-9763-9F7F160BC71F}</c15:txfldGUID>
                      <c15:f>Essential!$X$34</c15:f>
                      <c15:dlblFieldTableCache>
                        <c:ptCount val="1"/>
                        <c:pt idx="0">
                          <c:v>37.9%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8FD-4F0C-8D80-51A31A2D3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(Essential!$R$34,Essential!$W$34)</c:f>
              <c:numCache>
                <c:formatCode>#,##0.00</c:formatCode>
                <c:ptCount val="2"/>
                <c:pt idx="0">
                  <c:v>779.26420000000007</c:v>
                </c:pt>
                <c:pt idx="1">
                  <c:v>1145.9161999999999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FD-4F0C-8D80-51A31A2D35E7}"/>
            </c:ext>
          </c:extLst>
        </c:ser>
        <c:ser>
          <c:idx val="2"/>
          <c:order val="2"/>
          <c:tx>
            <c:strRef>
              <c:f>Essential!$F$35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Essential!$S$35</c:f>
                  <c:strCache>
                    <c:ptCount val="1"/>
                    <c:pt idx="0">
                      <c:v>6.0%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{E6BE85AD-6C8F-4B7C-94A4-0FBDF0C35D01}</c15:txfldGUID>
                      <c15:f>Essential!$S$35</c15:f>
                      <c15:dlblFieldTableCache>
                        <c:ptCount val="1"/>
                        <c:pt idx="0">
                          <c:v>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8FD-4F0C-8D80-51A31A2D35E7}"/>
                </c:ext>
              </c:extLst>
            </c:dLbl>
            <c:dLbl>
              <c:idx val="1"/>
              <c:tx>
                <c:strRef>
                  <c:f>Essential!$X$35</c:f>
                  <c:strCache>
                    <c:ptCount val="1"/>
                    <c:pt idx="0">
                      <c:v>4.4%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{6A27443B-4411-4773-B22C-C467DC84E046}</c15:txfldGUID>
                      <c15:f>Essential!$X$35</c15:f>
                      <c15:dlblFieldTableCache>
                        <c:ptCount val="1"/>
                        <c:pt idx="0">
                          <c:v>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8FD-4F0C-8D80-51A31A2D3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(Essential!$R$35,Essential!$W$35)</c:f>
              <c:numCache>
                <c:formatCode>#,##0.00</c:formatCode>
                <c:ptCount val="2"/>
                <c:pt idx="0">
                  <c:v>148.46699999999998</c:v>
                </c:pt>
                <c:pt idx="1">
                  <c:v>133.72920000000002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FD-4F0C-8D80-51A31A2D35E7}"/>
            </c:ext>
          </c:extLst>
        </c:ser>
        <c:ser>
          <c:idx val="3"/>
          <c:order val="3"/>
          <c:tx>
            <c:strRef>
              <c:f>Essential!$F$36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915D8B8-5337-41A0-A804-E4932F1B8CE1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8FD-4F0C-8D80-51A31A2D35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6E9D9B6-44E0-4474-A7D7-0C0B4431792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8FD-4F0C-8D80-51A31A2D3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(Essential!$R$36,Essential!$W$36)</c:f>
              <c:numCache>
                <c:formatCode>#,##0.00</c:formatCode>
                <c:ptCount val="2"/>
                <c:pt idx="0">
                  <c:v>212.61989555270895</c:v>
                </c:pt>
                <c:pt idx="1">
                  <c:v>209.37116394113568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(Essential!$S$36,Essential!$X$36)</c15:f>
                <c15:dlblRangeCache>
                  <c:ptCount val="2"/>
                  <c:pt idx="0">
                    <c:v>8.5%</c:v>
                  </c:pt>
                  <c:pt idx="1">
                    <c:v>6.9%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8FD-4F0C-8D80-51A31A2D35E7}"/>
            </c:ext>
          </c:extLst>
        </c:ser>
        <c:ser>
          <c:idx val="5"/>
          <c:order val="4"/>
          <c:tx>
            <c:strRef>
              <c:f>Essential!$F$37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632CC6E-5E9D-4D3F-803A-46EA5A878A4B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8FD-4F0C-8D80-51A31A2D35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463576-4200-4A0C-B9DB-BB34D65BBC2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8FD-4F0C-8D80-51A31A2D3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(Essential!$R$37,Essential!$W$37)</c:f>
              <c:numCache>
                <c:formatCode>#,##0.00</c:formatCode>
                <c:ptCount val="2"/>
                <c:pt idx="0">
                  <c:v>248.97721617252319</c:v>
                </c:pt>
                <c:pt idx="1">
                  <c:v>302.23835163674903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(Essential!$S$37,Essential!$X$37)</c15:f>
                <c15:dlblRangeCache>
                  <c:ptCount val="2"/>
                  <c:pt idx="0">
                    <c:v>10.0%</c:v>
                  </c:pt>
                  <c:pt idx="1">
                    <c:v>10.0%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08FD-4F0C-8D80-51A31A2D35E7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(Essential!$Q$32,Essential!$Q$38)</c:f>
              <c:numCache>
                <c:formatCode>#,##0.00</c:formatCode>
                <c:ptCount val="2"/>
                <c:pt idx="0">
                  <c:v>2490</c:v>
                </c:pt>
                <c:pt idx="1">
                  <c:v>3022.3835163674917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8FD-4F0C-8D80-51A31A2D3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31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Essential!$C$3</c:f>
          <c:strCache>
            <c:ptCount val="1"/>
            <c:pt idx="0">
              <c:v>Essential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Essential!$F$33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Essential!$J$33</c:f>
                  <c:strCache>
                    <c:ptCount val="1"/>
                    <c:pt idx="0">
                      <c:v>46.8%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{6CEFBFA3-719A-40D1-8C84-941B8D6008A5}</c15:txfldGUID>
                      <c15:f>Essential!$J$33</c15:f>
                      <c15:dlblFieldTableCache>
                        <c:ptCount val="1"/>
                        <c:pt idx="0">
                          <c:v>46.8%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789-411A-94EF-F77039C673A5}"/>
                </c:ext>
              </c:extLst>
            </c:dLbl>
            <c:dLbl>
              <c:idx val="1"/>
              <c:tx>
                <c:strRef>
                  <c:f>Essential!$O$33</c:f>
                  <c:strCache>
                    <c:ptCount val="1"/>
                    <c:pt idx="0">
                      <c:v>42.9%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{E0EE873C-6B8F-4BE6-8C3D-1FBC20093B23}</c15:txfldGUID>
                      <c15:f>Essential!$O$33</c15:f>
                      <c15:dlblFieldTableCache>
                        <c:ptCount val="1"/>
                        <c:pt idx="0">
                          <c:v>42.9%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789-411A-94EF-F77039C67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(Essential!$I$33,Essential!$N$33)</c:f>
              <c:numCache>
                <c:formatCode>#,##0.00</c:formatCode>
                <c:ptCount val="2"/>
                <c:pt idx="0">
                  <c:v>980.07997999999998</c:v>
                </c:pt>
                <c:pt idx="1">
                  <c:v>1097.3262507938114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89-411A-94EF-F77039C673A5}"/>
            </c:ext>
          </c:extLst>
        </c:ser>
        <c:ser>
          <c:idx val="1"/>
          <c:order val="1"/>
          <c:tx>
            <c:strRef>
              <c:f>Essential!$F$34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Essential!$J$34</c:f>
                  <c:strCache>
                    <c:ptCount val="1"/>
                    <c:pt idx="0">
                      <c:v>28.1%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{51EBD968-BB79-4FE1-9070-E822E98433AE}</c15:txfldGUID>
                      <c15:f>Essential!$J$34</c15:f>
                      <c15:dlblFieldTableCache>
                        <c:ptCount val="1"/>
                        <c:pt idx="0">
                          <c:v>28.1%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789-411A-94EF-F77039C673A5}"/>
                </c:ext>
              </c:extLst>
            </c:dLbl>
            <c:dLbl>
              <c:idx val="1"/>
              <c:tx>
                <c:strRef>
                  <c:f>Essential!$O$34</c:f>
                  <c:strCache>
                    <c:ptCount val="1"/>
                    <c:pt idx="0">
                      <c:v>35.2%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{64FF688D-5B54-444D-9EFA-7E14A60A2EC2}</c15:txfldGUID>
                      <c15:f>Essential!$O$34</c15:f>
                      <c15:dlblFieldTableCache>
                        <c:ptCount val="1"/>
                        <c:pt idx="0">
                          <c:v>35.2%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789-411A-94EF-F77039C67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(Essential!$I$34,Essential!$N$34)</c:f>
              <c:numCache>
                <c:formatCode>#,##0.00</c:formatCode>
                <c:ptCount val="2"/>
                <c:pt idx="0">
                  <c:v>586.80819999999994</c:v>
                </c:pt>
                <c:pt idx="1">
                  <c:v>899.51620000000003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89-411A-94EF-F77039C673A5}"/>
            </c:ext>
          </c:extLst>
        </c:ser>
        <c:ser>
          <c:idx val="2"/>
          <c:order val="2"/>
          <c:tx>
            <c:strRef>
              <c:f>Essential!$F$35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Essential!$J$35</c:f>
                  <c:strCache>
                    <c:ptCount val="1"/>
                    <c:pt idx="0">
                      <c:v>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{66D61837-CD72-4139-8EDD-E3D7FC523C83}</c15:txfldGUID>
                      <c15:f>Essential!$J$35</c15:f>
                      <c15:dlblFieldTableCache>
                        <c:ptCount val="1"/>
                        <c:pt idx="0">
                          <c:v>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789-411A-94EF-F77039C673A5}"/>
                </c:ext>
              </c:extLst>
            </c:dLbl>
            <c:dLbl>
              <c:idx val="1"/>
              <c:tx>
                <c:strRef>
                  <c:f>Essential!$O$35</c:f>
                  <c:strCache>
                    <c:ptCount val="1"/>
                    <c:pt idx="0">
                      <c:v>3.6%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{29D2896B-9AE1-4699-8AC4-ECDBCEE2DBF0}</c15:txfldGUID>
                      <c15:f>Essential!$O$35</c15:f>
                      <c15:dlblFieldTableCache>
                        <c:ptCount val="1"/>
                        <c:pt idx="0">
                          <c:v>3.6%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789-411A-94EF-F77039C67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(Essential!$I$35,Essential!$N$35)</c:f>
              <c:numCache>
                <c:formatCode>#,##0.00</c:formatCode>
                <c:ptCount val="2"/>
                <c:pt idx="0">
                  <c:v>103.47699999999999</c:v>
                </c:pt>
                <c:pt idx="1">
                  <c:v>93.205200000000019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9-411A-94EF-F77039C673A5}"/>
            </c:ext>
          </c:extLst>
        </c:ser>
        <c:ser>
          <c:idx val="3"/>
          <c:order val="3"/>
          <c:tx>
            <c:strRef>
              <c:f>Essential!$F$36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29E3C42-5FDC-46C9-A695-DDEC0B0CE1F8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789-411A-94EF-F77039C673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2FB551-4A40-4BAF-938B-7BBD5B5BA91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789-411A-94EF-F77039C67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(Essential!$I$36,Essential!$N$36)</c:f>
              <c:numCache>
                <c:formatCode>#,##0.00</c:formatCode>
                <c:ptCount val="2"/>
                <c:pt idx="0">
                  <c:v>212.61989555270895</c:v>
                </c:pt>
                <c:pt idx="1">
                  <c:v>209.37116394113568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(Essential!$J$36,Essential!$O$36)</c15:f>
                <c15:dlblRangeCache>
                  <c:ptCount val="2"/>
                  <c:pt idx="0">
                    <c:v>10.2%</c:v>
                  </c:pt>
                  <c:pt idx="1">
                    <c:v>8.2%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789-411A-94EF-F77039C673A5}"/>
            </c:ext>
          </c:extLst>
        </c:ser>
        <c:ser>
          <c:idx val="5"/>
          <c:order val="4"/>
          <c:tx>
            <c:strRef>
              <c:f>Essential!$F$37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D2F1277-C231-4049-B417-51501314C606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789-411A-94EF-F77039C673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68ECE1A-E4AD-4544-9604-9CCFF50D8F9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789-411A-94EF-F77039C67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(Essential!$I$37,Essential!$N$37)</c:f>
              <c:numCache>
                <c:formatCode>#,##0.00</c:formatCode>
                <c:ptCount val="2"/>
                <c:pt idx="0">
                  <c:v>209.22056395030086</c:v>
                </c:pt>
                <c:pt idx="1">
                  <c:v>255.49097941499394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(Essential!$J$37,Essential!$O$37)</c15:f>
                <c15:dlblRangeCache>
                  <c:ptCount val="2"/>
                  <c:pt idx="0">
                    <c:v>10.0%</c:v>
                  </c:pt>
                  <c:pt idx="1">
                    <c:v>10.0%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E789-411A-94EF-F77039C673A5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(Essential!$H$32,Essential!$H$38)</c:f>
              <c:numCache>
                <c:formatCode>#,##0.00</c:formatCode>
                <c:ptCount val="2"/>
                <c:pt idx="0">
                  <c:v>2092</c:v>
                </c:pt>
                <c:pt idx="1">
                  <c:v>2554.9097941499413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789-411A-94EF-F77039C67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Essential!$E$3</c:f>
          <c:strCache>
            <c:ptCount val="1"/>
            <c:pt idx="0">
              <c:v>Essential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Essential!$F$33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Essential!$AB$33</c:f>
                  <c:strCache>
                    <c:ptCount val="1"/>
                    <c:pt idx="0">
                      <c:v>43.3%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{EE8EF85E-A051-4C4C-8547-2ECF5F6786D1}</c15:txfldGUID>
                      <c15:f>Essential!$AB$33</c15:f>
                      <c15:dlblFieldTableCache>
                        <c:ptCount val="1"/>
                        <c:pt idx="0">
                          <c:v>43.3%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2C9-4A18-9AB8-8064B0F6EE46}"/>
                </c:ext>
              </c:extLst>
            </c:dLbl>
            <c:dLbl>
              <c:idx val="1"/>
              <c:tx>
                <c:strRef>
                  <c:f>Essential!$AG$33</c:f>
                  <c:strCache>
                    <c:ptCount val="1"/>
                    <c:pt idx="0">
                      <c:v>40.8%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{74B9AE8E-7758-42BD-B684-28F19CB87279}</c15:txfldGUID>
                      <c15:f>Essential!$AG$33</c15:f>
                      <c15:dlblFieldTableCache>
                        <c:ptCount val="1"/>
                        <c:pt idx="0">
                          <c:v>40.8%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2C9-4A18-9AB8-8064B0F6E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(Essential!$AA$29,Essential!$AD$29)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(Essential!$AA$33,Essential!$AF$33)</c:f>
              <c:numCache>
                <c:formatCode>#,##0.00</c:formatCode>
                <c:ptCount val="2"/>
                <c:pt idx="0">
                  <c:v>2122.8972600000002</c:v>
                </c:pt>
                <c:pt idx="1">
                  <c:v>2348.5073545137025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9-4A18-9AB8-8064B0F6EE46}"/>
            </c:ext>
          </c:extLst>
        </c:ser>
        <c:ser>
          <c:idx val="1"/>
          <c:order val="1"/>
          <c:tx>
            <c:strRef>
              <c:f>Essential!$F$34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Essential!$AB$34</c:f>
                  <c:strCache>
                    <c:ptCount val="1"/>
                    <c:pt idx="0">
                      <c:v>26.0%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{4D8D1F37-879B-4D96-8913-0B816107079C}</c15:txfldGUID>
                      <c15:f>Essential!$AB$34</c15:f>
                      <c15:dlblFieldTableCache>
                        <c:ptCount val="1"/>
                        <c:pt idx="0">
                          <c:v>26.0%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2C9-4A18-9AB8-8064B0F6EE46}"/>
                </c:ext>
              </c:extLst>
            </c:dLbl>
            <c:dLbl>
              <c:idx val="1"/>
              <c:tx>
                <c:strRef>
                  <c:f>Essential!$AG$34</c:f>
                  <c:strCache>
                    <c:ptCount val="1"/>
                    <c:pt idx="0">
                      <c:v>34.0%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{39157B24-DA82-4AD6-8E04-8EFD24A1D17B}</c15:txfldGUID>
                      <c15:f>Essential!$AG$34</c15:f>
                      <c15:dlblFieldTableCache>
                        <c:ptCount val="1"/>
                        <c:pt idx="0">
                          <c:v>34.0%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2C9-4A18-9AB8-8064B0F6E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(Essential!$AA$29,Essential!$AD$29)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(Essential!$AA$34,Essential!$AF$34)</c:f>
              <c:numCache>
                <c:formatCode>#,##0.00</c:formatCode>
                <c:ptCount val="2"/>
                <c:pt idx="0">
                  <c:v>1275.67</c:v>
                </c:pt>
                <c:pt idx="1">
                  <c:v>1955.47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C9-4A18-9AB8-8064B0F6EE46}"/>
            </c:ext>
          </c:extLst>
        </c:ser>
        <c:ser>
          <c:idx val="2"/>
          <c:order val="2"/>
          <c:tx>
            <c:strRef>
              <c:f>Essential!$F$35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Essential!$AB$35</c:f>
                  <c:strCache>
                    <c:ptCount val="1"/>
                    <c:pt idx="0">
                      <c:v>4.6%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{C9DAD6EE-2CE2-4CFD-8212-886A3A384E59}</c15:txfldGUID>
                      <c15:f>Essential!$AB$35</c15:f>
                      <c15:dlblFieldTableCache>
                        <c:ptCount val="1"/>
                        <c:pt idx="0">
                          <c:v>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2C9-4A18-9AB8-8064B0F6EE46}"/>
                </c:ext>
              </c:extLst>
            </c:dLbl>
            <c:dLbl>
              <c:idx val="1"/>
              <c:tx>
                <c:strRef>
                  <c:f>Essential!$AG$35</c:f>
                  <c:strCache>
                    <c:ptCount val="1"/>
                    <c:pt idx="0">
                      <c:v>3.5%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{09A9CEB0-3482-4AD1-9A1D-2F6588205C20}</c15:txfldGUID>
                      <c15:f>Essential!$AG$35</c15:f>
                      <c15:dlblFieldTableCache>
                        <c:ptCount val="1"/>
                        <c:pt idx="0">
                          <c:v>3.5%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2C9-4A18-9AB8-8064B0F6E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(Essential!$AA$29,Essential!$AD$29)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(Essential!$AA$35,Essential!$AF$35)</c:f>
              <c:numCache>
                <c:formatCode>#,##0.00</c:formatCode>
                <c:ptCount val="2"/>
                <c:pt idx="0">
                  <c:v>224.95</c:v>
                </c:pt>
                <c:pt idx="1">
                  <c:v>202.62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C9-4A18-9AB8-8064B0F6EE46}"/>
            </c:ext>
          </c:extLst>
        </c:ser>
        <c:ser>
          <c:idx val="3"/>
          <c:order val="3"/>
          <c:tx>
            <c:strRef>
              <c:f>Essential!$F$36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114CD4B-8D52-4E10-A945-50443FBDA8B8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2C9-4A18-9AB8-8064B0F6EE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125DC1-BC9A-49EA-B280-AAEFFB3FEC8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2C9-4A18-9AB8-8064B0F6E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(Essential!$AA$29,Essential!$AD$29)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(Essential!$AA$36,Essential!$AF$36)</c:f>
              <c:numCache>
                <c:formatCode>#,##0.00</c:formatCode>
                <c:ptCount val="2"/>
                <c:pt idx="0">
                  <c:v>282.59595665270899</c:v>
                </c:pt>
                <c:pt idx="1">
                  <c:v>244.42625916104754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(Essential!$AB$36,Essential!$AG$36)</c15:f>
                <c15:dlblRangeCache>
                  <c:ptCount val="2"/>
                  <c:pt idx="0">
                    <c:v>5.8%</c:v>
                  </c:pt>
                  <c:pt idx="1">
                    <c:v>4.2%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2C9-4A18-9AB8-8064B0F6EE46}"/>
            </c:ext>
          </c:extLst>
        </c:ser>
        <c:ser>
          <c:idx val="5"/>
          <c:order val="4"/>
          <c:tx>
            <c:strRef>
              <c:f>Essential!$F$37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7E6003E-ECCD-4B6D-B91D-182A88BA70C3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2C9-4A18-9AB8-8064B0F6EE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16B8B39-F2A8-4433-AD9C-1385B70FC76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2C9-4A18-9AB8-8064B0F6E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(Essential!$AA$37,Essential!$AF$37)</c:f>
              <c:numCache>
                <c:formatCode>#,##0.00</c:formatCode>
                <c:ptCount val="2"/>
                <c:pt idx="0">
                  <c:v>994.90713046486826</c:v>
                </c:pt>
                <c:pt idx="1">
                  <c:v>1007.7928877491895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(Essential!$AB$37,Essential!$AG$37)</c15:f>
                <c15:dlblRangeCache>
                  <c:ptCount val="2"/>
                  <c:pt idx="0">
                    <c:v>20.3%</c:v>
                  </c:pt>
                  <c:pt idx="1">
                    <c:v>17.5%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22C9-4A18-9AB8-8064B0F6EE46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(Essential!$AA$29,Essential!$AD$29)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(Essential!$Z$32,Essential!$Z$38)</c:f>
              <c:numCache>
                <c:formatCode>#,##0.00</c:formatCode>
                <c:ptCount val="2"/>
                <c:pt idx="0">
                  <c:v>4901</c:v>
                </c:pt>
                <c:pt idx="1">
                  <c:v>5758.8165014239394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C9-4A18-9AB8-8064B0F6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9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Energex!$D$3</c:f>
          <c:strCache>
            <c:ptCount val="1"/>
            <c:pt idx="0">
              <c:v>Energex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Energex!$F$33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Energex!$S$33</c:f>
                  <c:strCache>
                    <c:ptCount val="1"/>
                    <c:pt idx="0">
                      <c:v>36.1%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{B2B18397-2FDF-4543-8299-6CF9C01D9954}</c15:txfldGUID>
                      <c15:f>Energex!$S$33</c15:f>
                      <c15:dlblFieldTableCache>
                        <c:ptCount val="1"/>
                        <c:pt idx="0">
                          <c:v>36.1%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C9D-4D1F-8EE5-DA446F3D7594}"/>
                </c:ext>
              </c:extLst>
            </c:dLbl>
            <c:dLbl>
              <c:idx val="1"/>
              <c:tx>
                <c:strRef>
                  <c:f>Energex!$X$33</c:f>
                  <c:strCache>
                    <c:ptCount val="1"/>
                    <c:pt idx="0">
                      <c:v>32.5%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{46789056-1F7F-40D9-8E03-7A627AE50CDA}</c15:txfldGUID>
                      <c15:f>Energex!$X$33</c15:f>
                      <c15:dlblFieldTableCache>
                        <c:ptCount val="1"/>
                        <c:pt idx="0">
                          <c:v>32.5%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C9D-4D1F-8EE5-DA446F3D7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(Energex!$R$33,Energex!$W$33)</c:f>
              <c:numCache>
                <c:formatCode>#,##0.00</c:formatCode>
                <c:ptCount val="2"/>
                <c:pt idx="0">
                  <c:v>708.46269999999993</c:v>
                </c:pt>
                <c:pt idx="1">
                  <c:v>760.49412692578676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D-4D1F-8EE5-DA446F3D7594}"/>
            </c:ext>
          </c:extLst>
        </c:ser>
        <c:ser>
          <c:idx val="1"/>
          <c:order val="1"/>
          <c:tx>
            <c:strRef>
              <c:f>Energex!$F$34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Energex!$S$34</c:f>
                  <c:strCache>
                    <c:ptCount val="1"/>
                    <c:pt idx="0">
                      <c:v>37.0%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{E6F9A566-109A-4C51-98CE-F4343E91C8DD}</c15:txfldGUID>
                      <c15:f>Energex!$S$34</c15:f>
                      <c15:dlblFieldTableCache>
                        <c:ptCount val="1"/>
                        <c:pt idx="0">
                          <c:v>37.0%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C9D-4D1F-8EE5-DA446F3D7594}"/>
                </c:ext>
              </c:extLst>
            </c:dLbl>
            <c:dLbl>
              <c:idx val="1"/>
              <c:tx>
                <c:strRef>
                  <c:f>Energex!$X$34</c:f>
                  <c:strCache>
                    <c:ptCount val="1"/>
                    <c:pt idx="0">
                      <c:v>44.3%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{1F92990F-59B8-4241-8D65-DE462CE12C8B}</c15:txfldGUID>
                      <c15:f>Energex!$X$34</c15:f>
                      <c15:dlblFieldTableCache>
                        <c:ptCount val="1"/>
                        <c:pt idx="0">
                          <c:v>44.3%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C9D-4D1F-8EE5-DA446F3D7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(Energex!$R$34,Energex!$W$34)</c:f>
              <c:numCache>
                <c:formatCode>#,##0.00</c:formatCode>
                <c:ptCount val="2"/>
                <c:pt idx="0">
                  <c:v>726.183898</c:v>
                </c:pt>
                <c:pt idx="1">
                  <c:v>1038.2789780000003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9D-4D1F-8EE5-DA446F3D7594}"/>
            </c:ext>
          </c:extLst>
        </c:ser>
        <c:ser>
          <c:idx val="2"/>
          <c:order val="2"/>
          <c:tx>
            <c:strRef>
              <c:f>Energex!$F$35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Energex!$S$35</c:f>
                  <c:strCache>
                    <c:ptCount val="1"/>
                    <c:pt idx="0">
                      <c:v>6.0%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{8C792186-D361-4733-AA20-996999E77EDD}</c15:txfldGUID>
                      <c15:f>Energex!$S$35</c15:f>
                      <c15:dlblFieldTableCache>
                        <c:ptCount val="1"/>
                        <c:pt idx="0">
                          <c:v>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C9D-4D1F-8EE5-DA446F3D7594}"/>
                </c:ext>
              </c:extLst>
            </c:dLbl>
            <c:dLbl>
              <c:idx val="1"/>
              <c:tx>
                <c:strRef>
                  <c:f>Energex!$X$35</c:f>
                  <c:strCache>
                    <c:ptCount val="1"/>
                    <c:pt idx="0">
                      <c:v>4.5%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{2F2ED4E5-EB8E-4EC8-AB88-C669CF3F7FDA}</c15:txfldGUID>
                      <c15:f>Energex!$X$35</c15:f>
                      <c15:dlblFieldTableCache>
                        <c:ptCount val="1"/>
                        <c:pt idx="0">
                          <c:v>4.5%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C9D-4D1F-8EE5-DA446F3D7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(Energex!$R$35,Energex!$W$35)</c:f>
              <c:numCache>
                <c:formatCode>#,##0.00</c:formatCode>
                <c:ptCount val="2"/>
                <c:pt idx="0">
                  <c:v>118.50299999999999</c:v>
                </c:pt>
                <c:pt idx="1">
                  <c:v>104.643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9D-4D1F-8EE5-DA446F3D7594}"/>
            </c:ext>
          </c:extLst>
        </c:ser>
        <c:ser>
          <c:idx val="3"/>
          <c:order val="3"/>
          <c:tx>
            <c:strRef>
              <c:f>Energex!$F$36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E38FD14-39D0-47F2-9D3C-E905CD0EE317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C9D-4D1F-8EE5-DA446F3D75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561BEB-7CED-4CAF-97AB-14CB10982CF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C9D-4D1F-8EE5-DA446F3D7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(Energex!$R$36,Energex!$W$36)</c:f>
              <c:numCache>
                <c:formatCode>#,##0.00</c:formatCode>
                <c:ptCount val="2"/>
                <c:pt idx="0">
                  <c:v>211.38587787770896</c:v>
                </c:pt>
                <c:pt idx="1">
                  <c:v>205.77752137868441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(Energex!$S$36,Energex!$X$36)</c15:f>
                <c15:dlblRangeCache>
                  <c:ptCount val="2"/>
                  <c:pt idx="0">
                    <c:v>10.8%</c:v>
                  </c:pt>
                  <c:pt idx="1">
                    <c:v>8.8%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C9D-4D1F-8EE5-DA446F3D7594}"/>
            </c:ext>
          </c:extLst>
        </c:ser>
        <c:ser>
          <c:idx val="5"/>
          <c:order val="4"/>
          <c:tx>
            <c:strRef>
              <c:f>Energex!$F$37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8A2A8E3-F784-4AD5-B3DA-A4919191F468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C9D-4D1F-8EE5-DA446F3D75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0F89FFA-7E8D-47AC-8889-24625351331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C9D-4D1F-8EE5-DA446F3D7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(Energex!$R$37,Energex!$W$37)</c:f>
              <c:numCache>
                <c:formatCode>#,##0.00</c:formatCode>
                <c:ptCount val="2"/>
                <c:pt idx="0">
                  <c:v>196.05949731974533</c:v>
                </c:pt>
                <c:pt idx="1">
                  <c:v>234.35484736716353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(Energex!$S$37,Energex!$X$37)</c15:f>
                <c15:dlblRangeCache>
                  <c:ptCount val="2"/>
                  <c:pt idx="0">
                    <c:v>10.0%</c:v>
                  </c:pt>
                  <c:pt idx="1">
                    <c:v>10.0%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1C9D-4D1F-8EE5-DA446F3D7594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(Energex!$Q$32,Energex!$Q$38)</c:f>
              <c:numCache>
                <c:formatCode>#,##0.00</c:formatCode>
                <c:ptCount val="2"/>
                <c:pt idx="0">
                  <c:v>1961</c:v>
                </c:pt>
                <c:pt idx="1">
                  <c:v>2343.5484736716348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C9D-4D1F-8EE5-DA446F3D7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Energex!$C$3</c:f>
          <c:strCache>
            <c:ptCount val="1"/>
            <c:pt idx="0">
              <c:v>Energex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Energex!$F$33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Energex!$J$33</c:f>
                  <c:strCache>
                    <c:ptCount val="1"/>
                    <c:pt idx="0">
                      <c:v>38.7%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{FC524ABB-07A6-4BB1-9C03-5D9496E7975F}</c15:txfldGUID>
                      <c15:f>Energex!$J$33</c15:f>
                      <c15:dlblFieldTableCache>
                        <c:ptCount val="1"/>
                        <c:pt idx="0">
                          <c:v>38.7%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A84-4DF1-86A9-3D525C165E1E}"/>
                </c:ext>
              </c:extLst>
            </c:dLbl>
            <c:dLbl>
              <c:idx val="1"/>
              <c:tx>
                <c:strRef>
                  <c:f>Energex!$O$33</c:f>
                  <c:strCache>
                    <c:ptCount val="1"/>
                    <c:pt idx="0">
                      <c:v>34.0%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{64C7B0DD-7B41-495B-B01C-276638FE5D88}</c15:txfldGUID>
                      <c15:f>Energex!$O$33</c15:f>
                      <c15:dlblFieldTableCache>
                        <c:ptCount val="1"/>
                        <c:pt idx="0">
                          <c:v>34.0%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A84-4DF1-86A9-3D525C165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(Energex!$I$33,Energex!$N$33)</c:f>
              <c:numCache>
                <c:formatCode>#,##0.00</c:formatCode>
                <c:ptCount val="2"/>
                <c:pt idx="0">
                  <c:v>626.91969999999992</c:v>
                </c:pt>
                <c:pt idx="1">
                  <c:v>660.59630996288627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4-4DF1-86A9-3D525C165E1E}"/>
            </c:ext>
          </c:extLst>
        </c:ser>
        <c:ser>
          <c:idx val="1"/>
          <c:order val="1"/>
          <c:tx>
            <c:strRef>
              <c:f>Energex!$F$34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Energex!$J$34</c:f>
                  <c:strCache>
                    <c:ptCount val="1"/>
                    <c:pt idx="0">
                      <c:v>34.5%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{8BF7D521-4475-47AD-B9AA-9E8C27913E25}</c15:txfldGUID>
                      <c15:f>Energex!$J$34</c15:f>
                      <c15:dlblFieldTableCache>
                        <c:ptCount val="1"/>
                        <c:pt idx="0">
                          <c:v>34.5%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A84-4DF1-86A9-3D525C165E1E}"/>
                </c:ext>
              </c:extLst>
            </c:dLbl>
            <c:dLbl>
              <c:idx val="1"/>
              <c:tx>
                <c:strRef>
                  <c:f>Energex!$O$34</c:f>
                  <c:strCache>
                    <c:ptCount val="1"/>
                    <c:pt idx="0">
                      <c:v>43.0%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{7BA498AD-3A3F-48D6-AAD0-A4E96EE8AD89}</c15:txfldGUID>
                      <c15:f>Energex!$O$34</c15:f>
                      <c15:dlblFieldTableCache>
                        <c:ptCount val="1"/>
                        <c:pt idx="0">
                          <c:v>43.0%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A84-4DF1-86A9-3D525C165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(Energex!$I$34,Energex!$N$34)</c:f>
              <c:numCache>
                <c:formatCode>#,##0.00</c:formatCode>
                <c:ptCount val="2"/>
                <c:pt idx="0">
                  <c:v>559.28179999999998</c:v>
                </c:pt>
                <c:pt idx="1">
                  <c:v>835.45660000000009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84-4DF1-86A9-3D525C165E1E}"/>
            </c:ext>
          </c:extLst>
        </c:ser>
        <c:ser>
          <c:idx val="2"/>
          <c:order val="2"/>
          <c:tx>
            <c:strRef>
              <c:f>Energex!$F$35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Energex!$J$35</c:f>
                  <c:strCache>
                    <c:ptCount val="1"/>
                    <c:pt idx="0">
                      <c:v>5.3%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{AC80DA16-306C-4740-8DBB-A2C4DD4DCE72}</c15:txfldGUID>
                      <c15:f>Energex!$J$35</c15:f>
                      <c15:dlblFieldTableCache>
                        <c:ptCount val="1"/>
                        <c:pt idx="0">
                          <c:v>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A84-4DF1-86A9-3D525C165E1E}"/>
                </c:ext>
              </c:extLst>
            </c:dLbl>
            <c:dLbl>
              <c:idx val="1"/>
              <c:tx>
                <c:strRef>
                  <c:f>Energex!$O$35</c:f>
                  <c:strCache>
                    <c:ptCount val="1"/>
                    <c:pt idx="0">
                      <c:v>3.9%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{2D0B9D54-EDB2-48EA-A27A-EA0A5B313F63}</c15:txfldGUID>
                      <c15:f>Energex!$O$35</c15:f>
                      <c15:dlblFieldTableCache>
                        <c:ptCount val="1"/>
                        <c:pt idx="0">
                          <c:v>3.9%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A84-4DF1-86A9-3D525C165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(Energex!$I$35,Energex!$N$35)</c:f>
              <c:numCache>
                <c:formatCode>#,##0.00</c:formatCode>
                <c:ptCount val="2"/>
                <c:pt idx="0">
                  <c:v>86.525999999999996</c:v>
                </c:pt>
                <c:pt idx="1">
                  <c:v>76.405999999999992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84-4DF1-86A9-3D525C165E1E}"/>
            </c:ext>
          </c:extLst>
        </c:ser>
        <c:ser>
          <c:idx val="3"/>
          <c:order val="3"/>
          <c:tx>
            <c:strRef>
              <c:f>Energex!$F$36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57A5155-766B-4053-A687-D5401CAF8CDA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A84-4DF1-86A9-3D525C165E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0695A0-FF5D-4169-946A-BE2DE4812F1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84-4DF1-86A9-3D525C165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(Energex!$I$36,Energex!$N$36)</c:f>
              <c:numCache>
                <c:formatCode>#,##0.00</c:formatCode>
                <c:ptCount val="2"/>
                <c:pt idx="0">
                  <c:v>211.38587787770896</c:v>
                </c:pt>
                <c:pt idx="1">
                  <c:v>205.77752137868441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(Energex!$J$36,Energex!$O$36)</c15:f>
                <c15:dlblRangeCache>
                  <c:ptCount val="2"/>
                  <c:pt idx="0">
                    <c:v>13.0%</c:v>
                  </c:pt>
                  <c:pt idx="1">
                    <c:v>10.6%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A84-4DF1-86A9-3D525C165E1E}"/>
            </c:ext>
          </c:extLst>
        </c:ser>
        <c:ser>
          <c:idx val="5"/>
          <c:order val="4"/>
          <c:tx>
            <c:strRef>
              <c:f>Energex!$F$37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4BBF234-121F-4749-AAE3-6E28DA5D6600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A84-4DF1-86A9-3D525C165E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A5723D-22A1-4D07-9D9D-1D3E369C7C0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A84-4DF1-86A9-3D525C165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(Energex!$I$37,Energex!$N$37)</c:f>
              <c:numCache>
                <c:formatCode>#,##0.00</c:formatCode>
                <c:ptCount val="2"/>
                <c:pt idx="0">
                  <c:v>136.09773334249735</c:v>
                </c:pt>
                <c:pt idx="1">
                  <c:v>163.06971641123573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(Energex!$J$37,Energex!$O$37)</c15:f>
                <c15:dlblRangeCache>
                  <c:ptCount val="2"/>
                  <c:pt idx="0">
                    <c:v>8.4%</c:v>
                  </c:pt>
                  <c:pt idx="1">
                    <c:v>8.4%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EA84-4DF1-86A9-3D525C165E1E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(Energex!$H$32,Energex!$H$38)</c:f>
              <c:numCache>
                <c:formatCode>#,##0.00</c:formatCode>
                <c:ptCount val="2"/>
                <c:pt idx="0">
                  <c:v>1620</c:v>
                </c:pt>
                <c:pt idx="1">
                  <c:v>1941.3061477528065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A84-4DF1-86A9-3D525C165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Energex!$E$3</c:f>
          <c:strCache>
            <c:ptCount val="1"/>
            <c:pt idx="0">
              <c:v>Energex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Energex!$F$33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Energex!$AB$33</c:f>
                  <c:strCache>
                    <c:ptCount val="1"/>
                    <c:pt idx="0">
                      <c:v>35.4%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{0E6E7AF9-1A5E-40AA-925C-281813F89A39}</c15:txfldGUID>
                      <c15:f>Energex!$AB$33</c15:f>
                      <c15:dlblFieldTableCache>
                        <c:ptCount val="1"/>
                        <c:pt idx="0">
                          <c:v>35.4%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F77-40AF-8437-BA5BFA2E9EC5}"/>
                </c:ext>
              </c:extLst>
            </c:dLbl>
            <c:dLbl>
              <c:idx val="1"/>
              <c:tx>
                <c:strRef>
                  <c:f>Energex!$AG$33</c:f>
                  <c:strCache>
                    <c:ptCount val="1"/>
                    <c:pt idx="0">
                      <c:v>30.9%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{252F8B40-260B-4143-BE41-ED953B26D6DF}</c15:txfldGUID>
                      <c15:f>Energex!$AG$33</c15:f>
                      <c15:dlblFieldTableCache>
                        <c:ptCount val="1"/>
                        <c:pt idx="0">
                          <c:v>30.9%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F77-40AF-8437-BA5BFA2E9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(Energex!$AA$29,Energex!$AD$29)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(Energex!$AA$33,Energex!$AF$33)</c:f>
              <c:numCache>
                <c:formatCode>#,##0.00</c:formatCode>
                <c:ptCount val="2"/>
                <c:pt idx="0">
                  <c:v>1220.2773000000002</c:v>
                </c:pt>
                <c:pt idx="1">
                  <c:v>1269.5593995633189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7-40AF-8437-BA5BFA2E9EC5}"/>
            </c:ext>
          </c:extLst>
        </c:ser>
        <c:ser>
          <c:idx val="1"/>
          <c:order val="1"/>
          <c:tx>
            <c:strRef>
              <c:f>Energex!$F$34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Energex!$AB$34</c:f>
                  <c:strCache>
                    <c:ptCount val="1"/>
                    <c:pt idx="0">
                      <c:v>35.3%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{7BE68E45-930F-4A6A-BB4A-37FC49FD709F}</c15:txfldGUID>
                      <c15:f>Energex!$AB$34</c15:f>
                      <c15:dlblFieldTableCache>
                        <c:ptCount val="1"/>
                        <c:pt idx="0">
                          <c:v>35.3%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F77-40AF-8437-BA5BFA2E9EC5}"/>
                </c:ext>
              </c:extLst>
            </c:dLbl>
            <c:dLbl>
              <c:idx val="1"/>
              <c:tx>
                <c:strRef>
                  <c:f>Energex!$AG$34</c:f>
                  <c:strCache>
                    <c:ptCount val="1"/>
                    <c:pt idx="0">
                      <c:v>44.1%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{439D35EB-FD73-48AE-83A5-151820FDC30F}</c15:txfldGUID>
                      <c15:f>Energex!$AG$34</c15:f>
                      <c15:dlblFieldTableCache>
                        <c:ptCount val="1"/>
                        <c:pt idx="0">
                          <c:v>44.1%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F77-40AF-8437-BA5BFA2E9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(Energex!$AA$29,Energex!$AD$29)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(Energex!$AA$34,Energex!$AF$34)</c:f>
              <c:numCache>
                <c:formatCode>#,##0.00</c:formatCode>
                <c:ptCount val="2"/>
                <c:pt idx="0">
                  <c:v>1215.83</c:v>
                </c:pt>
                <c:pt idx="1">
                  <c:v>1816.21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77-40AF-8437-BA5BFA2E9EC5}"/>
            </c:ext>
          </c:extLst>
        </c:ser>
        <c:ser>
          <c:idx val="2"/>
          <c:order val="2"/>
          <c:tx>
            <c:strRef>
              <c:f>Energex!$F$35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Energex!$AB$35</c:f>
                  <c:strCache>
                    <c:ptCount val="1"/>
                    <c:pt idx="0">
                      <c:v>5.5%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{2BEBD639-0DEA-45BB-8932-5B93CA1F558A}</c15:txfldGUID>
                      <c15:f>Energex!$AB$35</c15:f>
                      <c15:dlblFieldTableCache>
                        <c:ptCount val="1"/>
                        <c:pt idx="0">
                          <c:v>5.5%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F77-40AF-8437-BA5BFA2E9EC5}"/>
                </c:ext>
              </c:extLst>
            </c:dLbl>
            <c:dLbl>
              <c:idx val="1"/>
              <c:tx>
                <c:strRef>
                  <c:f>Energex!$AG$35</c:f>
                  <c:strCache>
                    <c:ptCount val="1"/>
                    <c:pt idx="0">
                      <c:v>4.0%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{00BA3622-1447-4274-8144-367DF160543D}</c15:txfldGUID>
                      <c15:f>Energex!$AG$35</c15:f>
                      <c15:dlblFieldTableCache>
                        <c:ptCount val="1"/>
                        <c:pt idx="0">
                          <c:v>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F77-40AF-8437-BA5BFA2E9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(Energex!$AA$29,Energex!$AD$29)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(Energex!$AA$35,Energex!$AF$35)</c:f>
              <c:numCache>
                <c:formatCode>#,##0.00</c:formatCode>
                <c:ptCount val="2"/>
                <c:pt idx="0">
                  <c:v>188.1</c:v>
                </c:pt>
                <c:pt idx="1">
                  <c:v>166.1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77-40AF-8437-BA5BFA2E9EC5}"/>
            </c:ext>
          </c:extLst>
        </c:ser>
        <c:ser>
          <c:idx val="3"/>
          <c:order val="3"/>
          <c:tx>
            <c:strRef>
              <c:f>Energex!$F$36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AEF6446-C5B8-4EAE-95BD-130F0015219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F77-40AF-8437-BA5BFA2E9E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8A1C576-0BF1-4F26-8084-46F6437B717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F77-40AF-8437-BA5BFA2E9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(Energex!$AA$29,Energex!$AD$29)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(Energex!$AA$36,Energex!$AF$36)</c:f>
              <c:numCache>
                <c:formatCode>#,##0.00</c:formatCode>
                <c:ptCount val="2"/>
                <c:pt idx="0">
                  <c:v>235.92105282770893</c:v>
                </c:pt>
                <c:pt idx="1">
                  <c:v>204.77878446489947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(Energex!$AB$36,Energex!$AG$36)</c15:f>
                <c15:dlblRangeCache>
                  <c:ptCount val="2"/>
                  <c:pt idx="0">
                    <c:v>6.8%</c:v>
                  </c:pt>
                  <c:pt idx="1">
                    <c:v>5.0%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F77-40AF-8437-BA5BFA2E9EC5}"/>
            </c:ext>
          </c:extLst>
        </c:ser>
        <c:ser>
          <c:idx val="5"/>
          <c:order val="4"/>
          <c:tx>
            <c:strRef>
              <c:f>Energex!$F$37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DD2EF62-5B01-48C2-B697-67AA5D586C7D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F77-40AF-8437-BA5BFA2E9E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AFBD48A-08A5-4BAA-A6AA-CB07536865D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F77-40AF-8437-BA5BFA2E9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(Energex!$AA$37,Energex!$AF$37)</c:f>
              <c:numCache>
                <c:formatCode>#,##0.00</c:formatCode>
                <c:ptCount val="2"/>
                <c:pt idx="0">
                  <c:v>585.80942166350678</c:v>
                </c:pt>
                <c:pt idx="1">
                  <c:v>658.40917791013726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(Energex!$AB$37,Energex!$AG$37)</c15:f>
                <c15:dlblRangeCache>
                  <c:ptCount val="2"/>
                  <c:pt idx="0">
                    <c:v>17.0%</c:v>
                  </c:pt>
                  <c:pt idx="1">
                    <c:v>16.0%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1F77-40AF-8437-BA5BFA2E9EC5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(Energex!$AA$29,Energex!$AD$29)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(Energex!$Z$32,Energex!$Z$38)</c:f>
              <c:numCache>
                <c:formatCode>#,##0.00</c:formatCode>
                <c:ptCount val="2"/>
                <c:pt idx="0">
                  <c:v>3446</c:v>
                </c:pt>
                <c:pt idx="1">
                  <c:v>4115.0573619383558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77-40AF-8437-BA5BFA2E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45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SAPN!$D$3</c:f>
          <c:strCache>
            <c:ptCount val="1"/>
            <c:pt idx="0">
              <c:v>SAPN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SAPN!$F$33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SAPN!$S$33</c:f>
                  <c:strCache>
                    <c:ptCount val="1"/>
                    <c:pt idx="0">
                      <c:v>44.7%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{D93C92E1-3A8D-471E-BEE3-085C43352A3C}</c15:txfldGUID>
                      <c15:f>SAPN!$S$33</c15:f>
                      <c15:dlblFieldTableCache>
                        <c:ptCount val="1"/>
                        <c:pt idx="0">
                          <c:v>44.7%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0EB-41BD-8EC4-3BAD3480799F}"/>
                </c:ext>
              </c:extLst>
            </c:dLbl>
            <c:dLbl>
              <c:idx val="1"/>
              <c:tx>
                <c:strRef>
                  <c:f>SAPN!$X$33</c:f>
                  <c:strCache>
                    <c:ptCount val="1"/>
                    <c:pt idx="0">
                      <c:v>36.9%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{CB205ECB-0744-4713-913D-3CEA35D9532E}</c15:txfldGUID>
                      <c15:f>SAPN!$X$33</c15:f>
                      <c15:dlblFieldTableCache>
                        <c:ptCount val="1"/>
                        <c:pt idx="0">
                          <c:v>36.9%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0EB-41BD-8EC4-3BAD34807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(SAPN!$R$33,SAPN!$W$33)</c:f>
              <c:numCache>
                <c:formatCode>#,##0.00</c:formatCode>
                <c:ptCount val="2"/>
                <c:pt idx="0">
                  <c:v>1015.9589000000001</c:v>
                </c:pt>
                <c:pt idx="1">
                  <c:v>1019.6102663999998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EB-41BD-8EC4-3BAD3480799F}"/>
            </c:ext>
          </c:extLst>
        </c:ser>
        <c:ser>
          <c:idx val="1"/>
          <c:order val="1"/>
          <c:tx>
            <c:strRef>
              <c:f>SAPN!$F$34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SAPN!$S$34</c:f>
                  <c:strCache>
                    <c:ptCount val="1"/>
                    <c:pt idx="0">
                      <c:v>33.7%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{46EBBAC2-3586-4E68-A2AB-5EA43183EB8E}</c15:txfldGUID>
                      <c15:f>SAPN!$S$34</c15:f>
                      <c15:dlblFieldTableCache>
                        <c:ptCount val="1"/>
                        <c:pt idx="0">
                          <c:v>33.7%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0EB-41BD-8EC4-3BAD3480799F}"/>
                </c:ext>
              </c:extLst>
            </c:dLbl>
            <c:dLbl>
              <c:idx val="1"/>
              <c:tx>
                <c:strRef>
                  <c:f>SAPN!$X$34</c:f>
                  <c:strCache>
                    <c:ptCount val="1"/>
                    <c:pt idx="0">
                      <c:v>44.9%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{39E853FA-16B7-4EDB-BDA9-78DCA4CA29B5}</c15:txfldGUID>
                      <c15:f>SAPN!$X$34</c15:f>
                      <c15:dlblFieldTableCache>
                        <c:ptCount val="1"/>
                        <c:pt idx="0">
                          <c:v>44.9%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0EB-41BD-8EC4-3BAD34807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(SAPN!$R$34,SAPN!$W$34)</c:f>
              <c:numCache>
                <c:formatCode>#,##0.00</c:formatCode>
                <c:ptCount val="2"/>
                <c:pt idx="0">
                  <c:v>767.09819999999991</c:v>
                </c:pt>
                <c:pt idx="1">
                  <c:v>1240.3907999999999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EB-41BD-8EC4-3BAD3480799F}"/>
            </c:ext>
          </c:extLst>
        </c:ser>
        <c:ser>
          <c:idx val="2"/>
          <c:order val="2"/>
          <c:tx>
            <c:strRef>
              <c:f>SAPN!$F$35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SAPN!$S$35</c:f>
                  <c:strCache>
                    <c:ptCount val="1"/>
                    <c:pt idx="0">
                      <c:v>5.9%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{D29EA1A5-0EB6-444F-B336-21607B7FA116}</c15:txfldGUID>
                      <c15:f>SAPN!$S$35</c15:f>
                      <c15:dlblFieldTableCache>
                        <c:ptCount val="1"/>
                        <c:pt idx="0">
                          <c:v>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0EB-41BD-8EC4-3BAD3480799F}"/>
                </c:ext>
              </c:extLst>
            </c:dLbl>
            <c:dLbl>
              <c:idx val="1"/>
              <c:tx>
                <c:strRef>
                  <c:f>SAPN!$X$35</c:f>
                  <c:strCache>
                    <c:ptCount val="1"/>
                    <c:pt idx="0">
                      <c:v>4.4%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{B6DB0563-1A07-4BB8-9E91-52331EC3081F}</c15:txfldGUID>
                      <c15:f>SAPN!$X$35</c15:f>
                      <c15:dlblFieldTableCache>
                        <c:ptCount val="1"/>
                        <c:pt idx="0">
                          <c:v>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0EB-41BD-8EC4-3BAD34807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(SAPN!$R$35,SAPN!$W$35)</c:f>
              <c:numCache>
                <c:formatCode>#,##0.00</c:formatCode>
                <c:ptCount val="2"/>
                <c:pt idx="0">
                  <c:v>134.50800000000001</c:v>
                </c:pt>
                <c:pt idx="1">
                  <c:v>120.64800000000001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EB-41BD-8EC4-3BAD3480799F}"/>
            </c:ext>
          </c:extLst>
        </c:ser>
        <c:ser>
          <c:idx val="3"/>
          <c:order val="3"/>
          <c:tx>
            <c:strRef>
              <c:f>SAPN!$F$36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C6CAABB-84C7-4B14-8A80-3102F1BBFB11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0EB-41BD-8EC4-3BAD348079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0E064F-7869-41DC-BEF0-FA49C2A4875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0EB-41BD-8EC4-3BAD34807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(SAPN!$R$36,SAPN!$W$36)</c:f>
              <c:numCache>
                <c:formatCode>#,##0.00</c:formatCode>
                <c:ptCount val="2"/>
                <c:pt idx="0">
                  <c:v>221.39109961520896</c:v>
                </c:pt>
                <c:pt idx="1">
                  <c:v>213.4955433565388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(SAPN!$S$36,SAPN!$X$36)</c15:f>
                <c15:dlblRangeCache>
                  <c:ptCount val="2"/>
                  <c:pt idx="0">
                    <c:v>9.7%</c:v>
                  </c:pt>
                  <c:pt idx="1">
                    <c:v>7.7%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0EB-41BD-8EC4-3BAD3480799F}"/>
            </c:ext>
          </c:extLst>
        </c:ser>
        <c:ser>
          <c:idx val="5"/>
          <c:order val="4"/>
          <c:tx>
            <c:strRef>
              <c:f>SAPN!$F$37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A98064F-9D62-478D-8307-2CB1B44806B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0EB-41BD-8EC4-3BAD348079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7A22D72-0993-4643-B0C7-2B9D4358C2A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0EB-41BD-8EC4-3BAD34807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(SAPN!$R$37,SAPN!$W$37)</c:f>
              <c:numCache>
                <c:formatCode>#,##0.00</c:formatCode>
                <c:ptCount val="2"/>
                <c:pt idx="0">
                  <c:v>136.52911912437503</c:v>
                </c:pt>
                <c:pt idx="1">
                  <c:v>165.58369849509836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(SAPN!$S$37,SAPN!$X$37)</c15:f>
                <c15:dlblRangeCache>
                  <c:ptCount val="2"/>
                  <c:pt idx="0">
                    <c:v>6.0%</c:v>
                  </c:pt>
                  <c:pt idx="1">
                    <c:v>6.0%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90EB-41BD-8EC4-3BAD3480799F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(SAPN!$Q$32,SAPN!$Q$38)</c:f>
              <c:numCache>
                <c:formatCode>#,##0.00</c:formatCode>
                <c:ptCount val="2"/>
                <c:pt idx="0">
                  <c:v>2275</c:v>
                </c:pt>
                <c:pt idx="1">
                  <c:v>2759.7283082516369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0EB-41BD-8EC4-3BAD3480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9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SAPN!$C$3</c:f>
          <c:strCache>
            <c:ptCount val="1"/>
            <c:pt idx="0">
              <c:v>SAPN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SAPN!$F$33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SAPN!$J$33</c:f>
                  <c:strCache>
                    <c:ptCount val="1"/>
                    <c:pt idx="0">
                      <c:v>44.9%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{D82A39A4-5AE8-4395-AC0D-45398C5FC691}</c15:txfldGUID>
                      <c15:f>SAPN!$J$33</c15:f>
                      <c15:dlblFieldTableCache>
                        <c:ptCount val="1"/>
                        <c:pt idx="0">
                          <c:v>44.9%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92F-4E76-80DC-23EEAB2C7FC9}"/>
                </c:ext>
              </c:extLst>
            </c:dLbl>
            <c:dLbl>
              <c:idx val="1"/>
              <c:tx>
                <c:strRef>
                  <c:f>SAPN!$O$33</c:f>
                  <c:strCache>
                    <c:ptCount val="1"/>
                    <c:pt idx="0">
                      <c:v>37.0%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{2C4AF199-628B-47EA-B0B8-E3CEBC447C16}</c15:txfldGUID>
                      <c15:f>SAPN!$O$33</c15:f>
                      <c15:dlblFieldTableCache>
                        <c:ptCount val="1"/>
                        <c:pt idx="0">
                          <c:v>37.0%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92F-4E76-80DC-23EEAB2C7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(SAPN!$I$33,SAPN!$N$33)</c:f>
              <c:numCache>
                <c:formatCode>#,##0.00</c:formatCode>
                <c:ptCount val="2"/>
                <c:pt idx="0">
                  <c:v>826.75890000000004</c:v>
                </c:pt>
                <c:pt idx="1">
                  <c:v>830.11724399999969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F-4E76-80DC-23EEAB2C7FC9}"/>
            </c:ext>
          </c:extLst>
        </c:ser>
        <c:ser>
          <c:idx val="1"/>
          <c:order val="1"/>
          <c:tx>
            <c:strRef>
              <c:f>SAPN!$F$34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SAPN!$J$34</c:f>
                  <c:strCache>
                    <c:ptCount val="1"/>
                    <c:pt idx="0">
                      <c:v>32.2%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{70CFB69D-8CA9-4BDE-907D-88DA220C014E}</c15:txfldGUID>
                      <c15:f>SAPN!$J$34</c15:f>
                      <c15:dlblFieldTableCache>
                        <c:ptCount val="1"/>
                        <c:pt idx="0">
                          <c:v>32.2%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92F-4E76-80DC-23EEAB2C7FC9}"/>
                </c:ext>
              </c:extLst>
            </c:dLbl>
            <c:dLbl>
              <c:idx val="1"/>
              <c:tx>
                <c:strRef>
                  <c:f>SAPN!$O$34</c:f>
                  <c:strCache>
                    <c:ptCount val="1"/>
                    <c:pt idx="0">
                      <c:v>43.8%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{EE748C95-8378-490B-9A95-5AE14DB511DE}</c15:txfldGUID>
                      <c15:f>SAPN!$O$34</c15:f>
                      <c15:dlblFieldTableCache>
                        <c:ptCount val="1"/>
                        <c:pt idx="0">
                          <c:v>43.8%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92F-4E76-80DC-23EEAB2C7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(SAPN!$I$34,SAPN!$N$34)</c:f>
              <c:numCache>
                <c:formatCode>#,##0.00</c:formatCode>
                <c:ptCount val="2"/>
                <c:pt idx="0">
                  <c:v>591.93200000000002</c:v>
                </c:pt>
                <c:pt idx="1">
                  <c:v>982.60799999999995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F-4E76-80DC-23EEAB2C7FC9}"/>
            </c:ext>
          </c:extLst>
        </c:ser>
        <c:ser>
          <c:idx val="2"/>
          <c:order val="2"/>
          <c:tx>
            <c:strRef>
              <c:f>SAPN!$F$35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SAPN!$J$35</c:f>
                  <c:strCache>
                    <c:ptCount val="1"/>
                    <c:pt idx="0">
                      <c:v>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{27917A18-014B-4AF7-AC79-BA793C1532DB}</c15:txfldGUID>
                      <c15:f>SAPN!$J$35</c15:f>
                      <c15:dlblFieldTableCache>
                        <c:ptCount val="1"/>
                        <c:pt idx="0">
                          <c:v>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92F-4E76-80DC-23EEAB2C7FC9}"/>
                </c:ext>
              </c:extLst>
            </c:dLbl>
            <c:dLbl>
              <c:idx val="1"/>
              <c:tx>
                <c:strRef>
                  <c:f>SAPN!$O$35</c:f>
                  <c:strCache>
                    <c:ptCount val="1"/>
                    <c:pt idx="0">
                      <c:v>3.6%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{81FC0E0D-0F7D-4F0E-98B9-FA0AEF8C19E2}</c15:txfldGUID>
                      <c15:f>SAPN!$O$35</c15:f>
                      <c15:dlblFieldTableCache>
                        <c:ptCount val="1"/>
                        <c:pt idx="0">
                          <c:v>3.6%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92F-4E76-80DC-23EEAB2C7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(SAPN!$I$35,SAPN!$N$35)</c:f>
              <c:numCache>
                <c:formatCode>#,##0.00</c:formatCode>
                <c:ptCount val="2"/>
                <c:pt idx="0">
                  <c:v>89.671999999999997</c:v>
                </c:pt>
                <c:pt idx="1">
                  <c:v>80.432000000000002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2F-4E76-80DC-23EEAB2C7FC9}"/>
            </c:ext>
          </c:extLst>
        </c:ser>
        <c:ser>
          <c:idx val="3"/>
          <c:order val="3"/>
          <c:tx>
            <c:strRef>
              <c:f>SAPN!$F$36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F905AF5-84A1-44E1-99D0-6A3AAF022A4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92F-4E76-80DC-23EEAB2C7F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0C09B9-297A-481B-8835-35D2FB60B66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92F-4E76-80DC-23EEAB2C7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(SAPN!$I$36,SAPN!$N$36)</c:f>
              <c:numCache>
                <c:formatCode>#,##0.00</c:formatCode>
                <c:ptCount val="2"/>
                <c:pt idx="0">
                  <c:v>221.39109961520896</c:v>
                </c:pt>
                <c:pt idx="1">
                  <c:v>213.4955433565388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(SAPN!$J$36,SAPN!$O$36)</c15:f>
                <c15:dlblRangeCache>
                  <c:ptCount val="2"/>
                  <c:pt idx="0">
                    <c:v>12.0%</c:v>
                  </c:pt>
                  <c:pt idx="1">
                    <c:v>9.5%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792F-4E76-80DC-23EEAB2C7FC9}"/>
            </c:ext>
          </c:extLst>
        </c:ser>
        <c:ser>
          <c:idx val="5"/>
          <c:order val="4"/>
          <c:tx>
            <c:strRef>
              <c:f>SAPN!$F$37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B344411-B7BE-4918-803D-6335FE1154A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92F-4E76-80DC-23EEAB2C7F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C92D032-625E-4770-BF9E-2698DB467FC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92F-4E76-80DC-23EEAB2C7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(SAPN!$I$37,SAPN!$N$37)</c:f>
              <c:numCache>
                <c:formatCode>#,##0.00</c:formatCode>
                <c:ptCount val="2"/>
                <c:pt idx="0">
                  <c:v>110.4098297626731</c:v>
                </c:pt>
                <c:pt idx="1">
                  <c:v>134.46719919297084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(SAPN!$J$37,SAPN!$O$37)</c15:f>
                <c15:dlblRangeCache>
                  <c:ptCount val="2"/>
                  <c:pt idx="0">
                    <c:v>6.0%</c:v>
                  </c:pt>
                  <c:pt idx="1">
                    <c:v>6.0%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792F-4E76-80DC-23EEAB2C7FC9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(SAPN!$H$32,SAPN!$H$38)</c:f>
              <c:numCache>
                <c:formatCode>#,##0.00</c:formatCode>
                <c:ptCount val="2"/>
                <c:pt idx="0">
                  <c:v>1840</c:v>
                </c:pt>
                <c:pt idx="1">
                  <c:v>2241.1199865495096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92F-4E76-80DC-23EEAB2C7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3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SAPN!$E$3</c:f>
          <c:strCache>
            <c:ptCount val="1"/>
            <c:pt idx="0">
              <c:v>SAPN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SAPN!$F$33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SAPN!$AB$33</c:f>
                  <c:strCache>
                    <c:ptCount val="1"/>
                    <c:pt idx="0">
                      <c:v>42.5%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{51193F74-8D75-4DE7-93BB-A427D4D34866}</c15:txfldGUID>
                      <c15:f>SAPN!$AB$33</c15:f>
                      <c15:dlblFieldTableCache>
                        <c:ptCount val="1"/>
                        <c:pt idx="0">
                          <c:v>42.5%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7C4-43E9-83C1-5A4B374DAC85}"/>
                </c:ext>
              </c:extLst>
            </c:dLbl>
            <c:dLbl>
              <c:idx val="1"/>
              <c:tx>
                <c:strRef>
                  <c:f>SAPN!$AG$33</c:f>
                  <c:strCache>
                    <c:ptCount val="1"/>
                    <c:pt idx="0">
                      <c:v>34.4%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{E78B8E47-801A-4EBA-8BFA-33FF5DDED27B}</c15:txfldGUID>
                      <c15:f>SAPN!$AG$33</c15:f>
                      <c15:dlblFieldTableCache>
                        <c:ptCount val="1"/>
                        <c:pt idx="0">
                          <c:v>34.4%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7C4-43E9-83C1-5A4B374DA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(SAPN!$AA$29,SAPN!$AD$29)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(SAPN!$AA$33,SAPN!$AF$33)</c:f>
              <c:numCache>
                <c:formatCode>#,##0.00</c:formatCode>
                <c:ptCount val="2"/>
                <c:pt idx="0">
                  <c:v>1930.4626000000003</c:v>
                </c:pt>
                <c:pt idx="1">
                  <c:v>1959.1833808797571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4-43E9-83C1-5A4B374DAC85}"/>
            </c:ext>
          </c:extLst>
        </c:ser>
        <c:ser>
          <c:idx val="1"/>
          <c:order val="1"/>
          <c:tx>
            <c:strRef>
              <c:f>SAPN!$F$34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SAPN!$AB$34</c:f>
                  <c:strCache>
                    <c:ptCount val="1"/>
                    <c:pt idx="0">
                      <c:v>32.6%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{E871250F-C80C-4E14-B2D3-064D6060DDD6}</c15:txfldGUID>
                      <c15:f>SAPN!$AB$34</c15:f>
                      <c15:dlblFieldTableCache>
                        <c:ptCount val="1"/>
                        <c:pt idx="0">
                          <c:v>32.6%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7C4-43E9-83C1-5A4B374DAC85}"/>
                </c:ext>
              </c:extLst>
            </c:dLbl>
            <c:dLbl>
              <c:idx val="1"/>
              <c:tx>
                <c:strRef>
                  <c:f>SAPN!$AG$34</c:f>
                  <c:strCache>
                    <c:ptCount val="1"/>
                    <c:pt idx="0">
                      <c:v>43.2%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{FBA23FFA-E217-44CA-9790-F6D7C15E11E2}</c15:txfldGUID>
                      <c15:f>SAPN!$AG$34</c15:f>
                      <c15:dlblFieldTableCache>
                        <c:ptCount val="1"/>
                        <c:pt idx="0">
                          <c:v>43.2%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7C4-43E9-83C1-5A4B374DA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(SAPN!$AA$29,SAPN!$AD$29)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(SAPN!$AA$34,SAPN!$AF$34)</c:f>
              <c:numCache>
                <c:formatCode>#,##0.00</c:formatCode>
                <c:ptCount val="2"/>
                <c:pt idx="0">
                  <c:v>1479.83</c:v>
                </c:pt>
                <c:pt idx="1">
                  <c:v>2456.52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C4-43E9-83C1-5A4B374DAC85}"/>
            </c:ext>
          </c:extLst>
        </c:ser>
        <c:ser>
          <c:idx val="2"/>
          <c:order val="2"/>
          <c:tx>
            <c:strRef>
              <c:f>SAPN!$F$35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SAPN!$AB$35</c:f>
                  <c:strCache>
                    <c:ptCount val="1"/>
                    <c:pt idx="0">
                      <c:v>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{1C0B3044-079E-4160-BFAA-078E9D118556}</c15:txfldGUID>
                      <c15:f>SAPN!$AB$35</c15:f>
                      <c15:dlblFieldTableCache>
                        <c:ptCount val="1"/>
                        <c:pt idx="0">
                          <c:v>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7C4-43E9-83C1-5A4B374DAC85}"/>
                </c:ext>
              </c:extLst>
            </c:dLbl>
            <c:dLbl>
              <c:idx val="1"/>
              <c:tx>
                <c:strRef>
                  <c:f>SAPN!$AG$35</c:f>
                  <c:strCache>
                    <c:ptCount val="1"/>
                    <c:pt idx="0">
                      <c:v>3.5%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{0941D0C7-F09D-4A14-A997-50EE0D9FEEF2}</c15:txfldGUID>
                      <c15:f>SAPN!$AG$35</c15:f>
                      <c15:dlblFieldTableCache>
                        <c:ptCount val="1"/>
                        <c:pt idx="0">
                          <c:v>3.5%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7C4-43E9-83C1-5A4B374DA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(SAPN!$AA$29,SAPN!$AD$29)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(SAPN!$AA$35,SAPN!$AF$35)</c:f>
              <c:numCache>
                <c:formatCode>#,##0.00</c:formatCode>
                <c:ptCount val="2"/>
                <c:pt idx="0">
                  <c:v>224.18</c:v>
                </c:pt>
                <c:pt idx="1">
                  <c:v>201.08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C4-43E9-83C1-5A4B374DAC85}"/>
            </c:ext>
          </c:extLst>
        </c:ser>
        <c:ser>
          <c:idx val="3"/>
          <c:order val="3"/>
          <c:tx>
            <c:strRef>
              <c:f>SAPN!$F$36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810C240-2497-48D3-A6D1-2A11016D5517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7C4-43E9-83C1-5A4B374DA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74C949-7053-4090-9C17-557EF6AA84A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7C4-43E9-83C1-5A4B374DA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(SAPN!$AA$29,SAPN!$AD$29)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(SAPN!$AA$36,SAPN!$AF$36)</c:f>
              <c:numCache>
                <c:formatCode>#,##0.00</c:formatCode>
                <c:ptCount val="2"/>
                <c:pt idx="0">
                  <c:v>223.44779574020896</c:v>
                </c:pt>
                <c:pt idx="1">
                  <c:v>219.68236841419636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(SAPN!$AB$36,SAPN!$AG$36)</c15:f>
                <c15:dlblRangeCache>
                  <c:ptCount val="2"/>
                  <c:pt idx="0">
                    <c:v>4.9%</c:v>
                  </c:pt>
                  <c:pt idx="1">
                    <c:v>3.9%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7C4-43E9-83C1-5A4B374DAC85}"/>
            </c:ext>
          </c:extLst>
        </c:ser>
        <c:ser>
          <c:idx val="5"/>
          <c:order val="4"/>
          <c:tx>
            <c:strRef>
              <c:f>SAPN!$F$37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EFF7984-0480-4946-BD67-97395F50C47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7C4-43E9-83C1-5A4B374DA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40573AF-B753-4364-973D-12B23EE6E75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7C4-43E9-83C1-5A4B374DA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(SAPN!$AA$37,SAPN!$AF$37)</c:f>
              <c:numCache>
                <c:formatCode>#,##0.00</c:formatCode>
                <c:ptCount val="2"/>
                <c:pt idx="0">
                  <c:v>680.80948160121307</c:v>
                </c:pt>
                <c:pt idx="1">
                  <c:v>853.49395575775634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(SAPN!$AB$37,SAPN!$AG$37)</c15:f>
                <c15:dlblRangeCache>
                  <c:ptCount val="2"/>
                  <c:pt idx="0">
                    <c:v>15.0%</c:v>
                  </c:pt>
                  <c:pt idx="1">
                    <c:v>15.0%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17C4-43E9-83C1-5A4B374DAC85}"/>
            </c:ext>
          </c:extLst>
        </c:ser>
        <c:ser>
          <c:idx val="4"/>
          <c:order val="5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(SAPN!$AA$29,SAPN!$AD$29)</c:f>
              <c:strCache>
                <c:ptCount val="2"/>
                <c:pt idx="0">
                  <c:v>2022-23</c:v>
                </c:pt>
                <c:pt idx="1">
                  <c:v>2023-24</c:v>
                </c:pt>
              </c:strCache>
            </c:strRef>
          </c:cat>
          <c:val>
            <c:numRef>
              <c:f>(SAPN!$Z$32,SAPN!$Z$38)</c:f>
              <c:numCache>
                <c:formatCode>#,##0.00</c:formatCode>
                <c:ptCount val="2"/>
                <c:pt idx="0">
                  <c:v>4539</c:v>
                </c:pt>
                <c:pt idx="1">
                  <c:v>5689.9597050517095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C4-43E9-83C1-5A4B374DA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8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Energex!A1"/><Relationship Id="rId13" Type="http://schemas.openxmlformats.org/officeDocument/2006/relationships/hyperlink" Target="#'Res w CL'!A1"/><Relationship Id="rId3" Type="http://schemas.openxmlformats.org/officeDocument/2006/relationships/hyperlink" Target="#'Wholesale cost'!A1"/><Relationship Id="rId7" Type="http://schemas.openxmlformats.org/officeDocument/2006/relationships/hyperlink" Target="#Essential!A1"/><Relationship Id="rId12" Type="http://schemas.openxmlformats.org/officeDocument/2006/relationships/hyperlink" Target="#'Res wo CL'!A1"/><Relationship Id="rId2" Type="http://schemas.openxmlformats.org/officeDocument/2006/relationships/hyperlink" Target="#'Network cost'!A1"/><Relationship Id="rId16" Type="http://schemas.openxmlformats.org/officeDocument/2006/relationships/hyperlink" Target="#'Retail cost'!A1"/><Relationship Id="rId1" Type="http://schemas.openxmlformats.org/officeDocument/2006/relationships/hyperlink" Target="#'Detail inputs'!A1"/><Relationship Id="rId6" Type="http://schemas.openxmlformats.org/officeDocument/2006/relationships/hyperlink" Target="#Endeavour!A1"/><Relationship Id="rId11" Type="http://schemas.openxmlformats.org/officeDocument/2006/relationships/hyperlink" Target="#Summary!A1"/><Relationship Id="rId5" Type="http://schemas.openxmlformats.org/officeDocument/2006/relationships/hyperlink" Target="#Ausgrid!A1"/><Relationship Id="rId15" Type="http://schemas.openxmlformats.org/officeDocument/2006/relationships/hyperlink" Target="#'Key inputs'!A1"/><Relationship Id="rId10" Type="http://schemas.openxmlformats.org/officeDocument/2006/relationships/hyperlink" Target="#Usage!A1"/><Relationship Id="rId4" Type="http://schemas.openxmlformats.org/officeDocument/2006/relationships/hyperlink" Target="#'Environmental cost'!A1"/><Relationship Id="rId9" Type="http://schemas.openxmlformats.org/officeDocument/2006/relationships/hyperlink" Target="#SAPN!A1"/><Relationship Id="rId14" Type="http://schemas.openxmlformats.org/officeDocument/2006/relationships/hyperlink" Target="#'SB wo C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230937</xdr:rowOff>
    </xdr:from>
    <xdr:to>
      <xdr:col>3</xdr:col>
      <xdr:colOff>179802</xdr:colOff>
      <xdr:row>13</xdr:row>
      <xdr:rowOff>172248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96340" y="3103677"/>
          <a:ext cx="1147542" cy="573771"/>
        </a:xfrm>
        <a:prstGeom prst="rect">
          <a:avLst/>
        </a:prstGeom>
        <a:solidFill>
          <a:schemeClr val="bg1">
            <a:lumMod val="8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Detail inputs</a:t>
          </a:r>
        </a:p>
      </xdr:txBody>
    </xdr:sp>
    <xdr:clientData/>
  </xdr:twoCellAnchor>
  <xdr:twoCellAnchor>
    <xdr:from>
      <xdr:col>3</xdr:col>
      <xdr:colOff>1199839</xdr:colOff>
      <xdr:row>8</xdr:row>
      <xdr:rowOff>250000</xdr:rowOff>
    </xdr:from>
    <xdr:to>
      <xdr:col>4</xdr:col>
      <xdr:colOff>922441</xdr:colOff>
      <xdr:row>10</xdr:row>
      <xdr:rowOff>191311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295339" y="2116900"/>
          <a:ext cx="1113252" cy="56996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Network cost</a:t>
          </a:r>
        </a:p>
      </xdr:txBody>
    </xdr:sp>
    <xdr:clientData/>
  </xdr:twoCellAnchor>
  <xdr:twoCellAnchor>
    <xdr:from>
      <xdr:col>3</xdr:col>
      <xdr:colOff>1199839</xdr:colOff>
      <xdr:row>10</xdr:row>
      <xdr:rowOff>288992</xdr:rowOff>
    </xdr:from>
    <xdr:to>
      <xdr:col>4</xdr:col>
      <xdr:colOff>922441</xdr:colOff>
      <xdr:row>12</xdr:row>
      <xdr:rowOff>230303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295339" y="2784542"/>
          <a:ext cx="1113252" cy="56996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200" b="1" kern="0">
              <a:solidFill>
                <a:schemeClr val="bg1"/>
              </a:solidFill>
              <a:latin typeface="Calibri" panose="020F0502020204030204"/>
            </a:rPr>
            <a:t>Wholesale cost</a:t>
          </a:r>
          <a:endParaRPr kumimoji="0" lang="en-AU" sz="1200" b="1" i="0" u="none" strike="noStrike" kern="0" cap="none" spc="0" normalizeH="0" baseline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1199839</xdr:colOff>
      <xdr:row>12</xdr:row>
      <xdr:rowOff>332071</xdr:rowOff>
    </xdr:from>
    <xdr:to>
      <xdr:col>4</xdr:col>
      <xdr:colOff>922441</xdr:colOff>
      <xdr:row>15</xdr:row>
      <xdr:rowOff>105742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295339" y="3456271"/>
          <a:ext cx="1113252" cy="59282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Environmental cost</a:t>
          </a:r>
        </a:p>
      </xdr:txBody>
    </xdr:sp>
    <xdr:clientData/>
  </xdr:twoCellAnchor>
  <xdr:twoCellAnchor>
    <xdr:from>
      <xdr:col>5</xdr:col>
      <xdr:colOff>581290</xdr:colOff>
      <xdr:row>7</xdr:row>
      <xdr:rowOff>99059</xdr:rowOff>
    </xdr:from>
    <xdr:to>
      <xdr:col>6</xdr:col>
      <xdr:colOff>303892</xdr:colOff>
      <xdr:row>9</xdr:row>
      <xdr:rowOff>55610</xdr:rowOff>
    </xdr:to>
    <xdr:sp macro="" textlink="">
      <xdr:nvSpPr>
        <xdr:cNvPr id="6" name="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580010" y="1706879"/>
          <a:ext cx="1139922" cy="58901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Ausgrid</a:t>
          </a:r>
        </a:p>
      </xdr:txBody>
    </xdr:sp>
    <xdr:clientData/>
  </xdr:twoCellAnchor>
  <xdr:twoCellAnchor>
    <xdr:from>
      <xdr:col>5</xdr:col>
      <xdr:colOff>581290</xdr:colOff>
      <xdr:row>9</xdr:row>
      <xdr:rowOff>157378</xdr:rowOff>
    </xdr:from>
    <xdr:to>
      <xdr:col>6</xdr:col>
      <xdr:colOff>303892</xdr:colOff>
      <xdr:row>11</xdr:row>
      <xdr:rowOff>98689</xdr:rowOff>
    </xdr:to>
    <xdr:sp macro="" textlink="">
      <xdr:nvSpPr>
        <xdr:cNvPr id="7" name="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580010" y="2397658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Endeavour</a:t>
          </a:r>
        </a:p>
      </xdr:txBody>
    </xdr:sp>
    <xdr:clientData/>
  </xdr:twoCellAnchor>
  <xdr:twoCellAnchor>
    <xdr:from>
      <xdr:col>5</xdr:col>
      <xdr:colOff>581290</xdr:colOff>
      <xdr:row>11</xdr:row>
      <xdr:rowOff>200457</xdr:rowOff>
    </xdr:from>
    <xdr:to>
      <xdr:col>6</xdr:col>
      <xdr:colOff>303892</xdr:colOff>
      <xdr:row>13</xdr:row>
      <xdr:rowOff>141768</xdr:rowOff>
    </xdr:to>
    <xdr:sp macro="" textlink="">
      <xdr:nvSpPr>
        <xdr:cNvPr id="8" name="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580010" y="3073197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Essential</a:t>
          </a:r>
        </a:p>
      </xdr:txBody>
    </xdr:sp>
    <xdr:clientData/>
  </xdr:twoCellAnchor>
  <xdr:twoCellAnchor>
    <xdr:from>
      <xdr:col>5</xdr:col>
      <xdr:colOff>581290</xdr:colOff>
      <xdr:row>13</xdr:row>
      <xdr:rowOff>242259</xdr:rowOff>
    </xdr:from>
    <xdr:to>
      <xdr:col>6</xdr:col>
      <xdr:colOff>303892</xdr:colOff>
      <xdr:row>17</xdr:row>
      <xdr:rowOff>15930</xdr:rowOff>
    </xdr:to>
    <xdr:sp macro="" textlink="">
      <xdr:nvSpPr>
        <xdr:cNvPr id="9" name="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580010" y="3747459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Energex</a:t>
          </a:r>
        </a:p>
      </xdr:txBody>
    </xdr:sp>
    <xdr:clientData/>
  </xdr:twoCellAnchor>
  <xdr:twoCellAnchor>
    <xdr:from>
      <xdr:col>5</xdr:col>
      <xdr:colOff>581290</xdr:colOff>
      <xdr:row>17</xdr:row>
      <xdr:rowOff>113611</xdr:rowOff>
    </xdr:from>
    <xdr:to>
      <xdr:col>6</xdr:col>
      <xdr:colOff>303892</xdr:colOff>
      <xdr:row>20</xdr:row>
      <xdr:rowOff>138742</xdr:rowOff>
    </xdr:to>
    <xdr:sp macro="" textlink="">
      <xdr:nvSpPr>
        <xdr:cNvPr id="10" name="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80010" y="4418911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SAPN</a:t>
          </a:r>
        </a:p>
      </xdr:txBody>
    </xdr:sp>
    <xdr:clientData/>
  </xdr:twoCellAnchor>
  <xdr:twoCellAnchor>
    <xdr:from>
      <xdr:col>3</xdr:col>
      <xdr:colOff>179802</xdr:colOff>
      <xdr:row>9</xdr:row>
      <xdr:rowOff>153981</xdr:rowOff>
    </xdr:from>
    <xdr:to>
      <xdr:col>3</xdr:col>
      <xdr:colOff>1199839</xdr:colOff>
      <xdr:row>12</xdr:row>
      <xdr:rowOff>268268</xdr:rowOff>
    </xdr:to>
    <xdr:cxnSp macro="">
      <xdr:nvCxnSpPr>
        <xdr:cNvPr id="11" name="Elbow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2275302" y="2401881"/>
          <a:ext cx="1020037" cy="99058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179802</xdr:colOff>
      <xdr:row>12</xdr:row>
      <xdr:rowOff>268268</xdr:rowOff>
    </xdr:from>
    <xdr:to>
      <xdr:col>3</xdr:col>
      <xdr:colOff>1199839</xdr:colOff>
      <xdr:row>13</xdr:row>
      <xdr:rowOff>247482</xdr:rowOff>
    </xdr:to>
    <xdr:cxnSp macro="">
      <xdr:nvCxnSpPr>
        <xdr:cNvPr id="12" name="Elbow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stCxn id="2" idx="3"/>
          <a:endCxn id="5" idx="1"/>
        </xdr:cNvCxnSpPr>
      </xdr:nvCxnSpPr>
      <xdr:spPr>
        <a:xfrm>
          <a:off x="2275302" y="3392468"/>
          <a:ext cx="1020037" cy="36021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179802</xdr:colOff>
      <xdr:row>11</xdr:row>
      <xdr:rowOff>192973</xdr:rowOff>
    </xdr:from>
    <xdr:to>
      <xdr:col>3</xdr:col>
      <xdr:colOff>1199839</xdr:colOff>
      <xdr:row>12</xdr:row>
      <xdr:rowOff>268268</xdr:rowOff>
    </xdr:to>
    <xdr:cxnSp macro="">
      <xdr:nvCxnSpPr>
        <xdr:cNvPr id="13" name="Elbow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stCxn id="2" idx="3"/>
          <a:endCxn id="4" idx="1"/>
        </xdr:cNvCxnSpPr>
      </xdr:nvCxnSpPr>
      <xdr:spPr>
        <a:xfrm flipV="1">
          <a:off x="2275302" y="3069523"/>
          <a:ext cx="1020037" cy="322945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11</xdr:row>
      <xdr:rowOff>192973</xdr:rowOff>
    </xdr:from>
    <xdr:to>
      <xdr:col>5</xdr:col>
      <xdr:colOff>581290</xdr:colOff>
      <xdr:row>19</xdr:row>
      <xdr:rowOff>30927</xdr:rowOff>
    </xdr:to>
    <xdr:cxnSp macro="">
      <xdr:nvCxnSpPr>
        <xdr:cNvPr id="14" name="Elbow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stCxn id="4" idx="3"/>
          <a:endCxn id="10" idx="1"/>
        </xdr:cNvCxnSpPr>
      </xdr:nvCxnSpPr>
      <xdr:spPr>
        <a:xfrm>
          <a:off x="4408591" y="3069523"/>
          <a:ext cx="1049499" cy="166675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11</xdr:row>
      <xdr:rowOff>192973</xdr:rowOff>
    </xdr:from>
    <xdr:to>
      <xdr:col>5</xdr:col>
      <xdr:colOff>581290</xdr:colOff>
      <xdr:row>15</xdr:row>
      <xdr:rowOff>100520</xdr:rowOff>
    </xdr:to>
    <xdr:cxnSp macro="">
      <xdr:nvCxnSpPr>
        <xdr:cNvPr id="15" name="Elbow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stCxn id="4" idx="3"/>
          <a:endCxn id="9" idx="1"/>
        </xdr:cNvCxnSpPr>
      </xdr:nvCxnSpPr>
      <xdr:spPr>
        <a:xfrm>
          <a:off x="4408591" y="3069523"/>
          <a:ext cx="1049499" cy="97434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8</xdr:row>
      <xdr:rowOff>144010</xdr:rowOff>
    </xdr:from>
    <xdr:to>
      <xdr:col>5</xdr:col>
      <xdr:colOff>581290</xdr:colOff>
      <xdr:row>11</xdr:row>
      <xdr:rowOff>192973</xdr:rowOff>
    </xdr:to>
    <xdr:cxnSp macro="">
      <xdr:nvCxnSpPr>
        <xdr:cNvPr id="16" name="Elbow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stCxn id="4" idx="3"/>
          <a:endCxn id="6" idx="1"/>
        </xdr:cNvCxnSpPr>
      </xdr:nvCxnSpPr>
      <xdr:spPr>
        <a:xfrm flipV="1">
          <a:off x="4408591" y="2010910"/>
          <a:ext cx="1049499" cy="1058613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10</xdr:row>
      <xdr:rowOff>194709</xdr:rowOff>
    </xdr:from>
    <xdr:to>
      <xdr:col>5</xdr:col>
      <xdr:colOff>581290</xdr:colOff>
      <xdr:row>11</xdr:row>
      <xdr:rowOff>192973</xdr:rowOff>
    </xdr:to>
    <xdr:cxnSp macro="">
      <xdr:nvCxnSpPr>
        <xdr:cNvPr id="17" name="Elbow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>
          <a:stCxn id="4" idx="3"/>
          <a:endCxn id="7" idx="1"/>
        </xdr:cNvCxnSpPr>
      </xdr:nvCxnSpPr>
      <xdr:spPr>
        <a:xfrm flipV="1">
          <a:off x="4408591" y="2690259"/>
          <a:ext cx="1049499" cy="37926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13</xdr:row>
      <xdr:rowOff>247482</xdr:rowOff>
    </xdr:from>
    <xdr:to>
      <xdr:col>5</xdr:col>
      <xdr:colOff>581290</xdr:colOff>
      <xdr:row>15</xdr:row>
      <xdr:rowOff>100520</xdr:rowOff>
    </xdr:to>
    <xdr:cxnSp macro="">
      <xdr:nvCxnSpPr>
        <xdr:cNvPr id="18" name="Elbow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>
          <a:stCxn id="5" idx="3"/>
          <a:endCxn id="9" idx="1"/>
        </xdr:cNvCxnSpPr>
      </xdr:nvCxnSpPr>
      <xdr:spPr>
        <a:xfrm>
          <a:off x="4408591" y="3752682"/>
          <a:ext cx="1049499" cy="291188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9</xdr:row>
      <xdr:rowOff>153981</xdr:rowOff>
    </xdr:from>
    <xdr:to>
      <xdr:col>5</xdr:col>
      <xdr:colOff>581290</xdr:colOff>
      <xdr:row>12</xdr:row>
      <xdr:rowOff>237788</xdr:rowOff>
    </xdr:to>
    <xdr:cxnSp macro="">
      <xdr:nvCxnSpPr>
        <xdr:cNvPr id="19" name="Elbow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>
          <a:stCxn id="3" idx="3"/>
          <a:endCxn id="8" idx="1"/>
        </xdr:cNvCxnSpPr>
      </xdr:nvCxnSpPr>
      <xdr:spPr>
        <a:xfrm>
          <a:off x="4408591" y="2401881"/>
          <a:ext cx="1049499" cy="96010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303892</xdr:colOff>
      <xdr:row>12</xdr:row>
      <xdr:rowOff>234438</xdr:rowOff>
    </xdr:from>
    <xdr:to>
      <xdr:col>7</xdr:col>
      <xdr:colOff>579121</xdr:colOff>
      <xdr:row>19</xdr:row>
      <xdr:rowOff>34737</xdr:rowOff>
    </xdr:to>
    <xdr:cxnSp macro="">
      <xdr:nvCxnSpPr>
        <xdr:cNvPr id="20" name="Elbow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>
          <a:stCxn id="10" idx="3"/>
          <a:endCxn id="36" idx="1"/>
        </xdr:cNvCxnSpPr>
      </xdr:nvCxnSpPr>
      <xdr:spPr>
        <a:xfrm flipV="1">
          <a:off x="6719932" y="3358638"/>
          <a:ext cx="1098189" cy="1347159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303892</xdr:colOff>
      <xdr:row>8</xdr:row>
      <xdr:rowOff>142105</xdr:rowOff>
    </xdr:from>
    <xdr:to>
      <xdr:col>7</xdr:col>
      <xdr:colOff>579121</xdr:colOff>
      <xdr:row>15</xdr:row>
      <xdr:rowOff>93480</xdr:rowOff>
    </xdr:to>
    <xdr:cxnSp macro="">
      <xdr:nvCxnSpPr>
        <xdr:cNvPr id="21" name="Elbow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>
          <a:stCxn id="6" idx="3"/>
          <a:endCxn id="37" idx="1"/>
        </xdr:cNvCxnSpPr>
      </xdr:nvCxnSpPr>
      <xdr:spPr>
        <a:xfrm>
          <a:off x="6719932" y="2001385"/>
          <a:ext cx="1098189" cy="2031635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80743</xdr:colOff>
      <xdr:row>12</xdr:row>
      <xdr:rowOff>233546</xdr:rowOff>
    </xdr:from>
    <xdr:to>
      <xdr:col>9</xdr:col>
      <xdr:colOff>419100</xdr:colOff>
      <xdr:row>12</xdr:row>
      <xdr:rowOff>234438</xdr:rowOff>
    </xdr:to>
    <xdr:cxnSp macro="">
      <xdr:nvCxnSpPr>
        <xdr:cNvPr id="22" name="Elbow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>
          <a:stCxn id="36" idx="3"/>
          <a:endCxn id="34" idx="1"/>
        </xdr:cNvCxnSpPr>
      </xdr:nvCxnSpPr>
      <xdr:spPr>
        <a:xfrm flipV="1">
          <a:off x="8965663" y="3357746"/>
          <a:ext cx="338357" cy="892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303892</xdr:colOff>
      <xdr:row>10</xdr:row>
      <xdr:rowOff>192804</xdr:rowOff>
    </xdr:from>
    <xdr:to>
      <xdr:col>7</xdr:col>
      <xdr:colOff>579121</xdr:colOff>
      <xdr:row>12</xdr:row>
      <xdr:rowOff>234438</xdr:rowOff>
    </xdr:to>
    <xdr:cxnSp macro="">
      <xdr:nvCxnSpPr>
        <xdr:cNvPr id="23" name="Elbow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>
          <a:stCxn id="7" idx="3"/>
          <a:endCxn id="36" idx="1"/>
        </xdr:cNvCxnSpPr>
      </xdr:nvCxnSpPr>
      <xdr:spPr>
        <a:xfrm>
          <a:off x="6719932" y="2684544"/>
          <a:ext cx="1098189" cy="67409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3499</xdr:colOff>
      <xdr:row>14</xdr:row>
      <xdr:rowOff>21818</xdr:rowOff>
    </xdr:from>
    <xdr:to>
      <xdr:col>3</xdr:col>
      <xdr:colOff>175681</xdr:colOff>
      <xdr:row>17</xdr:row>
      <xdr:rowOff>46949</xdr:rowOff>
    </xdr:to>
    <xdr:sp macro="" textlink="">
      <xdr:nvSpPr>
        <xdr:cNvPr id="24" name="Rectangle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1199839" y="3778478"/>
          <a:ext cx="1139922" cy="573771"/>
        </a:xfrm>
        <a:prstGeom prst="rect">
          <a:avLst/>
        </a:prstGeom>
        <a:solidFill>
          <a:schemeClr val="bg1">
            <a:lumMod val="8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Usage</a:t>
          </a:r>
        </a:p>
      </xdr:txBody>
    </xdr:sp>
    <xdr:clientData/>
  </xdr:twoCellAnchor>
  <xdr:twoCellAnchor>
    <xdr:from>
      <xdr:col>3</xdr:col>
      <xdr:colOff>175681</xdr:colOff>
      <xdr:row>13</xdr:row>
      <xdr:rowOff>247482</xdr:rowOff>
    </xdr:from>
    <xdr:to>
      <xdr:col>3</xdr:col>
      <xdr:colOff>1199839</xdr:colOff>
      <xdr:row>15</xdr:row>
      <xdr:rowOff>129634</xdr:rowOff>
    </xdr:to>
    <xdr:cxnSp macro="">
      <xdr:nvCxnSpPr>
        <xdr:cNvPr id="25" name="Elbow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>
          <a:stCxn id="24" idx="3"/>
          <a:endCxn id="5" idx="1"/>
        </xdr:cNvCxnSpPr>
      </xdr:nvCxnSpPr>
      <xdr:spPr>
        <a:xfrm flipV="1">
          <a:off x="2271181" y="3752682"/>
          <a:ext cx="1024158" cy="320302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656792</xdr:colOff>
      <xdr:row>10</xdr:row>
      <xdr:rowOff>20083</xdr:rowOff>
    </xdr:from>
    <xdr:to>
      <xdr:col>3</xdr:col>
      <xdr:colOff>656792</xdr:colOff>
      <xdr:row>10</xdr:row>
      <xdr:rowOff>20083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820872" y="2511823"/>
          <a:ext cx="0" cy="0"/>
        </a:xfrm>
        <a:prstGeom prst="ellipse">
          <a:avLst/>
        </a:prstGeom>
        <a:solidFill>
          <a:schemeClr val="accent5">
            <a:lumMod val="95000"/>
            <a:lumOff val="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AU" sz="16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303892</xdr:colOff>
      <xdr:row>10</xdr:row>
      <xdr:rowOff>195446</xdr:rowOff>
    </xdr:from>
    <xdr:to>
      <xdr:col>7</xdr:col>
      <xdr:colOff>579121</xdr:colOff>
      <xdr:row>12</xdr:row>
      <xdr:rowOff>235883</xdr:rowOff>
    </xdr:to>
    <xdr:cxnSp macro="">
      <xdr:nvCxnSpPr>
        <xdr:cNvPr id="27" name="Elbow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>
          <a:stCxn id="8" idx="3"/>
          <a:endCxn id="35" idx="1"/>
        </xdr:cNvCxnSpPr>
      </xdr:nvCxnSpPr>
      <xdr:spPr>
        <a:xfrm flipV="1">
          <a:off x="6719932" y="2687186"/>
          <a:ext cx="1098189" cy="67289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12</xdr:row>
      <xdr:rowOff>68580</xdr:rowOff>
    </xdr:from>
    <xdr:to>
      <xdr:col>3</xdr:col>
      <xdr:colOff>731520</xdr:colOff>
      <xdr:row>13</xdr:row>
      <xdr:rowOff>22860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316480" y="3192780"/>
          <a:ext cx="579120" cy="3352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inputs</a:t>
          </a:r>
        </a:p>
      </xdr:txBody>
    </xdr:sp>
    <xdr:clientData/>
  </xdr:twoCellAnchor>
  <xdr:twoCellAnchor>
    <xdr:from>
      <xdr:col>4</xdr:col>
      <xdr:colOff>868680</xdr:colOff>
      <xdr:row>11</xdr:row>
      <xdr:rowOff>36195</xdr:rowOff>
    </xdr:from>
    <xdr:to>
      <xdr:col>5</xdr:col>
      <xdr:colOff>616781</xdr:colOff>
      <xdr:row>12</xdr:row>
      <xdr:rowOff>216783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354830" y="2912745"/>
          <a:ext cx="1138751" cy="428238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components and % change for each zone</a:t>
          </a:r>
        </a:p>
      </xdr:txBody>
    </xdr:sp>
    <xdr:clientData/>
  </xdr:twoCellAnchor>
  <xdr:twoCellAnchor>
    <xdr:from>
      <xdr:col>6</xdr:col>
      <xdr:colOff>289560</xdr:colOff>
      <xdr:row>11</xdr:row>
      <xdr:rowOff>30480</xdr:rowOff>
    </xdr:from>
    <xdr:to>
      <xdr:col>7</xdr:col>
      <xdr:colOff>529656</xdr:colOff>
      <xdr:row>12</xdr:row>
      <xdr:rowOff>211068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6705600" y="2903220"/>
          <a:ext cx="1063056" cy="432048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stacks and changes in underlying costs</a:t>
          </a:r>
        </a:p>
      </xdr:txBody>
    </xdr:sp>
    <xdr:clientData/>
  </xdr:twoCellAnchor>
  <xdr:twoCellAnchor>
    <xdr:from>
      <xdr:col>3</xdr:col>
      <xdr:colOff>150714</xdr:colOff>
      <xdr:row>14</xdr:row>
      <xdr:rowOff>76200</xdr:rowOff>
    </xdr:from>
    <xdr:to>
      <xdr:col>3</xdr:col>
      <xdr:colOff>746760</xdr:colOff>
      <xdr:row>16</xdr:row>
      <xdr:rowOff>142488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314794" y="3832860"/>
          <a:ext cx="596046" cy="432048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Usage inputs</a:t>
          </a:r>
        </a:p>
      </xdr:txBody>
    </xdr:sp>
    <xdr:clientData/>
  </xdr:twoCellAnchor>
  <xdr:twoCellAnchor>
    <xdr:from>
      <xdr:col>3</xdr:col>
      <xdr:colOff>1128502</xdr:colOff>
      <xdr:row>5</xdr:row>
      <xdr:rowOff>67560</xdr:rowOff>
    </xdr:from>
    <xdr:to>
      <xdr:col>4</xdr:col>
      <xdr:colOff>853439</xdr:colOff>
      <xdr:row>6</xdr:row>
      <xdr:rowOff>152400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3292582" y="1042920"/>
          <a:ext cx="1142257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calculations for DMO prices</a:t>
          </a:r>
        </a:p>
      </xdr:txBody>
    </xdr:sp>
    <xdr:clientData/>
  </xdr:twoCellAnchor>
  <xdr:twoCellAnchor>
    <xdr:from>
      <xdr:col>5</xdr:col>
      <xdr:colOff>350520</xdr:colOff>
      <xdr:row>5</xdr:row>
      <xdr:rowOff>44700</xdr:rowOff>
    </xdr:from>
    <xdr:to>
      <xdr:col>6</xdr:col>
      <xdr:colOff>487680</xdr:colOff>
      <xdr:row>6</xdr:row>
      <xdr:rowOff>129540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349240" y="1020060"/>
          <a:ext cx="1554480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Zonal cost assessment to determine DMO prices</a:t>
          </a:r>
        </a:p>
      </xdr:txBody>
    </xdr:sp>
    <xdr:clientData/>
  </xdr:twoCellAnchor>
  <xdr:twoCellAnchor>
    <xdr:from>
      <xdr:col>9</xdr:col>
      <xdr:colOff>419100</xdr:colOff>
      <xdr:row>11</xdr:row>
      <xdr:rowOff>198120</xdr:rowOff>
    </xdr:from>
    <xdr:to>
      <xdr:col>11</xdr:col>
      <xdr:colOff>347442</xdr:colOff>
      <xdr:row>13</xdr:row>
      <xdr:rowOff>139431</xdr:rowOff>
    </xdr:to>
    <xdr:sp macro="" textlink="">
      <xdr:nvSpPr>
        <xdr:cNvPr id="34" name="Rectangle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304020" y="3070860"/>
          <a:ext cx="1147542" cy="573771"/>
        </a:xfrm>
        <a:prstGeom prst="rect">
          <a:avLst/>
        </a:prstGeom>
        <a:solidFill>
          <a:srgbClr val="C14E00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lvl="0" algn="ctr">
            <a:defRPr/>
          </a:pPr>
          <a:r>
            <a:rPr lang="en-AU" sz="1200" b="1" kern="0">
              <a:solidFill>
                <a:sysClr val="window" lastClr="FFFFFF"/>
              </a:solidFill>
              <a:latin typeface="Calibri" panose="020F0502020204030204"/>
            </a:rPr>
            <a:t>Overall summary</a:t>
          </a:r>
        </a:p>
      </xdr:txBody>
    </xdr:sp>
    <xdr:clientData/>
  </xdr:twoCellAnchor>
  <xdr:twoCellAnchor>
    <xdr:from>
      <xdr:col>7</xdr:col>
      <xdr:colOff>579121</xdr:colOff>
      <xdr:row>9</xdr:row>
      <xdr:rowOff>160020</xdr:rowOff>
    </xdr:from>
    <xdr:to>
      <xdr:col>9</xdr:col>
      <xdr:colOff>80743</xdr:colOff>
      <xdr:row>11</xdr:row>
      <xdr:rowOff>101331</xdr:rowOff>
    </xdr:to>
    <xdr:sp macro="" textlink="">
      <xdr:nvSpPr>
        <xdr:cNvPr id="35" name="Rectangle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818121" y="2400300"/>
          <a:ext cx="1147542" cy="573771"/>
        </a:xfrm>
        <a:prstGeom prst="rect">
          <a:avLst/>
        </a:prstGeom>
        <a:solidFill>
          <a:srgbClr val="70303C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Residential </a:t>
          </a:r>
          <a:r>
            <a:rPr kumimoji="0" lang="en-AU" sz="1200" b="1" i="0" u="none" strike="noStrike" kern="0" cap="none" spc="0" normalizeH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 without CL</a:t>
          </a:r>
          <a:endParaRPr kumimoji="0" lang="en-AU" sz="1200" b="1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579121</xdr:colOff>
      <xdr:row>11</xdr:row>
      <xdr:rowOff>199012</xdr:rowOff>
    </xdr:from>
    <xdr:to>
      <xdr:col>9</xdr:col>
      <xdr:colOff>80743</xdr:colOff>
      <xdr:row>13</xdr:row>
      <xdr:rowOff>140323</xdr:rowOff>
    </xdr:to>
    <xdr:sp macro="" textlink="">
      <xdr:nvSpPr>
        <xdr:cNvPr id="36" name="Rectangle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7818121" y="3071752"/>
          <a:ext cx="1147542" cy="573771"/>
        </a:xfrm>
        <a:prstGeom prst="rect">
          <a:avLst/>
        </a:prstGeom>
        <a:solidFill>
          <a:srgbClr val="70303C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lvl="0" algn="ctr">
            <a:defRPr/>
          </a:pPr>
          <a:r>
            <a:rPr lang="en-AU" sz="1200" b="1" kern="0">
              <a:solidFill>
                <a:sysClr val="window" lastClr="FFFFFF"/>
              </a:solidFill>
              <a:latin typeface="Calibri" panose="020F0502020204030204"/>
            </a:rPr>
            <a:t>Residential with CL</a:t>
          </a:r>
        </a:p>
      </xdr:txBody>
    </xdr:sp>
    <xdr:clientData/>
  </xdr:twoCellAnchor>
  <xdr:twoCellAnchor>
    <xdr:from>
      <xdr:col>7</xdr:col>
      <xdr:colOff>579121</xdr:colOff>
      <xdr:row>13</xdr:row>
      <xdr:rowOff>240934</xdr:rowOff>
    </xdr:from>
    <xdr:to>
      <xdr:col>9</xdr:col>
      <xdr:colOff>80743</xdr:colOff>
      <xdr:row>17</xdr:row>
      <xdr:rowOff>14605</xdr:rowOff>
    </xdr:to>
    <xdr:sp macro="" textlink="">
      <xdr:nvSpPr>
        <xdr:cNvPr id="37" name="Rectangle 3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7818121" y="3746134"/>
          <a:ext cx="1147542" cy="573771"/>
        </a:xfrm>
        <a:prstGeom prst="rect">
          <a:avLst/>
        </a:prstGeom>
        <a:solidFill>
          <a:srgbClr val="70303C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Small business  without</a:t>
          </a:r>
          <a:r>
            <a:rPr kumimoji="0" lang="en-AU" sz="1200" b="1" i="0" u="none" strike="noStrike" kern="0" cap="none" spc="0" normalizeH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 CL</a:t>
          </a:r>
          <a:endParaRPr kumimoji="0" lang="en-AU" sz="1200" b="1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9</xdr:row>
      <xdr:rowOff>200457</xdr:rowOff>
    </xdr:from>
    <xdr:to>
      <xdr:col>3</xdr:col>
      <xdr:colOff>179802</xdr:colOff>
      <xdr:row>11</xdr:row>
      <xdr:rowOff>141768</xdr:rowOff>
    </xdr:to>
    <xdr:sp macro="" textlink="">
      <xdr:nvSpPr>
        <xdr:cNvPr id="38" name="Rectangle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1196340" y="2440737"/>
          <a:ext cx="1147542" cy="573771"/>
        </a:xfrm>
        <a:prstGeom prst="rect">
          <a:avLst/>
        </a:prstGeom>
        <a:solidFill>
          <a:schemeClr val="bg1">
            <a:lumMod val="8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Key inputs</a:t>
          </a:r>
        </a:p>
      </xdr:txBody>
    </xdr:sp>
    <xdr:clientData/>
  </xdr:twoCellAnchor>
  <xdr:twoCellAnchor>
    <xdr:from>
      <xdr:col>3</xdr:col>
      <xdr:colOff>179802</xdr:colOff>
      <xdr:row>10</xdr:row>
      <xdr:rowOff>237788</xdr:rowOff>
    </xdr:from>
    <xdr:to>
      <xdr:col>3</xdr:col>
      <xdr:colOff>1199839</xdr:colOff>
      <xdr:row>11</xdr:row>
      <xdr:rowOff>192973</xdr:rowOff>
    </xdr:to>
    <xdr:cxnSp macro="">
      <xdr:nvCxnSpPr>
        <xdr:cNvPr id="39" name="Elbow Connector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>
          <a:stCxn id="38" idx="3"/>
          <a:endCxn id="4" idx="1"/>
        </xdr:cNvCxnSpPr>
      </xdr:nvCxnSpPr>
      <xdr:spPr>
        <a:xfrm>
          <a:off x="2275302" y="2733338"/>
          <a:ext cx="1020037" cy="336185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742</xdr:colOff>
      <xdr:row>5</xdr:row>
      <xdr:rowOff>67560</xdr:rowOff>
    </xdr:from>
    <xdr:to>
      <xdr:col>3</xdr:col>
      <xdr:colOff>175259</xdr:colOff>
      <xdr:row>6</xdr:row>
      <xdr:rowOff>152400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1197082" y="1042920"/>
          <a:ext cx="1142257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 and assumptions</a:t>
          </a:r>
        </a:p>
      </xdr:txBody>
    </xdr:sp>
    <xdr:clientData/>
  </xdr:twoCellAnchor>
  <xdr:twoCellAnchor>
    <xdr:from>
      <xdr:col>9</xdr:col>
      <xdr:colOff>404602</xdr:colOff>
      <xdr:row>5</xdr:row>
      <xdr:rowOff>67560</xdr:rowOff>
    </xdr:from>
    <xdr:to>
      <xdr:col>11</xdr:col>
      <xdr:colOff>327659</xdr:colOff>
      <xdr:row>6</xdr:row>
      <xdr:rowOff>152400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289522" y="1042920"/>
          <a:ext cx="1142257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Overview</a:t>
          </a:r>
        </a:p>
      </xdr:txBody>
    </xdr:sp>
    <xdr:clientData/>
  </xdr:twoCellAnchor>
  <xdr:twoCellAnchor>
    <xdr:from>
      <xdr:col>7</xdr:col>
      <xdr:colOff>335280</xdr:colOff>
      <xdr:row>5</xdr:row>
      <xdr:rowOff>67560</xdr:rowOff>
    </xdr:from>
    <xdr:to>
      <xdr:col>9</xdr:col>
      <xdr:colOff>214101</xdr:colOff>
      <xdr:row>6</xdr:row>
      <xdr:rowOff>152400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7574280" y="1042920"/>
          <a:ext cx="1524741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stacks with changes in underlying costs</a:t>
          </a:r>
        </a:p>
      </xdr:txBody>
    </xdr:sp>
    <xdr:clientData/>
  </xdr:twoCellAnchor>
  <xdr:twoCellAnchor>
    <xdr:from>
      <xdr:col>3</xdr:col>
      <xdr:colOff>480060</xdr:colOff>
      <xdr:row>5</xdr:row>
      <xdr:rowOff>99060</xdr:rowOff>
    </xdr:from>
    <xdr:to>
      <xdr:col>3</xdr:col>
      <xdr:colOff>784860</xdr:colOff>
      <xdr:row>6</xdr:row>
      <xdr:rowOff>152400</xdr:rowOff>
    </xdr:to>
    <xdr:sp macro="" textlink="">
      <xdr:nvSpPr>
        <xdr:cNvPr id="43" name="Right Arrow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64414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1242060</xdr:colOff>
      <xdr:row>5</xdr:row>
      <xdr:rowOff>99060</xdr:rowOff>
    </xdr:from>
    <xdr:to>
      <xdr:col>5</xdr:col>
      <xdr:colOff>129540</xdr:colOff>
      <xdr:row>6</xdr:row>
      <xdr:rowOff>152400</xdr:rowOff>
    </xdr:to>
    <xdr:sp macro="" textlink="">
      <xdr:nvSpPr>
        <xdr:cNvPr id="44" name="Right Arrow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482346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701040</xdr:colOff>
      <xdr:row>5</xdr:row>
      <xdr:rowOff>99060</xdr:rowOff>
    </xdr:from>
    <xdr:to>
      <xdr:col>7</xdr:col>
      <xdr:colOff>182880</xdr:colOff>
      <xdr:row>6</xdr:row>
      <xdr:rowOff>152400</xdr:rowOff>
    </xdr:to>
    <xdr:sp macro="" textlink="">
      <xdr:nvSpPr>
        <xdr:cNvPr id="45" name="Right Arrow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711708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289560</xdr:colOff>
      <xdr:row>5</xdr:row>
      <xdr:rowOff>99060</xdr:rowOff>
    </xdr:from>
    <xdr:to>
      <xdr:col>9</xdr:col>
      <xdr:colOff>594360</xdr:colOff>
      <xdr:row>6</xdr:row>
      <xdr:rowOff>152400</xdr:rowOff>
    </xdr:to>
    <xdr:sp macro="" textlink="">
      <xdr:nvSpPr>
        <xdr:cNvPr id="46" name="Right Arrow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917448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303892</xdr:colOff>
      <xdr:row>12</xdr:row>
      <xdr:rowOff>234438</xdr:rowOff>
    </xdr:from>
    <xdr:to>
      <xdr:col>7</xdr:col>
      <xdr:colOff>579121</xdr:colOff>
      <xdr:row>15</xdr:row>
      <xdr:rowOff>94805</xdr:rowOff>
    </xdr:to>
    <xdr:cxnSp macro="">
      <xdr:nvCxnSpPr>
        <xdr:cNvPr id="47" name="Elbow Connector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>
          <a:stCxn id="9" idx="3"/>
          <a:endCxn id="36" idx="1"/>
        </xdr:cNvCxnSpPr>
      </xdr:nvCxnSpPr>
      <xdr:spPr>
        <a:xfrm flipV="1">
          <a:off x="6719932" y="3358638"/>
          <a:ext cx="1098189" cy="67570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10</xdr:row>
      <xdr:rowOff>68580</xdr:rowOff>
    </xdr:from>
    <xdr:to>
      <xdr:col>3</xdr:col>
      <xdr:colOff>731520</xdr:colOff>
      <xdr:row>11</xdr:row>
      <xdr:rowOff>22860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257425" y="2564130"/>
          <a:ext cx="579120" cy="3352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inputs</a:t>
          </a:r>
        </a:p>
      </xdr:txBody>
    </xdr:sp>
    <xdr:clientData/>
  </xdr:twoCellAnchor>
  <xdr:twoCellAnchor>
    <xdr:from>
      <xdr:col>3</xdr:col>
      <xdr:colOff>1199839</xdr:colOff>
      <xdr:row>16</xdr:row>
      <xdr:rowOff>17746</xdr:rowOff>
    </xdr:from>
    <xdr:to>
      <xdr:col>4</xdr:col>
      <xdr:colOff>922441</xdr:colOff>
      <xdr:row>19</xdr:row>
      <xdr:rowOff>39067</xdr:rowOff>
    </xdr:to>
    <xdr:sp macro="" textlink="">
      <xdr:nvSpPr>
        <xdr:cNvPr id="56" name="Rectangle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0CA0613-344D-4691-BCB1-9A13F9F1E0E8}"/>
            </a:ext>
          </a:extLst>
        </xdr:cNvPr>
        <xdr:cNvSpPr/>
      </xdr:nvSpPr>
      <xdr:spPr>
        <a:xfrm>
          <a:off x="3295339" y="4151596"/>
          <a:ext cx="1113252" cy="59282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Retail cost</a:t>
          </a:r>
        </a:p>
      </xdr:txBody>
    </xdr:sp>
    <xdr:clientData/>
  </xdr:twoCellAnchor>
  <xdr:twoCellAnchor>
    <xdr:from>
      <xdr:col>3</xdr:col>
      <xdr:colOff>175681</xdr:colOff>
      <xdr:row>15</xdr:row>
      <xdr:rowOff>129634</xdr:rowOff>
    </xdr:from>
    <xdr:to>
      <xdr:col>3</xdr:col>
      <xdr:colOff>1199839</xdr:colOff>
      <xdr:row>17</xdr:row>
      <xdr:rowOff>123657</xdr:rowOff>
    </xdr:to>
    <xdr:cxnSp macro="">
      <xdr:nvCxnSpPr>
        <xdr:cNvPr id="57" name="Elbow Connector 24">
          <a:extLst>
            <a:ext uri="{FF2B5EF4-FFF2-40B4-BE49-F238E27FC236}">
              <a16:creationId xmlns:a16="http://schemas.microsoft.com/office/drawing/2014/main" id="{34E6DAB8-B274-4870-A87F-4D1EFB4A5AA7}"/>
            </a:ext>
          </a:extLst>
        </xdr:cNvPr>
        <xdr:cNvCxnSpPr>
          <a:endCxn id="56" idx="1"/>
        </xdr:cNvCxnSpPr>
      </xdr:nvCxnSpPr>
      <xdr:spPr>
        <a:xfrm>
          <a:off x="2271181" y="4072984"/>
          <a:ext cx="1024158" cy="375023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15</xdr:row>
      <xdr:rowOff>100520</xdr:rowOff>
    </xdr:from>
    <xdr:to>
      <xdr:col>5</xdr:col>
      <xdr:colOff>581290</xdr:colOff>
      <xdr:row>17</xdr:row>
      <xdr:rowOff>123657</xdr:rowOff>
    </xdr:to>
    <xdr:cxnSp macro="">
      <xdr:nvCxnSpPr>
        <xdr:cNvPr id="64" name="Elbow Connector 17">
          <a:extLst>
            <a:ext uri="{FF2B5EF4-FFF2-40B4-BE49-F238E27FC236}">
              <a16:creationId xmlns:a16="http://schemas.microsoft.com/office/drawing/2014/main" id="{42C667C7-39FF-4583-896B-34226BCBEEEB}"/>
            </a:ext>
          </a:extLst>
        </xdr:cNvPr>
        <xdr:cNvCxnSpPr>
          <a:stCxn id="56" idx="3"/>
          <a:endCxn id="9" idx="1"/>
        </xdr:cNvCxnSpPr>
      </xdr:nvCxnSpPr>
      <xdr:spPr>
        <a:xfrm flipV="1">
          <a:off x="4408591" y="4043870"/>
          <a:ext cx="1049499" cy="40413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3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28</xdr:col>
      <xdr:colOff>133350</xdr:colOff>
      <xdr:row>20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12</xdr:col>
      <xdr:colOff>60960</xdr:colOff>
      <xdr:row>38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22</xdr:col>
      <xdr:colOff>0</xdr:colOff>
      <xdr:row>38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8</xdr:col>
      <xdr:colOff>0</xdr:colOff>
      <xdr:row>20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3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2B1214-A128-43DA-948C-C019FB8FA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28</xdr:col>
      <xdr:colOff>133350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AE1C23-0C90-485F-8507-862CEFD3E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12</xdr:col>
      <xdr:colOff>60960</xdr:colOff>
      <xdr:row>38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978BE5-887B-4752-AAC4-87882B97A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22</xdr:col>
      <xdr:colOff>0</xdr:colOff>
      <xdr:row>38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BC795F-6782-496A-A12E-794969661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8</xdr:col>
      <xdr:colOff>0</xdr:colOff>
      <xdr:row>20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97A0D9-6AFC-4218-B490-3646D2A8A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3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ABDC9D-6137-4C47-B77E-9601B9A2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28</xdr:col>
      <xdr:colOff>133350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FC08A9-069F-463B-8B8B-677C97215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12</xdr:col>
      <xdr:colOff>60960</xdr:colOff>
      <xdr:row>38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18F035-609D-4D55-A10A-388A4AD4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680357</xdr:colOff>
      <xdr:row>21</xdr:row>
      <xdr:rowOff>0</xdr:rowOff>
    </xdr:from>
    <xdr:to>
      <xdr:col>21</xdr:col>
      <xdr:colOff>680357</xdr:colOff>
      <xdr:row>38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8B7E09-BEC3-4F66-83FE-E2D22FCBD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8</xdr:col>
      <xdr:colOff>0</xdr:colOff>
      <xdr:row>20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58364E1-08F0-4071-99A9-1CD4B5A47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BE0B83-CDDB-42D0-A801-D39BEFB9A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0C0305-402B-4564-BC80-31FDC6BB2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D66B7B-593A-432E-A9FC-954A9C533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3D5743-FD17-4056-88F3-82E39ADE7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586164-1CF8-4514-B60B-BC85232E0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12B7D6-94E3-444D-BAAD-650D36AF5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58C3F4-0AEB-45A9-8907-A9107FDC9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1C3D5E-7D28-45A4-A35D-F1F916306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3D036B-EA6A-4078-9F8F-A0A1D8636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97526-8EFA-436C-AFDA-6A492BC5F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350E1C-DE8B-4B75-9C10-7D640044A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1D1BFE-66CA-4AEB-B0A1-93690BC92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FF7C20-46DC-4318-95DB-C7D2F181D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30DB34-FEA8-46CA-9436-71DC457C8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A09BE0-ADAD-4A90-88F6-8E4D46826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2/may/economic-outlook.html" TargetMode="External"/><Relationship Id="rId2" Type="http://schemas.openxmlformats.org/officeDocument/2006/relationships/hyperlink" Target="https://www.rba.gov.au/publications/smp/2023/feb/economic-outlook.html" TargetMode="External"/><Relationship Id="rId1" Type="http://schemas.openxmlformats.org/officeDocument/2006/relationships/hyperlink" Target="https://www.aer.gov.au/system/files/Attachment%20F%20-%20ANS%20Price%20Cap%20Compliance%20Model%20%26%20IPS_4.xlsx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www.aer.gov.au/networks-pipelines/determinations-access-arrangements/pricing-proposals-tariffs/essential-energy-annual-pricing-2022%E2%80%9323" TargetMode="External"/><Relationship Id="rId4" Type="http://schemas.openxmlformats.org/officeDocument/2006/relationships/hyperlink" Target="https://www.aer.gov.au/networks-pipelines/determinations-access-arrangements/pricing-proposals-tariffs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9:F20"/>
  <sheetViews>
    <sheetView tabSelected="1" workbookViewId="0"/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247</v>
      </c>
    </row>
    <row r="10" spans="6:6" ht="36" x14ac:dyDescent="0.25">
      <c r="F10" s="2" t="str">
        <f>FY</f>
        <v>2023-24</v>
      </c>
    </row>
    <row r="11" spans="6:6" ht="23.25" x14ac:dyDescent="0.25">
      <c r="F11" s="4" t="str">
        <f>'Key inputs'!C8&amp;" Determination"</f>
        <v>Draft Determination</v>
      </c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  <row r="17" spans="3:6" x14ac:dyDescent="0.25">
      <c r="C17" s="3" t="s">
        <v>274</v>
      </c>
    </row>
    <row r="20" spans="3:6" x14ac:dyDescent="0.25">
      <c r="F20" s="3" t="s">
        <v>274</v>
      </c>
    </row>
  </sheetData>
  <pageMargins left="0.7" right="0.7" top="0.75" bottom="0.75" header="0.3" footer="0.3"/>
  <headerFooter>
    <oddHeader>&amp;C&amp;"Calibri"&amp;12&amp;KFF0000 OFFICIAL&amp;1#_x000D_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26"/>
  <sheetViews>
    <sheetView workbookViewId="0">
      <pane ySplit="3" topLeftCell="A4" activePane="bottomLeft" state="frozen"/>
      <selection pane="bottomLeft" activeCell="A29" sqref="A29"/>
    </sheetView>
  </sheetViews>
  <sheetFormatPr defaultColWidth="8.85546875" defaultRowHeight="20.100000000000001" customHeight="1" x14ac:dyDescent="0.25"/>
  <cols>
    <col min="1" max="1" width="1.85546875" style="1" customWidth="1"/>
    <col min="2" max="2" width="11" style="1" bestFit="1" customWidth="1"/>
    <col min="3" max="3" width="21.140625" style="6" customWidth="1"/>
    <col min="4" max="16384" width="8.85546875" style="1"/>
  </cols>
  <sheetData>
    <row r="1" spans="1:3" s="9" customFormat="1" ht="22.5" customHeight="1" x14ac:dyDescent="0.25">
      <c r="A1" s="18" t="s">
        <v>10</v>
      </c>
      <c r="C1" s="10"/>
    </row>
    <row r="2" spans="1:3" ht="5.0999999999999996" customHeight="1" x14ac:dyDescent="0.25">
      <c r="B2" s="8"/>
      <c r="C2" s="1"/>
    </row>
    <row r="3" spans="1:3" ht="20.100000000000001" customHeight="1" x14ac:dyDescent="0.25">
      <c r="B3" s="16" t="s">
        <v>11</v>
      </c>
      <c r="C3" s="11" t="s">
        <v>7</v>
      </c>
    </row>
    <row r="4" spans="1:3" ht="20.100000000000001" customHeight="1" x14ac:dyDescent="0.25">
      <c r="B4" s="7">
        <v>1</v>
      </c>
      <c r="C4" s="8" t="s">
        <v>173</v>
      </c>
    </row>
    <row r="5" spans="1:3" ht="20.100000000000001" customHeight="1" x14ac:dyDescent="0.25">
      <c r="B5" s="17">
        <f>B4+0.1</f>
        <v>1.1000000000000001</v>
      </c>
      <c r="C5" s="72" t="s">
        <v>102</v>
      </c>
    </row>
    <row r="6" spans="1:3" ht="20.100000000000001" customHeight="1" x14ac:dyDescent="0.25">
      <c r="B6" s="17">
        <f>B5+0.1</f>
        <v>1.2000000000000002</v>
      </c>
      <c r="C6" s="72" t="s">
        <v>20</v>
      </c>
    </row>
    <row r="7" spans="1:3" ht="20.100000000000001" customHeight="1" x14ac:dyDescent="0.25">
      <c r="B7" s="146">
        <v>2</v>
      </c>
      <c r="C7" s="8" t="s">
        <v>195</v>
      </c>
    </row>
    <row r="8" spans="1:3" ht="20.100000000000001" customHeight="1" x14ac:dyDescent="0.25">
      <c r="B8" s="17">
        <f>B7+0.1</f>
        <v>2.1</v>
      </c>
      <c r="C8" s="72" t="s">
        <v>160</v>
      </c>
    </row>
    <row r="9" spans="1:3" ht="20.100000000000001" customHeight="1" x14ac:dyDescent="0.25">
      <c r="B9" s="17">
        <f>B8+0.1</f>
        <v>2.2000000000000002</v>
      </c>
      <c r="C9" s="72" t="s">
        <v>161</v>
      </c>
    </row>
    <row r="10" spans="1:3" ht="20.100000000000001" customHeight="1" x14ac:dyDescent="0.25">
      <c r="B10" s="17">
        <f>B9+0.1</f>
        <v>2.3000000000000003</v>
      </c>
      <c r="C10" s="72" t="s">
        <v>162</v>
      </c>
    </row>
    <row r="11" spans="1:3" ht="20.100000000000001" customHeight="1" x14ac:dyDescent="0.25">
      <c r="B11" s="7">
        <v>3</v>
      </c>
      <c r="C11" s="8" t="s">
        <v>174</v>
      </c>
    </row>
    <row r="12" spans="1:3" ht="20.100000000000001" customHeight="1" x14ac:dyDescent="0.25">
      <c r="B12" s="17">
        <f t="shared" ref="B12:B20" si="0">B11+0.1</f>
        <v>3.1</v>
      </c>
      <c r="C12" s="72" t="s">
        <v>2</v>
      </c>
    </row>
    <row r="13" spans="1:3" ht="20.100000000000001" customHeight="1" x14ac:dyDescent="0.25">
      <c r="B13" s="17">
        <f t="shared" si="0"/>
        <v>3.2</v>
      </c>
      <c r="C13" s="72" t="s">
        <v>4</v>
      </c>
    </row>
    <row r="14" spans="1:3" ht="20.100000000000001" customHeight="1" x14ac:dyDescent="0.25">
      <c r="B14" s="17">
        <f t="shared" si="0"/>
        <v>3.3000000000000003</v>
      </c>
      <c r="C14" s="72" t="s">
        <v>0</v>
      </c>
    </row>
    <row r="15" spans="1:3" ht="20.100000000000001" customHeight="1" x14ac:dyDescent="0.25">
      <c r="B15" s="17">
        <f t="shared" si="0"/>
        <v>3.4000000000000004</v>
      </c>
      <c r="C15" s="72" t="s">
        <v>3</v>
      </c>
    </row>
    <row r="16" spans="1:3" ht="20.100000000000001" customHeight="1" x14ac:dyDescent="0.25">
      <c r="B16" s="17">
        <f t="shared" si="0"/>
        <v>3.5000000000000004</v>
      </c>
      <c r="C16" s="72" t="s">
        <v>5</v>
      </c>
    </row>
    <row r="17" spans="2:3" ht="20.100000000000001" customHeight="1" x14ac:dyDescent="0.25">
      <c r="B17" s="7">
        <v>4</v>
      </c>
      <c r="C17" s="8" t="s">
        <v>175</v>
      </c>
    </row>
    <row r="18" spans="2:3" ht="20.100000000000001" customHeight="1" x14ac:dyDescent="0.25">
      <c r="B18" s="17">
        <f>B17+0.1</f>
        <v>4.0999999999999996</v>
      </c>
      <c r="C18" s="72" t="s">
        <v>8</v>
      </c>
    </row>
    <row r="19" spans="2:3" ht="20.100000000000001" customHeight="1" x14ac:dyDescent="0.25">
      <c r="B19" s="17">
        <f t="shared" si="0"/>
        <v>4.1999999999999993</v>
      </c>
      <c r="C19" s="72" t="s">
        <v>9</v>
      </c>
    </row>
    <row r="20" spans="2:3" ht="20.100000000000001" customHeight="1" x14ac:dyDescent="0.25">
      <c r="B20" s="17">
        <f t="shared" si="0"/>
        <v>4.2999999999999989</v>
      </c>
      <c r="C20" s="72" t="s">
        <v>19</v>
      </c>
    </row>
    <row r="21" spans="2:3" ht="20.100000000000001" customHeight="1" x14ac:dyDescent="0.25">
      <c r="B21" s="17">
        <f>B20+0.1</f>
        <v>4.3999999999999986</v>
      </c>
      <c r="C21" s="163" t="s">
        <v>208</v>
      </c>
    </row>
    <row r="22" spans="2:3" ht="20.100000000000001" customHeight="1" x14ac:dyDescent="0.25">
      <c r="B22" s="7">
        <v>5</v>
      </c>
      <c r="C22" s="8" t="s">
        <v>176</v>
      </c>
    </row>
    <row r="23" spans="2:3" ht="20.100000000000001" customHeight="1" x14ac:dyDescent="0.25">
      <c r="B23" s="17">
        <f>B22+0.1</f>
        <v>5.0999999999999996</v>
      </c>
      <c r="C23" s="72" t="s">
        <v>100</v>
      </c>
    </row>
    <row r="24" spans="2:3" ht="20.100000000000001" customHeight="1" x14ac:dyDescent="0.25">
      <c r="B24" s="17">
        <f>B23+0.1</f>
        <v>5.1999999999999993</v>
      </c>
      <c r="C24" s="72" t="s">
        <v>99</v>
      </c>
    </row>
    <row r="25" spans="2:3" ht="20.100000000000001" customHeight="1" x14ac:dyDescent="0.25">
      <c r="B25" s="17">
        <f>B24+0.1</f>
        <v>5.2999999999999989</v>
      </c>
      <c r="C25" s="72" t="s">
        <v>27</v>
      </c>
    </row>
    <row r="26" spans="2:3" ht="20.100000000000001" customHeight="1" x14ac:dyDescent="0.25">
      <c r="B26" s="17">
        <f>B25+0.1</f>
        <v>5.3999999999999986</v>
      </c>
      <c r="C26" s="72" t="s">
        <v>282</v>
      </c>
    </row>
  </sheetData>
  <hyperlinks>
    <hyperlink ref="C23" location="'Key inputs'!A1" display="Key inputs" xr:uid="{00000000-0004-0000-0200-000000000000}"/>
    <hyperlink ref="C10" location="'SB wo CL'!A1" display="Small business without CL" xr:uid="{00000000-0004-0000-0200-000003000000}"/>
    <hyperlink ref="C9" location="'Res w CL'!A1" display="Residential with CL" xr:uid="{00000000-0004-0000-0200-000004000000}"/>
    <hyperlink ref="C8" location="'Res wo CL'!A1" display="Residential without CL" xr:uid="{00000000-0004-0000-0200-000005000000}"/>
    <hyperlink ref="C5" location="Structure!A1" display="Model Structure" xr:uid="{00000000-0004-0000-0200-000006000000}"/>
    <hyperlink ref="C6" location="Summary!A1" display="Summary!A1" xr:uid="{00000000-0004-0000-0200-000007000000}"/>
    <hyperlink ref="C12" location="Ausgrid!A1" display="Ausgrid" xr:uid="{00000000-0004-0000-0200-000008000000}"/>
    <hyperlink ref="C13" location="Endeavour!A1" display="Endeavour" xr:uid="{00000000-0004-0000-0200-000009000000}"/>
    <hyperlink ref="C14" location="Energex!A1" display="Energex" xr:uid="{00000000-0004-0000-0200-00000A000000}"/>
    <hyperlink ref="C15" location="Essential!A1" display="Essential" xr:uid="{00000000-0004-0000-0200-00000B000000}"/>
    <hyperlink ref="C16" location="SAPN!A1" display="SAPN" xr:uid="{00000000-0004-0000-0200-00000C000000}"/>
    <hyperlink ref="C18" location="'Network cost'!A1" display="Network costs" xr:uid="{00000000-0004-0000-0200-00000D000000}"/>
    <hyperlink ref="C19" location="'Wholesale cost'!A1" display="Wholesale costs" xr:uid="{00000000-0004-0000-0200-00000E000000}"/>
    <hyperlink ref="C20" location="'Environmental cost'!A1" display="Environmental costs" xr:uid="{00000000-0004-0000-0200-00000F000000}"/>
    <hyperlink ref="C25" location="Usage!A1" display="Usage" xr:uid="{00000000-0004-0000-0200-000010000000}"/>
    <hyperlink ref="C24" location="'Detail inputs'!A1" display="Detail inputs" xr:uid="{00000000-0004-0000-0200-000011000000}"/>
    <hyperlink ref="C21" location="'Retail cost'!A1" display="Retail costs" xr:uid="{CC70AA6C-BE30-4413-B46E-0D72E2B3415A}"/>
    <hyperlink ref="C26" location="'NSW Roadmap costs'!A1" display="NSW Roadmap costs" xr:uid="{ECE7C0EA-5C3E-48D0-B206-E07A4730A33A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B9:F17"/>
  <sheetViews>
    <sheetView workbookViewId="0">
      <selection activeCell="A7" sqref="A7"/>
    </sheetView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177</v>
      </c>
    </row>
    <row r="10" spans="6:6" ht="36" x14ac:dyDescent="0.25">
      <c r="F10" s="2" t="str">
        <f>"DMO "&amp;FY</f>
        <v>DMO 2023-24</v>
      </c>
    </row>
    <row r="11" spans="6:6" ht="23.25" x14ac:dyDescent="0.25">
      <c r="F11" s="4"/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  <row r="17" spans="2:2" x14ac:dyDescent="0.25">
      <c r="B17" s="3" t="s">
        <v>274</v>
      </c>
    </row>
  </sheetData>
  <pageMargins left="0.7" right="0.7" top="0.75" bottom="0.75" header="0.3" footer="0.3"/>
  <headerFooter>
    <oddHeader>&amp;C&amp;"Calibri"&amp;12&amp;KFF0000 OFFICIAL&amp;1#_x000D_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</sheetPr>
  <dimension ref="A1:I59"/>
  <sheetViews>
    <sheetView workbookViewId="0">
      <selection activeCell="B25" sqref="B25"/>
    </sheetView>
  </sheetViews>
  <sheetFormatPr defaultColWidth="8.85546875" defaultRowHeight="15" x14ac:dyDescent="0.25"/>
  <cols>
    <col min="1" max="1" width="3.140625" style="3" customWidth="1"/>
    <col min="2" max="3" width="14.140625" style="3" customWidth="1"/>
    <col min="4" max="6" width="20.85546875" style="3" customWidth="1"/>
    <col min="7" max="9" width="12" style="3" customWidth="1"/>
    <col min="10" max="16384" width="8.85546875" style="3"/>
  </cols>
  <sheetData>
    <row r="1" spans="1:9" ht="10.35" customHeight="1" x14ac:dyDescent="0.25">
      <c r="A1" s="286" t="s">
        <v>21</v>
      </c>
      <c r="B1" s="286"/>
    </row>
    <row r="2" spans="1:9" s="14" customFormat="1" ht="22.5" customHeight="1" x14ac:dyDescent="0.25">
      <c r="A2" s="15" t="s">
        <v>102</v>
      </c>
    </row>
    <row r="4" spans="1:9" x14ac:dyDescent="0.25">
      <c r="G4" s="66"/>
      <c r="H4" s="66"/>
      <c r="I4" s="66"/>
    </row>
    <row r="5" spans="1:9" ht="15.75" x14ac:dyDescent="0.25">
      <c r="B5" s="34" t="s">
        <v>101</v>
      </c>
      <c r="G5" s="66"/>
      <c r="H5" s="66"/>
      <c r="I5" s="66"/>
    </row>
    <row r="6" spans="1:9" ht="20.100000000000001" customHeight="1" x14ac:dyDescent="0.25">
      <c r="G6" s="66"/>
      <c r="H6" s="66"/>
      <c r="I6" s="66"/>
    </row>
    <row r="7" spans="1:9" s="43" customFormat="1" ht="30" customHeight="1" x14ac:dyDescent="0.25">
      <c r="B7" s="3"/>
      <c r="C7" s="3"/>
      <c r="D7" s="3"/>
      <c r="E7" s="3"/>
      <c r="F7" s="3"/>
      <c r="G7" s="69"/>
      <c r="H7" s="69"/>
      <c r="I7" s="69"/>
    </row>
    <row r="8" spans="1:9" ht="20.100000000000001" customHeight="1" x14ac:dyDescent="0.25">
      <c r="G8" s="66"/>
      <c r="H8" s="66"/>
      <c r="I8" s="66"/>
    </row>
    <row r="9" spans="1:9" s="43" customFormat="1" ht="30" customHeight="1" x14ac:dyDescent="0.25">
      <c r="B9" s="3"/>
      <c r="C9" s="3"/>
      <c r="D9" s="3"/>
      <c r="E9" s="3"/>
      <c r="F9" s="3"/>
      <c r="G9" s="69"/>
      <c r="H9" s="69"/>
      <c r="I9" s="69"/>
    </row>
    <row r="10" spans="1:9" ht="20.100000000000001" customHeight="1" x14ac:dyDescent="0.25">
      <c r="G10" s="66"/>
      <c r="H10" s="66"/>
      <c r="I10" s="66"/>
    </row>
    <row r="11" spans="1:9" s="43" customFormat="1" ht="30" customHeight="1" x14ac:dyDescent="0.25">
      <c r="B11" s="3"/>
      <c r="C11" s="3"/>
      <c r="D11" s="3"/>
      <c r="E11" s="3"/>
      <c r="F11" s="3"/>
      <c r="G11" s="69"/>
      <c r="H11" s="69"/>
      <c r="I11" s="69"/>
    </row>
    <row r="12" spans="1:9" ht="20.100000000000001" customHeight="1" x14ac:dyDescent="0.25"/>
    <row r="13" spans="1:9" s="43" customFormat="1" ht="30" customHeight="1" x14ac:dyDescent="0.25">
      <c r="B13" s="3"/>
      <c r="C13" s="3"/>
      <c r="D13" s="3"/>
      <c r="E13" s="3"/>
      <c r="F13" s="3"/>
    </row>
    <row r="14" spans="1:9" ht="20.100000000000001" customHeight="1" x14ac:dyDescent="0.25"/>
    <row r="23" spans="1:3" x14ac:dyDescent="0.25">
      <c r="B23" s="112" t="s">
        <v>91</v>
      </c>
    </row>
    <row r="25" spans="1:3" ht="15.75" x14ac:dyDescent="0.25">
      <c r="A25" s="5"/>
      <c r="B25" s="34" t="s">
        <v>150</v>
      </c>
    </row>
    <row r="26" spans="1:3" x14ac:dyDescent="0.25">
      <c r="B26" s="3" t="s">
        <v>67</v>
      </c>
      <c r="C26" s="3" t="s">
        <v>108</v>
      </c>
    </row>
    <row r="27" spans="1:3" x14ac:dyDescent="0.25">
      <c r="B27" s="3" t="s">
        <v>77</v>
      </c>
      <c r="C27" s="3" t="s">
        <v>110</v>
      </c>
    </row>
    <row r="28" spans="1:3" x14ac:dyDescent="0.25">
      <c r="B28" s="3" t="s">
        <v>151</v>
      </c>
      <c r="C28" s="3" t="s">
        <v>152</v>
      </c>
    </row>
    <row r="29" spans="1:3" x14ac:dyDescent="0.25">
      <c r="B29" s="3" t="s">
        <v>58</v>
      </c>
      <c r="C29" s="3" t="s">
        <v>106</v>
      </c>
    </row>
    <row r="30" spans="1:3" x14ac:dyDescent="0.25">
      <c r="B30" s="3" t="s">
        <v>18</v>
      </c>
      <c r="C30" s="3" t="s">
        <v>132</v>
      </c>
    </row>
    <row r="31" spans="1:3" x14ac:dyDescent="0.25">
      <c r="B31" s="3" t="s">
        <v>121</v>
      </c>
      <c r="C31" s="3" t="s">
        <v>165</v>
      </c>
    </row>
    <row r="32" spans="1:3" x14ac:dyDescent="0.25">
      <c r="B32" s="3" t="s">
        <v>134</v>
      </c>
      <c r="C32" s="3" t="s">
        <v>135</v>
      </c>
    </row>
    <row r="33" spans="2:3" x14ac:dyDescent="0.25">
      <c r="B33" s="3" t="s">
        <v>56</v>
      </c>
      <c r="C33" s="3" t="s">
        <v>103</v>
      </c>
    </row>
    <row r="34" spans="2:3" x14ac:dyDescent="0.25">
      <c r="B34" s="3" t="s">
        <v>111</v>
      </c>
      <c r="C34" s="3" t="s">
        <v>157</v>
      </c>
    </row>
    <row r="35" spans="2:3" x14ac:dyDescent="0.25">
      <c r="B35" s="3" t="s">
        <v>82</v>
      </c>
      <c r="C35" s="3" t="s">
        <v>131</v>
      </c>
    </row>
    <row r="36" spans="2:3" x14ac:dyDescent="0.25">
      <c r="B36" s="3" t="s">
        <v>112</v>
      </c>
      <c r="C36" s="3" t="s">
        <v>114</v>
      </c>
    </row>
    <row r="37" spans="2:3" x14ac:dyDescent="0.25">
      <c r="B37" s="3" t="s">
        <v>84</v>
      </c>
      <c r="C37" s="3" t="s">
        <v>107</v>
      </c>
    </row>
    <row r="38" spans="2:3" x14ac:dyDescent="0.25">
      <c r="B38" s="3" t="s">
        <v>119</v>
      </c>
      <c r="C38" s="3" t="s">
        <v>126</v>
      </c>
    </row>
    <row r="39" spans="2:3" x14ac:dyDescent="0.25">
      <c r="B39" s="3" t="s">
        <v>79</v>
      </c>
      <c r="C39" s="3" t="s">
        <v>123</v>
      </c>
    </row>
    <row r="40" spans="2:3" x14ac:dyDescent="0.25">
      <c r="B40" s="3" t="s">
        <v>80</v>
      </c>
      <c r="C40" s="3" t="s">
        <v>128</v>
      </c>
    </row>
    <row r="41" spans="2:3" x14ac:dyDescent="0.25">
      <c r="B41" s="3" t="s">
        <v>122</v>
      </c>
      <c r="C41" s="3" t="s">
        <v>166</v>
      </c>
    </row>
    <row r="42" spans="2:3" x14ac:dyDescent="0.25">
      <c r="B42" s="3" t="s">
        <v>136</v>
      </c>
      <c r="C42" s="3" t="s">
        <v>137</v>
      </c>
    </row>
    <row r="43" spans="2:3" x14ac:dyDescent="0.25">
      <c r="B43" s="3" t="s">
        <v>85</v>
      </c>
      <c r="C43" s="3" t="s">
        <v>164</v>
      </c>
    </row>
    <row r="44" spans="2:3" x14ac:dyDescent="0.25">
      <c r="B44" s="3" t="s">
        <v>113</v>
      </c>
      <c r="C44" s="3" t="s">
        <v>115</v>
      </c>
    </row>
    <row r="45" spans="2:3" x14ac:dyDescent="0.25">
      <c r="B45" s="3" t="s">
        <v>63</v>
      </c>
      <c r="C45" s="3" t="s">
        <v>105</v>
      </c>
    </row>
    <row r="46" spans="2:3" x14ac:dyDescent="0.25">
      <c r="B46" s="3" t="s">
        <v>138</v>
      </c>
      <c r="C46" s="3" t="s">
        <v>139</v>
      </c>
    </row>
    <row r="47" spans="2:3" x14ac:dyDescent="0.25">
      <c r="B47" s="3" t="s">
        <v>155</v>
      </c>
      <c r="C47" s="3" t="s">
        <v>116</v>
      </c>
    </row>
    <row r="48" spans="2:3" x14ac:dyDescent="0.25">
      <c r="B48" s="3" t="s">
        <v>184</v>
      </c>
      <c r="C48" s="3" t="s">
        <v>158</v>
      </c>
    </row>
    <row r="49" spans="2:3" x14ac:dyDescent="0.25">
      <c r="B49" s="3" t="s">
        <v>86</v>
      </c>
      <c r="C49" s="3" t="s">
        <v>130</v>
      </c>
    </row>
    <row r="50" spans="2:3" x14ac:dyDescent="0.25">
      <c r="B50" s="3" t="s">
        <v>78</v>
      </c>
      <c r="C50" s="3" t="s">
        <v>156</v>
      </c>
    </row>
    <row r="51" spans="2:3" x14ac:dyDescent="0.25">
      <c r="B51" s="3" t="s">
        <v>117</v>
      </c>
      <c r="C51" s="3" t="s">
        <v>124</v>
      </c>
    </row>
    <row r="52" spans="2:3" x14ac:dyDescent="0.25">
      <c r="B52" s="3" t="s">
        <v>191</v>
      </c>
      <c r="C52" s="3" t="s">
        <v>192</v>
      </c>
    </row>
    <row r="53" spans="2:3" x14ac:dyDescent="0.25">
      <c r="B53" s="3" t="s">
        <v>5</v>
      </c>
      <c r="C53" s="3" t="s">
        <v>159</v>
      </c>
    </row>
    <row r="54" spans="2:3" x14ac:dyDescent="0.25">
      <c r="B54" s="3" t="s">
        <v>81</v>
      </c>
      <c r="C54" s="3" t="s">
        <v>129</v>
      </c>
    </row>
    <row r="55" spans="2:3" x14ac:dyDescent="0.25">
      <c r="B55" s="3" t="s">
        <v>120</v>
      </c>
      <c r="C55" s="3" t="s">
        <v>127</v>
      </c>
    </row>
    <row r="56" spans="2:3" x14ac:dyDescent="0.25">
      <c r="B56" s="3" t="s">
        <v>118</v>
      </c>
      <c r="C56" s="3" t="s">
        <v>125</v>
      </c>
    </row>
    <row r="57" spans="2:3" x14ac:dyDescent="0.25">
      <c r="B57" s="3" t="s">
        <v>42</v>
      </c>
      <c r="C57" s="3" t="s">
        <v>133</v>
      </c>
    </row>
    <row r="58" spans="2:3" x14ac:dyDescent="0.25">
      <c r="B58" s="3" t="s">
        <v>57</v>
      </c>
      <c r="C58" s="3" t="s">
        <v>104</v>
      </c>
    </row>
    <row r="59" spans="2:3" x14ac:dyDescent="0.25">
      <c r="B59" s="3" t="s">
        <v>76</v>
      </c>
      <c r="C59" s="3" t="s">
        <v>109</v>
      </c>
    </row>
  </sheetData>
  <autoFilter ref="B25:C25" xr:uid="{00000000-0001-0000-0400-000000000000}">
    <sortState xmlns:xlrd2="http://schemas.microsoft.com/office/spreadsheetml/2017/richdata2" ref="B26:C59">
      <sortCondition ref="B25"/>
    </sortState>
  </autoFilter>
  <mergeCells count="1">
    <mergeCell ref="A1:B1"/>
  </mergeCells>
  <hyperlinks>
    <hyperlink ref="A1" location="Index!A1" display="&lt;&lt;Back to Index" xr:uid="{00000000-0004-0000-0400-00000000000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-0.249977111117893"/>
  </sheetPr>
  <dimension ref="A1:Z65"/>
  <sheetViews>
    <sheetView zoomScale="95" zoomScaleNormal="95" workbookViewId="0">
      <pane ySplit="7" topLeftCell="A8" activePane="bottomLeft" state="frozen"/>
      <selection pane="bottomLeft" activeCell="C4" sqref="C4"/>
    </sheetView>
  </sheetViews>
  <sheetFormatPr defaultColWidth="8.85546875" defaultRowHeight="15" x14ac:dyDescent="0.25"/>
  <cols>
    <col min="1" max="1" width="3.140625" style="3" customWidth="1"/>
    <col min="2" max="2" width="14.140625" style="3" customWidth="1"/>
    <col min="3" max="3" width="11.85546875" style="3" customWidth="1"/>
    <col min="4" max="9" width="10.85546875" style="3" customWidth="1"/>
    <col min="10" max="11" width="12" style="67" customWidth="1"/>
    <col min="12" max="14" width="13.140625" style="3" customWidth="1"/>
    <col min="15" max="15" width="13.85546875" style="3" customWidth="1"/>
    <col min="16" max="17" width="20" style="3" bestFit="1" customWidth="1"/>
    <col min="18" max="18" width="14.85546875" style="3" customWidth="1"/>
    <col min="19" max="19" width="13.42578125" style="3" bestFit="1" customWidth="1"/>
    <col min="20" max="20" width="9.85546875" style="3" bestFit="1" customWidth="1"/>
    <col min="21" max="23" width="13.140625" style="3" customWidth="1"/>
    <col min="24" max="24" width="14.140625" style="3" customWidth="1"/>
    <col min="25" max="25" width="13.140625" style="3" customWidth="1"/>
    <col min="26" max="26" width="11.5703125" style="3" customWidth="1"/>
    <col min="27" max="16384" width="8.85546875" style="3"/>
  </cols>
  <sheetData>
    <row r="1" spans="1:26" ht="10.35" customHeight="1" x14ac:dyDescent="0.25">
      <c r="A1" s="286" t="s">
        <v>21</v>
      </c>
      <c r="B1" s="291"/>
    </row>
    <row r="2" spans="1:26" s="14" customFormat="1" ht="22.5" customHeight="1" x14ac:dyDescent="0.25">
      <c r="A2" s="15" t="str">
        <f>"DMO "&amp;FY&amp;" "&amp;'Key inputs'!C8&amp;" Determination Prices and Cost Changes"</f>
        <v>DMO 2023-24 Draft Determination Prices and Cost Changes</v>
      </c>
      <c r="J2" s="150"/>
      <c r="K2" s="150"/>
    </row>
    <row r="3" spans="1:26" x14ac:dyDescent="0.25">
      <c r="B3" s="94"/>
      <c r="L3" s="5"/>
      <c r="M3" s="20"/>
      <c r="N3" s="20"/>
      <c r="O3" s="20"/>
      <c r="P3" s="20"/>
      <c r="Q3" s="20"/>
    </row>
    <row r="4" spans="1:26" ht="15.75" x14ac:dyDescent="0.25">
      <c r="B4" s="34" t="str">
        <f>"DMO "&amp;FY&amp;"  "&amp;'Key inputs'!C8&amp;" Determination Prices"</f>
        <v>DMO 2023-24  Draft Determination Prices</v>
      </c>
      <c r="L4" s="34" t="str">
        <f>"Summary of cost changes from DMO "&amp;PY&amp;" to DMO "&amp;FY</f>
        <v>Summary of cost changes from DMO 2022-23 to DMO 2023-24</v>
      </c>
      <c r="M4" s="20"/>
      <c r="N4" s="20"/>
      <c r="O4" s="20"/>
      <c r="P4" s="20"/>
      <c r="Q4" s="20"/>
      <c r="U4" s="34" t="str">
        <f>"Proportion of costs in base DMO "&amp;PY</f>
        <v>Proportion of costs in base DMO 2022-23</v>
      </c>
    </row>
    <row r="5" spans="1:26" ht="15.75" x14ac:dyDescent="0.25">
      <c r="B5" s="94" t="s">
        <v>140</v>
      </c>
      <c r="E5" s="231"/>
      <c r="L5" s="34"/>
      <c r="M5" s="20"/>
      <c r="N5" s="20"/>
      <c r="O5" s="20"/>
      <c r="P5" s="20"/>
      <c r="Q5" s="20"/>
    </row>
    <row r="6" spans="1:26" ht="15.6" customHeight="1" x14ac:dyDescent="0.25">
      <c r="B6" s="288" t="s">
        <v>1</v>
      </c>
      <c r="C6" s="118"/>
      <c r="D6" s="297" t="s">
        <v>6</v>
      </c>
      <c r="E6" s="297"/>
      <c r="F6" s="297" t="s">
        <v>6</v>
      </c>
      <c r="G6" s="297"/>
      <c r="H6" s="297" t="s">
        <v>83</v>
      </c>
      <c r="I6" s="298"/>
      <c r="J6" s="115"/>
      <c r="K6" s="115"/>
      <c r="L6" s="287" t="s">
        <v>35</v>
      </c>
      <c r="M6" s="287" t="s">
        <v>68</v>
      </c>
      <c r="N6" s="287" t="s">
        <v>69</v>
      </c>
      <c r="O6" s="287" t="s">
        <v>70</v>
      </c>
      <c r="P6" s="287" t="s">
        <v>204</v>
      </c>
      <c r="Q6" s="287" t="s">
        <v>206</v>
      </c>
      <c r="R6" s="287" t="s">
        <v>75</v>
      </c>
      <c r="U6" s="287" t="s">
        <v>35</v>
      </c>
      <c r="V6" s="287" t="s">
        <v>68</v>
      </c>
      <c r="W6" s="287" t="s">
        <v>69</v>
      </c>
      <c r="X6" s="287" t="s">
        <v>70</v>
      </c>
      <c r="Y6" s="287" t="s">
        <v>204</v>
      </c>
      <c r="Z6" s="287" t="str">
        <f>+Q6</f>
        <v>DMO allowance</v>
      </c>
    </row>
    <row r="7" spans="1:26" ht="15.75" x14ac:dyDescent="0.25">
      <c r="B7" s="288"/>
      <c r="C7" s="118"/>
      <c r="D7" s="299" t="s">
        <v>146</v>
      </c>
      <c r="E7" s="299"/>
      <c r="F7" s="299" t="s">
        <v>147</v>
      </c>
      <c r="G7" s="299"/>
      <c r="H7" s="299" t="s">
        <v>146</v>
      </c>
      <c r="I7" s="300"/>
      <c r="J7" s="115"/>
      <c r="K7" s="115"/>
      <c r="L7" s="287"/>
      <c r="M7" s="287"/>
      <c r="N7" s="287"/>
      <c r="O7" s="287"/>
      <c r="P7" s="287"/>
      <c r="Q7" s="287"/>
      <c r="R7" s="287"/>
      <c r="U7" s="287"/>
      <c r="V7" s="287"/>
      <c r="W7" s="287"/>
      <c r="X7" s="287"/>
      <c r="Y7" s="287"/>
      <c r="Z7" s="287"/>
    </row>
    <row r="8" spans="1:26" s="43" customFormat="1" ht="30" customHeight="1" x14ac:dyDescent="0.25">
      <c r="B8" s="49" t="s">
        <v>2</v>
      </c>
      <c r="C8" s="116" t="s">
        <v>90</v>
      </c>
      <c r="D8" s="302">
        <f t="array" aca="1" ref="D8" ca="1">INDEX(INDIRECT("'"&amp;$B8&amp;"'!$B$6:$F$15"),MATCH("DMO "&amp;FY&amp;" price ($ pa, inc GST)",INDIRECT("'"&amp;$B8&amp;"'!$B$6:$B$15"),0),MATCH(D$6&amp;D$7,INDIRECT("'"&amp;$B8&amp;"'!$B$6:$E$6")&amp;INDIRECT("'"&amp;$B8&amp;"'!$B$7:$E$7"),0))</f>
        <v>1847</v>
      </c>
      <c r="E8" s="302"/>
      <c r="F8" s="302">
        <f t="array" aca="1" ref="F8" ca="1">INDEX(INDIRECT("'"&amp;$B8&amp;"'!$B$6:$F$15"),MATCH("DMO "&amp;FY&amp;" price ($ pa, inc GST)",INDIRECT("'"&amp;$B8&amp;"'!$B$6:$B$15"),0),MATCH(F$6&amp;F$7,INDIRECT("'"&amp;$B8&amp;"'!$B$6:$E$6")&amp;INDIRECT("'"&amp;$B8&amp;"'!$B$7:$E$7"),0))</f>
        <v>2578</v>
      </c>
      <c r="G8" s="302"/>
      <c r="H8" s="305">
        <f t="array" aca="1" ref="H8" ca="1">INDEX(INDIRECT("'"&amp;$B8&amp;"'!$B$6:$F$15"),MATCH("DMO "&amp;FY&amp;" price ($ pa, inc GST)",INDIRECT("'"&amp;$B8&amp;"'!$B$6:$B$15"),0),MATCH(H$6&amp;H$7,INDIRECT("'"&amp;$B8&amp;"'!$B$6:$E$6")&amp;INDIRECT("'"&amp;$B8&amp;"'!$B$7:$E$7"),0))</f>
        <v>5000</v>
      </c>
      <c r="I8" s="306"/>
      <c r="J8" s="262"/>
      <c r="K8" s="145"/>
      <c r="L8" s="5" t="str">
        <f>S8&amp;" "&amp;T8</f>
        <v>Residential without CL</v>
      </c>
      <c r="M8" s="20"/>
      <c r="N8" s="20"/>
      <c r="O8" s="139"/>
      <c r="P8" s="139"/>
      <c r="Q8" s="139"/>
      <c r="R8" s="139"/>
      <c r="S8" s="164" t="s">
        <v>6</v>
      </c>
      <c r="T8" s="164" t="s">
        <v>146</v>
      </c>
      <c r="U8" s="5" t="str">
        <f>L8</f>
        <v>Residential without CL</v>
      </c>
      <c r="V8" s="20"/>
      <c r="W8" s="20"/>
      <c r="X8" s="139"/>
      <c r="Y8" s="139"/>
      <c r="Z8" s="139"/>
    </row>
    <row r="9" spans="1:26" ht="12.6" customHeight="1" x14ac:dyDescent="0.25">
      <c r="B9" s="68" t="s">
        <v>2</v>
      </c>
      <c r="C9" s="309" t="s">
        <v>167</v>
      </c>
      <c r="D9" s="301" t="str">
        <f t="array" aca="1" ref="D9" ca="1">INDEX(INDIRECT("'"&amp;$B8&amp;"'!$B$6:$F$15"),MATCH("Annual usage (kWh)",INDIRECT("'"&amp;$B8&amp;"'!$B$6:$B$15"),0),MATCH(D$6&amp;D$7,INDIRECT("'"&amp;$B8&amp;"'!$B$6:$E$6")&amp;INDIRECT("'"&amp;$B8&amp;"'!$B$7:$E$7"),0))&amp;" kWh"</f>
        <v>3900 kWh</v>
      </c>
      <c r="E9" s="301"/>
      <c r="F9" s="303" t="str">
        <f t="array" aca="1" ref="F9" ca="1">"Flat rate "&amp;INDEX(INDIRECT("'"&amp;$B8&amp;"'!$B$6:$F$15"),MATCH("Flat rate usage (kWh)",INDIRECT("'"&amp;$B8&amp;"'!$B$6:$B$15"),0),MATCH(F$6&amp;F$7,INDIRECT("'"&amp;$B8&amp;"'!$B$6:$E$6")&amp;INDIRECT("'"&amp;$B8&amp;"'!$B$7:$E$7"),0))&amp;" kWh"</f>
        <v>Flat rate 4800 kWh</v>
      </c>
      <c r="G9" s="304"/>
      <c r="H9" s="307" t="str">
        <f t="array" aca="1" ref="H9" ca="1">INDEX(INDIRECT("'"&amp;$B8&amp;"'!$B$6:$F$15"),MATCH("Annual usage (kWh)",INDIRECT("'"&amp;$B8&amp;"'!$B$6:$B$15"),0),MATCH(H$6&amp;H$7,INDIRECT("'"&amp;$B8&amp;"'!$B$6:$E$6")&amp;INDIRECT("'"&amp;$B8&amp;"'!$B$7:$E$7"),0))&amp;" kWh"</f>
        <v>10000 kWh</v>
      </c>
      <c r="I9" s="308"/>
      <c r="J9" s="259"/>
      <c r="K9" s="242"/>
      <c r="L9" s="3" t="s">
        <v>2</v>
      </c>
      <c r="M9" s="128">
        <f t="array" aca="1" ref="M9" ca="1">INDEX(INDIRECT("'"&amp;$L9&amp;"'!F23:AJ38"),MATCH(M$6,INDIRECT("'"&amp;$L9&amp;"'!F23:F38"),0),MATCH($S9&amp;$T9&amp;"Change",INDIRECT("'"&amp;$L9&amp;"'!F23:AJ23")&amp;INDIRECT("'"&amp;$L9&amp;"'!F24:AJ24")&amp;INDIRECT("'"&amp;$L9&amp;"'!F30:AJ30"),0))</f>
        <v>7.5422931908026625E-2</v>
      </c>
      <c r="N9" s="128">
        <f t="array" aca="1" ref="N9" ca="1">INDEX(INDIRECT("'"&amp;$L9&amp;"'!F23:AJ38"),MATCH(N$6,INDIRECT("'"&amp;$L9&amp;"'!F23:F38"),0),MATCH($S9&amp;$T9&amp;"Change",INDIRECT("'"&amp;$L9&amp;"'!F23:AJ23")&amp;INDIRECT("'"&amp;$L9&amp;"'!F24:AJ24")&amp;INDIRECT("'"&amp;$L9&amp;"'!F30:AJ30"),0))</f>
        <v>0.51583081076658743</v>
      </c>
      <c r="O9" s="128" cm="1">
        <f t="array" aca="1" ref="O9" ca="1">INDEX(INDIRECT("'"&amp;$L9&amp;"'!F23:AJ38"),MATCH(O$6,INDIRECT("'"&amp;$L9&amp;"'!F23:F38"),0),MATCH($S9&amp;$T9&amp;"Change",INDIRECT("'"&amp;$L9&amp;"'!F23:AJ23")&amp;INDIRECT("'"&amp;$L9&amp;"'!F24:AJ24")&amp;INDIRECT("'"&amp;$L9&amp;"'!F30:AJ30"),0))</f>
        <v>-9.4777562862669362E-2</v>
      </c>
      <c r="P9" s="128" cm="1">
        <f t="array" aca="1" ref="P9" ca="1">INDEX(INDIRECT("'"&amp;$L9&amp;"'!F23:AJ38"),MATCH(P$6,INDIRECT("'"&amp;$L9&amp;"'!F23:F38"),0),MATCH($S9&amp;$T9&amp;"Change",INDIRECT("'"&amp;$L9&amp;"'!F23:AJ23")&amp;INDIRECT("'"&amp;$L9&amp;"'!F24:AJ24")&amp;INDIRECT("'"&amp;$L9&amp;"'!F30:AJ30"),0))</f>
        <v>-3.8143546997817927E-3</v>
      </c>
      <c r="Q9" s="128" cm="1">
        <f t="array" aca="1" ref="Q9" ca="1">INDEX(INDIRECT("'"&amp;$L9&amp;"'!F23:AJ38"),MATCH(Q$6,INDIRECT("'"&amp;$L9&amp;"'!F23:F38"),0),MATCH($S9&amp;$T9&amp;"Change",INDIRECT("'"&amp;$L9&amp;"'!F23:AJ23")&amp;INDIRECT("'"&amp;$L9&amp;"'!F24:AJ24")&amp;INDIRECT("'"&amp;$L9&amp;"'!F30:AJ30"),0))</f>
        <v>0.2218776984897135</v>
      </c>
      <c r="R9" s="129">
        <f t="array" aca="1" ref="R9" ca="1">INDEX(INDIRECT("'"&amp;$L9&amp;"'!$B$6:$F$16"),MATCH("Change from DMO "&amp;PY&amp;" price (%)",INDIRECT("'"&amp;$L9&amp;"'!$B$6:$B$16"),0),MATCH($S9&amp;$T9,INDIRECT("'"&amp;$L9&amp;"'!$B$6:$E$6")&amp;INDIRECT("'"&amp;$L9&amp;"'!$B$7:$E$7"),0))</f>
        <v>0.22156084656084651</v>
      </c>
      <c r="S9" s="67" t="str">
        <f>S8</f>
        <v>Residential</v>
      </c>
      <c r="T9" s="67" t="str">
        <f t="shared" ref="S9:T13" si="0">T8</f>
        <v>without CL</v>
      </c>
      <c r="U9" s="3" t="s">
        <v>2</v>
      </c>
      <c r="V9" s="37">
        <f t="array" aca="1" ref="V9" ca="1">INDEX(INDIRECT("'"&amp;$U9&amp;"'!F23:AJ38"),MATCH(V$6,INDIRECT("'"&amp;$U9&amp;"'!F23:F38"),0),MATCH($S9&amp;$T9&amp;"Proportion",INDIRECT("'"&amp;$U9&amp;"'!F23:AJ23")&amp;INDIRECT("'"&amp;$U9&amp;"'!F24:AJ24")&amp;INDIRECT("'"&amp;$U9&amp;"'!F30:AJ30"),0))</f>
        <v>0.35609890410052908</v>
      </c>
      <c r="W9" s="37">
        <f t="array" aca="1" ref="W9" ca="1">INDEX(INDIRECT("'"&amp;$U9&amp;"'!F23:AJ38"),MATCH(W$6,INDIRECT("'"&amp;$U9&amp;"'!F23:F38"),0),MATCH($S9&amp;$T9&amp;"Proportion",INDIRECT("'"&amp;$U9&amp;"'!F23:AJ23")&amp;INDIRECT("'"&amp;$U9&amp;"'!F24:AJ24")&amp;INDIRECT("'"&amp;$U9&amp;"'!F30:AJ30"),0))</f>
        <v>0.34680337301587305</v>
      </c>
      <c r="X9" s="37">
        <f t="array" aca="1" ref="X9" ca="1">INDEX(INDIRECT("'"&amp;$U9&amp;"'!F23:AJ38"),MATCH(X$6,INDIRECT("'"&amp;$U9&amp;"'!F23:F38"),0),MATCH($S9&amp;$T9&amp;"Proportion",INDIRECT("'"&amp;$U9&amp;"'!F23:AJ23")&amp;INDIRECT("'"&amp;$U9&amp;"'!F24:AJ24")&amp;INDIRECT("'"&amp;$U9&amp;"'!F30:AJ30"),0))</f>
        <v>5.8675396825396832E-2</v>
      </c>
      <c r="Y9" s="37" cm="1">
        <f t="array" aca="1" ref="Y9" ca="1">INDEX(INDIRECT("'"&amp;$U9&amp;"'!F23:AJ38"),MATCH(Y$6,INDIRECT("'"&amp;$U9&amp;"'!F23:F38"),0),MATCH($S9&amp;$T9&amp;"Proportion",INDIRECT("'"&amp;$U9&amp;"'!F23:AJ23")&amp;INDIRECT("'"&amp;$U9&amp;"'!F24:AJ24")&amp;INDIRECT("'"&amp;$U9&amp;"'!F30:AJ30"),0))</f>
        <v>0.13829319822434458</v>
      </c>
      <c r="Z9" s="37" cm="1">
        <f t="array" aca="1" ref="Z9" ca="1">INDEX(INDIRECT("'"&amp;$U9&amp;"'!F23:AJ38"),MATCH(Z$6,INDIRECT("'"&amp;$U9&amp;"'!F23:F38"),0),MATCH($S9&amp;$T9&amp;"Proportion",INDIRECT("'"&amp;$U9&amp;"'!F23:AJ23")&amp;INDIRECT("'"&amp;$U9&amp;"'!F24:AJ24")&amp;INDIRECT("'"&amp;$U9&amp;"'!F30:AJ30"),0))</f>
        <v>9.9985652462904875E-2</v>
      </c>
    </row>
    <row r="10" spans="1:26" ht="12.6" customHeight="1" x14ac:dyDescent="0.25">
      <c r="B10" s="68"/>
      <c r="C10" s="309"/>
      <c r="D10" s="119"/>
      <c r="E10" s="120"/>
      <c r="F10" s="303" t="str">
        <f t="array" aca="1" ref="F10" ca="1">"+ CL "&amp;INDEX(INDIRECT("'"&amp;$B8&amp;"'!$B$6:$F$15"),MATCH("Controlled load usage (kWh)",INDIRECT("'"&amp;$B8&amp;"'!$B$6:$B$15"),0),MATCH(F$6&amp;F$7,INDIRECT("'"&amp;$B8&amp;"'!$B$6:$E$6")&amp;INDIRECT("'"&amp;$B8&amp;"'!$B$7:$E$7"),0))&amp;" kWh"</f>
        <v>+ CL 2000 kWh</v>
      </c>
      <c r="G10" s="304"/>
      <c r="H10" s="119"/>
      <c r="I10" s="240"/>
      <c r="J10" s="260"/>
      <c r="K10" s="242"/>
      <c r="L10" s="3" t="s">
        <v>4</v>
      </c>
      <c r="M10" s="128">
        <f t="array" aca="1" ref="M10" ca="1">INDEX(INDIRECT("'"&amp;$L10&amp;"'!F23:AJ38"),MATCH(M$6,INDIRECT("'"&amp;$L10&amp;"'!F23:F38"),0),MATCH($S10&amp;$T10&amp;"Change",INDIRECT("'"&amp;$L10&amp;"'!F23:AJ23")&amp;INDIRECT("'"&amp;$L10&amp;"'!F24:AJ24")&amp;INDIRECT("'"&amp;$L10&amp;"'!F30:AJ30"),0))</f>
        <v>1.4773146964627726E-2</v>
      </c>
      <c r="N10" s="128">
        <f t="array" aca="1" ref="N10" ca="1">INDEX(INDIRECT("'"&amp;$L10&amp;"'!F23:AJ38"),MATCH(N$6,INDIRECT("'"&amp;$L10&amp;"'!F23:F38"),0),MATCH($S10&amp;$T10&amp;"Change",INDIRECT("'"&amp;$L10&amp;"'!F23:AJ23")&amp;INDIRECT("'"&amp;$L10&amp;"'!F24:AJ24")&amp;INDIRECT("'"&amp;$L10&amp;"'!F30:AJ30"),0))</f>
        <v>0.52096579476861127</v>
      </c>
      <c r="O10" s="128">
        <f t="array" aca="1" ref="O10" ca="1">INDEX(INDIRECT("'"&amp;$L10&amp;"'!F23:AJ38"),MATCH(O$6,INDIRECT("'"&amp;$L10&amp;"'!F23:F38"),0),MATCH($S10&amp;$T10&amp;"Change",INDIRECT("'"&amp;$L10&amp;"'!F23:AJ23")&amp;INDIRECT("'"&amp;$L10&amp;"'!F24:AJ24")&amp;INDIRECT("'"&amp;$L10&amp;"'!F30:AJ30"),0))</f>
        <v>-9.3179634966378599E-2</v>
      </c>
      <c r="P10" s="128" cm="1">
        <f t="array" aca="1" ref="P10" ca="1">INDEX(INDIRECT("'"&amp;$L10&amp;"'!F23:AJ38"),MATCH(P$6,INDIRECT("'"&amp;$L10&amp;"'!F23:F38"),0),MATCH($S10&amp;$T10&amp;"Change",INDIRECT("'"&amp;$L10&amp;"'!F23:AJ23")&amp;INDIRECT("'"&amp;$L10&amp;"'!F24:AJ24")&amp;INDIRECT("'"&amp;$L10&amp;"'!F30:AJ30"),0))</f>
        <v>-1.403130779691057E-2</v>
      </c>
      <c r="Q10" s="128" cm="1">
        <f t="array" aca="1" ref="Q10" ca="1">INDEX(INDIRECT("'"&amp;$L10&amp;"'!F23:AJ38"),MATCH(Q$6,INDIRECT("'"&amp;$L10&amp;"'!F23:F38"),0),MATCH($S10&amp;$T10&amp;"Change",INDIRECT("'"&amp;$L10&amp;"'!F23:AJ23")&amp;INDIRECT("'"&amp;$L10&amp;"'!F24:AJ24")&amp;INDIRECT("'"&amp;$L10&amp;"'!F30:AJ30"),0))</f>
        <v>0.20883202488718783</v>
      </c>
      <c r="R10" s="129">
        <f t="array" aca="1" ref="R10" ca="1">INDEX(INDIRECT("'"&amp;$L10&amp;"'!$B$6:$F$16"),MATCH("Change from DMO "&amp;PY&amp;" price (%)",INDIRECT("'"&amp;$L10&amp;"'!$B$6:$B$16"),0),MATCH($S10&amp;$T10,INDIRECT("'"&amp;$L10&amp;"'!$B$6:$E$6")&amp;INDIRECT("'"&amp;$L10&amp;"'!$B$7:$E$7"),0))</f>
        <v>0.20860566448801743</v>
      </c>
      <c r="S10" s="67" t="str">
        <f t="shared" si="0"/>
        <v>Residential</v>
      </c>
      <c r="T10" s="67" t="str">
        <f t="shared" si="0"/>
        <v>without CL</v>
      </c>
      <c r="U10" s="3" t="s">
        <v>4</v>
      </c>
      <c r="V10" s="37">
        <f t="array" aca="1" ref="V10" ca="1">INDEX(INDIRECT("'"&amp;$U10&amp;"'!F23:AJ38"),MATCH(V$6,INDIRECT("'"&amp;$U10&amp;"'!F23:F38"),0),MATCH($S10&amp;$T10&amp;"Proportion",INDIRECT("'"&amp;$U10&amp;"'!F23:AJ23")&amp;INDIRECT("'"&amp;$U10&amp;"'!F24:AJ24")&amp;INDIRECT("'"&amp;$U10&amp;"'!F30:AJ30"),0))</f>
        <v>0.35603602941176465</v>
      </c>
      <c r="W10" s="37">
        <f t="array" aca="1" ref="W10" ca="1">INDEX(INDIRECT("'"&amp;$U10&amp;"'!F23:AJ38"),MATCH(W$6,INDIRECT("'"&amp;$U10&amp;"'!F23:F38"),0),MATCH($S10&amp;$T10&amp;"Proportion",INDIRECT("'"&amp;$U10&amp;"'!F23:AJ23")&amp;INDIRECT("'"&amp;$U10&amp;"'!F24:AJ24")&amp;INDIRECT("'"&amp;$U10&amp;"'!F30:AJ30"),0))</f>
        <v>0.36476443355119831</v>
      </c>
      <c r="X10" s="37">
        <f t="array" aca="1" ref="X10" ca="1">INDEX(INDIRECT("'"&amp;$U10&amp;"'!F23:AJ38"),MATCH(X$6,INDIRECT("'"&amp;$U10&amp;"'!F23:F38"),0),MATCH($S10&amp;$T10&amp;"Proportion",INDIRECT("'"&amp;$U10&amp;"'!F23:AJ23")&amp;INDIRECT("'"&amp;$U10&amp;"'!F24:AJ24")&amp;INDIRECT("'"&amp;$U10&amp;"'!F30:AJ30"),0))</f>
        <v>6.1121895424836606E-2</v>
      </c>
      <c r="Y10" s="37">
        <f t="array" aca="1" ref="Y10" ca="1">INDEX(INDIRECT("'"&amp;$U10&amp;"'!F23:AJ38"),MATCH(Y$6,INDIRECT("'"&amp;$U10&amp;"'!F23:F38"),0),MATCH($S10&amp;$T10&amp;"Proportion",INDIRECT("'"&amp;$U10&amp;"'!F23:AJ23")&amp;INDIRECT("'"&amp;$U10&amp;"'!F24:AJ24")&amp;INDIRECT("'"&amp;$U10&amp;"'!F30:AJ30"),0))</f>
        <v>0.11802668473050597</v>
      </c>
      <c r="Z10" s="37">
        <f t="array" aca="1" ref="Z10" ca="1">INDEX(INDIRECT("'"&amp;$U10&amp;"'!F23:AJ38"),MATCH(Z$6,INDIRECT("'"&amp;$U10&amp;"'!F23:F38"),0),MATCH($S10&amp;$T10&amp;"Proportion",INDIRECT("'"&amp;$U10&amp;"'!F23:AJ23")&amp;INDIRECT("'"&amp;$U10&amp;"'!F24:AJ24")&amp;INDIRECT("'"&amp;$U10&amp;"'!F30:AJ30"),0))</f>
        <v>9.9994338124256205E-2</v>
      </c>
    </row>
    <row r="11" spans="1:26" ht="12.6" customHeight="1" x14ac:dyDescent="0.25">
      <c r="B11" s="68"/>
      <c r="C11" s="238" t="s">
        <v>272</v>
      </c>
      <c r="D11" s="250">
        <f ca="1">+D8-D12</f>
        <v>1512</v>
      </c>
      <c r="E11" s="251"/>
      <c r="F11" s="250">
        <f ca="1">+F8-F12</f>
        <v>2122</v>
      </c>
      <c r="G11" s="252"/>
      <c r="H11" s="250">
        <f ca="1">+H8-H12</f>
        <v>4360</v>
      </c>
      <c r="I11" s="240"/>
      <c r="K11" s="144"/>
      <c r="L11" s="3" t="s">
        <v>3</v>
      </c>
      <c r="M11" s="128">
        <f t="array" aca="1" ref="M11" ca="1">INDEX(INDIRECT("'"&amp;$L11&amp;"'!F23:AJ38"),MATCH(M$6,INDIRECT("'"&amp;$L11&amp;"'!F23:F38"),0),MATCH($S11&amp;$T11&amp;"Change",INDIRECT("'"&amp;$L11&amp;"'!F23:AJ23")&amp;INDIRECT("'"&amp;$L11&amp;"'!F24:AJ24")&amp;INDIRECT("'"&amp;$L11&amp;"'!F30:AJ30"),0))</f>
        <v>0.11962928861562028</v>
      </c>
      <c r="N11" s="128">
        <f t="array" aca="1" ref="N11" ca="1">INDEX(INDIRECT("'"&amp;$L11&amp;"'!F23:AJ38"),MATCH(N$6,INDIRECT("'"&amp;$L11&amp;"'!F23:F38"),0),MATCH($S11&amp;$T11&amp;"Change",INDIRECT("'"&amp;$L11&amp;"'!F23:AJ23")&amp;INDIRECT("'"&amp;$L11&amp;"'!F24:AJ24")&amp;INDIRECT("'"&amp;$L11&amp;"'!F30:AJ30"),0))</f>
        <v>0.53289643873415549</v>
      </c>
      <c r="O11" s="128">
        <f t="array" aca="1" ref="O11" ca="1">INDEX(INDIRECT("'"&amp;$L11&amp;"'!F23:AJ38"),MATCH(O$6,INDIRECT("'"&amp;$L11&amp;"'!F23:F38"),0),MATCH($S11&amp;$T11&amp;"Change",INDIRECT("'"&amp;$L11&amp;"'!F23:AJ23")&amp;INDIRECT("'"&amp;$L11&amp;"'!F24:AJ24")&amp;INDIRECT("'"&amp;$L11&amp;"'!F30:AJ30"),0))</f>
        <v>-9.9266503667481354E-2</v>
      </c>
      <c r="P11" s="128" cm="1">
        <f t="array" aca="1" ref="P11" ca="1">INDEX(INDIRECT("'"&amp;$L11&amp;"'!F23:AJ38"),MATCH(P$6,INDIRECT("'"&amp;$L11&amp;"'!F23:F38"),0),MATCH($S11&amp;$T11&amp;"Change",INDIRECT("'"&amp;$L11&amp;"'!F23:AJ23")&amp;INDIRECT("'"&amp;$L11&amp;"'!F24:AJ24")&amp;INDIRECT("'"&amp;$L11&amp;"'!F30:AJ30"),0))</f>
        <v>-1.5279527831241497E-2</v>
      </c>
      <c r="Q11" s="128" cm="1">
        <f t="array" aca="1" ref="Q11" ca="1">INDEX(INDIRECT("'"&amp;$L11&amp;"'!F23:AJ38"),MATCH(Q$6,INDIRECT("'"&amp;$L11&amp;"'!F23:F38"),0),MATCH($S11&amp;$T11&amp;"Change",INDIRECT("'"&amp;$L11&amp;"'!F23:AJ23")&amp;INDIRECT("'"&amp;$L11&amp;"'!F24:AJ24")&amp;INDIRECT("'"&amp;$L11&amp;"'!F30:AJ30"),0))</f>
        <v>0.22115615497377381</v>
      </c>
      <c r="R11" s="129">
        <f t="array" aca="1" ref="R11" ca="1">INDEX(INDIRECT("'"&amp;$L11&amp;"'!$B$6:$F$16"),MATCH("Change from DMO "&amp;PY&amp;" price (%)",INDIRECT("'"&amp;$L11&amp;"'!$B$6:$B$16"),0),MATCH($S11&amp;$T11,INDIRECT("'"&amp;$L11&amp;"'!$B$6:$E$6")&amp;INDIRECT("'"&amp;$L11&amp;"'!$B$7:$E$7"),0))</f>
        <v>0.22131931166347996</v>
      </c>
      <c r="S11" s="67" t="str">
        <f t="shared" si="0"/>
        <v>Residential</v>
      </c>
      <c r="T11" s="67" t="str">
        <f t="shared" si="0"/>
        <v>without CL</v>
      </c>
      <c r="U11" s="3" t="s">
        <v>3</v>
      </c>
      <c r="V11" s="37">
        <f t="array" aca="1" ref="V11" ca="1">INDEX(INDIRECT("'"&amp;$U11&amp;"'!F23:AJ38"),MATCH(V$6,INDIRECT("'"&amp;$U11&amp;"'!F23:F38"),0),MATCH($S11&amp;$T11&amp;"Proportion",INDIRECT("'"&amp;$U11&amp;"'!F23:AJ23")&amp;INDIRECT("'"&amp;$U11&amp;"'!F24:AJ24")&amp;INDIRECT("'"&amp;$U11&amp;"'!F30:AJ30"),0))</f>
        <v>0.46848947418738046</v>
      </c>
      <c r="W11" s="37">
        <f t="array" aca="1" ref="W11" ca="1">INDEX(INDIRECT("'"&amp;$U11&amp;"'!F23:AJ38"),MATCH(W$6,INDIRECT("'"&amp;$U11&amp;"'!F23:F38"),0),MATCH($S11&amp;$T11&amp;"Proportion",INDIRECT("'"&amp;$U11&amp;"'!F23:AJ23")&amp;INDIRECT("'"&amp;$U11&amp;"'!F24:AJ24")&amp;INDIRECT("'"&amp;$U11&amp;"'!F30:AJ30"),0))</f>
        <v>0.28050105162523897</v>
      </c>
      <c r="X11" s="37">
        <f t="array" aca="1" ref="X11" ca="1">INDEX(INDIRECT("'"&amp;$U11&amp;"'!F23:AJ38"),MATCH(X$6,INDIRECT("'"&amp;$U11&amp;"'!F23:F38"),0),MATCH($S11&amp;$T11&amp;"Proportion",INDIRECT("'"&amp;$U11&amp;"'!F23:AJ23")&amp;INDIRECT("'"&amp;$U11&amp;"'!F24:AJ24")&amp;INDIRECT("'"&amp;$U11&amp;"'!F30:AJ30"),0))</f>
        <v>4.9463193116634795E-2</v>
      </c>
      <c r="Y11" s="37">
        <f t="array" aca="1" ref="Y11" ca="1">INDEX(INDIRECT("'"&amp;$U11&amp;"'!F23:AJ38"),MATCH(Y$6,INDIRECT("'"&amp;$U11&amp;"'!F23:F38"),0),MATCH($S11&amp;$T11&amp;"Proportion",INDIRECT("'"&amp;$U11&amp;"'!F23:AJ23")&amp;INDIRECT("'"&amp;$U11&amp;"'!F24:AJ24")&amp;INDIRECT("'"&amp;$U11&amp;"'!F30:AJ30"),0))</f>
        <v>0.10163474930817827</v>
      </c>
      <c r="Z11" s="37">
        <f t="array" aca="1" ref="Z11" ca="1">INDEX(INDIRECT("'"&amp;$U11&amp;"'!F23:AJ38"),MATCH(Z$6,INDIRECT("'"&amp;$U11&amp;"'!F23:F38"),0),MATCH($S11&amp;$T11&amp;"Proportion",INDIRECT("'"&amp;$U11&amp;"'!F23:AJ23")&amp;INDIRECT("'"&amp;$U11&amp;"'!F24:AJ24")&amp;INDIRECT("'"&amp;$U11&amp;"'!F30:AJ30"),0))</f>
        <v>0.10000982980415911</v>
      </c>
    </row>
    <row r="12" spans="1:26" ht="12.6" customHeight="1" x14ac:dyDescent="0.25">
      <c r="B12" s="68"/>
      <c r="C12" s="241" t="s">
        <v>154</v>
      </c>
      <c r="D12" s="125">
        <f t="array" aca="1" ref="D12" ca="1">INDEX(INDIRECT("'"&amp;$B8&amp;"'!$B$6:$F$16"),MATCH("Change from DMO "&amp;PY&amp;" price ($)",INDIRECT("'"&amp;$B8&amp;"'!$B$6:$B$16"),0),MATCH(D$6&amp;D$7,INDIRECT("'"&amp;$B8&amp;"'!$B$6:$E$6")&amp;INDIRECT("'"&amp;$B8&amp;"'!$B$7:$E$7"),0))</f>
        <v>335</v>
      </c>
      <c r="E12" s="126" t="str" cm="1">
        <f t="array" aca="1" ref="E12" ca="1">"("&amp;ROUND(INDEX(INDIRECT("'"&amp;$B8&amp;"'!$B$6:$F$16"),MATCH("Change from DMO "&amp;PY&amp;" price (%)",INDIRECT("'"&amp;$B8&amp;"'!$B$6:$B$16"),0),MATCH(D$6&amp;D$7,INDIRECT("'"&amp;$B8&amp;"'!$B$6:$E$6")&amp;INDIRECT("'"&amp;$B8&amp;"'!$B$7:$E$7"),0))*100,1)&amp;"%)"</f>
        <v>(22.2%)</v>
      </c>
      <c r="F12" s="125">
        <f t="array" aca="1" ref="F12" ca="1">INDEX(INDIRECT("'"&amp;$B8&amp;"'!$B$6:$F$16"),MATCH("Change from DMO "&amp;PY&amp;" price ($)",INDIRECT("'"&amp;$B8&amp;"'!$B$6:$B$16"),0),MATCH(F$6&amp;F$7,INDIRECT("'"&amp;$B8&amp;"'!$B$6:$E$6")&amp;INDIRECT("'"&amp;$B8&amp;"'!$B$7:$E$7"),0))</f>
        <v>456</v>
      </c>
      <c r="G12" s="126" t="str">
        <f t="array" aca="1" ref="G12" ca="1">"("&amp;ROUND(INDEX(INDIRECT("'"&amp;$B8&amp;"'!$B$6:$F$16"),MATCH("Change from DMO "&amp;PY&amp;" price (%)",INDIRECT("'"&amp;$B8&amp;"'!$B$6:$B$16"),0),MATCH(F$6&amp;F$7,INDIRECT("'"&amp;$B8&amp;"'!$B$6:$E$6")&amp;INDIRECT("'"&amp;$B8&amp;"'!$B$7:$E$7"),0))*100,1)&amp;"%)"</f>
        <v>(21.5%)</v>
      </c>
      <c r="H12" s="125" cm="1">
        <f t="array" aca="1" ref="H12" ca="1">INDEX(INDIRECT("'"&amp;$B8&amp;"'!$B$6:$F$16"),MATCH("Change from DMO "&amp;PY&amp;" price ($)",INDIRECT("'"&amp;$B8&amp;"'!$B$6:$B$16"),0),MATCH(H$6&amp;H$7,INDIRECT("'"&amp;$B8&amp;"'!$B$6:$E$6")&amp;INDIRECT("'"&amp;$B8&amp;"'!$B$7:$E$7"),0))</f>
        <v>640</v>
      </c>
      <c r="I12" s="127" t="str">
        <f t="array" aca="1" ref="I12" ca="1">"("&amp;ROUND(INDEX(INDIRECT("'"&amp;$B8&amp;"'!$B$6:$F$16"),MATCH("Change from DMO "&amp;PY&amp;" price (%)",INDIRECT("'"&amp;$B8&amp;"'!$B$6:$B$16"),0),MATCH(H$6&amp;H$7,INDIRECT("'"&amp;$B8&amp;"'!$B$6:$E$6")&amp;INDIRECT("'"&amp;$B8&amp;"'!$B$7:$E$7"),0))*100,1)&amp;"%)"</f>
        <v>(14.7%)</v>
      </c>
      <c r="J12" s="259"/>
      <c r="K12" s="144"/>
      <c r="L12" s="3" t="s">
        <v>0</v>
      </c>
      <c r="M12" s="128">
        <f t="array" aca="1" ref="M12" ca="1">INDEX(INDIRECT("'"&amp;$L12&amp;"'!F23:AJ38"),MATCH(M$6,INDIRECT("'"&amp;$L12&amp;"'!F23:F38"),0),MATCH($S12&amp;$T12&amp;"Change",INDIRECT("'"&amp;$L12&amp;"'!F23:AJ23")&amp;INDIRECT("'"&amp;$L12&amp;"'!F24:AJ24")&amp;INDIRECT("'"&amp;$L12&amp;"'!F30:AJ30"),0))</f>
        <v>5.3717581315256613E-2</v>
      </c>
      <c r="N12" s="128">
        <f t="array" aca="1" ref="N12" ca="1">INDEX(INDIRECT("'"&amp;$L12&amp;"'!F23:AJ38"),MATCH(N$6,INDIRECT("'"&amp;$L12&amp;"'!F23:F38"),0),MATCH($S12&amp;$T12&amp;"Change",INDIRECT("'"&amp;$L12&amp;"'!F23:AJ23")&amp;INDIRECT("'"&amp;$L12&amp;"'!F24:AJ24")&amp;INDIRECT("'"&amp;$L12&amp;"'!F30:AJ30"),0))</f>
        <v>0.49380258753279671</v>
      </c>
      <c r="O12" s="128">
        <f t="array" aca="1" ref="O12" ca="1">INDEX(INDIRECT("'"&amp;$L12&amp;"'!F23:AJ38"),MATCH(O$6,INDIRECT("'"&amp;$L12&amp;"'!F23:F38"),0),MATCH($S12&amp;$T12&amp;"Change",INDIRECT("'"&amp;$L12&amp;"'!F23:AJ23")&amp;INDIRECT("'"&amp;$L12&amp;"'!F24:AJ24")&amp;INDIRECT("'"&amp;$L12&amp;"'!F30:AJ30"),0))</f>
        <v>-0.11695906432748548</v>
      </c>
      <c r="P12" s="128" cm="1">
        <f t="array" aca="1" ref="P12" ca="1">INDEX(INDIRECT("'"&amp;$L12&amp;"'!F23:AJ38"),MATCH(P$6,INDIRECT("'"&amp;$L12&amp;"'!F23:F38"),0),MATCH($S12&amp;$T12&amp;"Change",INDIRECT("'"&amp;$L12&amp;"'!F23:AJ23")&amp;INDIRECT("'"&amp;$L12&amp;"'!F24:AJ24")&amp;INDIRECT("'"&amp;$L12&amp;"'!F30:AJ30"),0))</f>
        <v>-2.6531367919805413E-2</v>
      </c>
      <c r="Q12" s="128" cm="1">
        <f t="array" aca="1" ref="Q12" ca="1">INDEX(INDIRECT("'"&amp;$L12&amp;"'!F23:AJ38"),MATCH(Q$6,INDIRECT("'"&amp;$L12&amp;"'!F23:F38"),0),MATCH($S12&amp;$T12&amp;"Change",INDIRECT("'"&amp;$L12&amp;"'!F23:AJ23")&amp;INDIRECT("'"&amp;$L12&amp;"'!F24:AJ24")&amp;INDIRECT("'"&amp;$L12&amp;"'!F30:AJ30"),0))</f>
        <v>0.19818098660660219</v>
      </c>
      <c r="R12" s="129">
        <f t="array" aca="1" ref="R12" ca="1">INDEX(INDIRECT("'"&amp;$L12&amp;"'!$B$6:$F$16"),MATCH("Change from DMO "&amp;PY&amp;" price (%)",INDIRECT("'"&amp;$L12&amp;"'!$B$6:$B$16"),0),MATCH($S12&amp;$T12,INDIRECT("'"&amp;$L12&amp;"'!$B$6:$E$6")&amp;INDIRECT("'"&amp;$L12&amp;"'!$B$7:$E$7"),0))</f>
        <v>0.19814814814814818</v>
      </c>
      <c r="S12" s="67" t="str">
        <f t="shared" si="0"/>
        <v>Residential</v>
      </c>
      <c r="T12" s="67" t="str">
        <f t="shared" si="0"/>
        <v>without CL</v>
      </c>
      <c r="U12" s="3" t="s">
        <v>0</v>
      </c>
      <c r="V12" s="37">
        <f t="array" aca="1" ref="V12" ca="1">INDEX(INDIRECT("'"&amp;$U12&amp;"'!F23:AJ38"),MATCH(V$6,INDIRECT("'"&amp;$U12&amp;"'!F23:F38"),0),MATCH($S12&amp;$T12&amp;"Proportion",INDIRECT("'"&amp;$U12&amp;"'!F23:AJ23")&amp;INDIRECT("'"&amp;$U12&amp;"'!F24:AJ24")&amp;INDIRECT("'"&amp;$U12&amp;"'!F30:AJ30"),0))</f>
        <v>0.3869874691358024</v>
      </c>
      <c r="W12" s="37">
        <f t="array" aca="1" ref="W12" ca="1">INDEX(INDIRECT("'"&amp;$U12&amp;"'!F23:AJ38"),MATCH(W$6,INDIRECT("'"&amp;$U12&amp;"'!F23:F38"),0),MATCH($S12&amp;$T12&amp;"Proportion",INDIRECT("'"&amp;$U12&amp;"'!F23:AJ23")&amp;INDIRECT("'"&amp;$U12&amp;"'!F24:AJ24")&amp;INDIRECT("'"&amp;$U12&amp;"'!F30:AJ30"),0))</f>
        <v>0.34523567901234564</v>
      </c>
      <c r="X12" s="37">
        <f t="array" aca="1" ref="X12" ca="1">INDEX(INDIRECT("'"&amp;$U12&amp;"'!F23:AJ38"),MATCH(X$6,INDIRECT("'"&amp;$U12&amp;"'!F23:F38"),0),MATCH($S12&amp;$T12&amp;"Proportion",INDIRECT("'"&amp;$U12&amp;"'!F23:AJ23")&amp;INDIRECT("'"&amp;$U12&amp;"'!F24:AJ24")&amp;INDIRECT("'"&amp;$U12&amp;"'!F30:AJ30"),0))</f>
        <v>5.3411111111111111E-2</v>
      </c>
      <c r="Y12" s="37">
        <f t="array" aca="1" ref="Y12" ca="1">INDEX(INDIRECT("'"&amp;$U12&amp;"'!F23:AJ38"),MATCH(Y$6,INDIRECT("'"&amp;$U12&amp;"'!F23:F38"),0),MATCH($S12&amp;$T12&amp;"Proportion",INDIRECT("'"&amp;$U12&amp;"'!F23:AJ23")&amp;INDIRECT("'"&amp;$U12&amp;"'!F24:AJ24")&amp;INDIRECT("'"&amp;$U12&amp;"'!F30:AJ30"),0))</f>
        <v>0.1304851098010549</v>
      </c>
      <c r="Z12" s="37">
        <f t="array" aca="1" ref="Z12" ca="1">INDEX(INDIRECT("'"&amp;$U12&amp;"'!F23:AJ38"),MATCH(Z$6,INDIRECT("'"&amp;$U12&amp;"'!F23:F38"),0),MATCH($S12&amp;$T12&amp;"Proportion",INDIRECT("'"&amp;$U12&amp;"'!F23:AJ23")&amp;INDIRECT("'"&amp;$U12&amp;"'!F24:AJ24")&amp;INDIRECT("'"&amp;$U12&amp;"'!F30:AJ30"),0))</f>
        <v>8.4010946507714415E-2</v>
      </c>
    </row>
    <row r="13" spans="1:26" x14ac:dyDescent="0.25">
      <c r="B13" s="68"/>
      <c r="C13" s="241" t="s">
        <v>271</v>
      </c>
      <c r="D13" s="125">
        <f ca="1">+D8-+D11*(1+'Key inputs'!$I$10)</f>
        <v>232.94000000000005</v>
      </c>
      <c r="E13" s="126" t="str">
        <f ca="1">CONCATENATE("(",ROUND(+D13/D11*100,1),"%)")</f>
        <v>(15.4%)</v>
      </c>
      <c r="F13" s="125">
        <f ca="1">+F8-+F11*(1+'Key inputs'!$I$10)</f>
        <v>312.76500000000033</v>
      </c>
      <c r="G13" s="126" t="str">
        <f ca="1">CONCATENATE("(",ROUND(+F13/F11*100,1),"%)")</f>
        <v>(14.7%)</v>
      </c>
      <c r="H13" s="125">
        <f ca="1">+H8-+H11*(1+'Key inputs'!$I$10)</f>
        <v>345.70000000000073</v>
      </c>
      <c r="I13" s="127" t="str">
        <f ca="1">CONCATENATE("(",ROUND(+H13/H11*100,1),"%)")</f>
        <v>(7.9%)</v>
      </c>
      <c r="K13" s="144"/>
      <c r="L13" s="3" t="s">
        <v>5</v>
      </c>
      <c r="M13" s="128">
        <f t="array" aca="1" ref="M13" ca="1">INDEX(INDIRECT("'"&amp;$L13&amp;"'!F23:AJ38"),MATCH(M$6,INDIRECT("'"&amp;$L13&amp;"'!F23:F38"),0),MATCH($S13&amp;$T13&amp;"Change",INDIRECT("'"&amp;$L13&amp;"'!F23:AJ23")&amp;INDIRECT("'"&amp;$L13&amp;"'!F24:AJ24")&amp;INDIRECT("'"&amp;$L13&amp;"'!F30:AJ30"),0))</f>
        <v>4.0620596887430693E-3</v>
      </c>
      <c r="N13" s="128">
        <f t="array" aca="1" ref="N13" ca="1">INDEX(INDIRECT("'"&amp;$L13&amp;"'!F23:AJ38"),MATCH(N$6,INDIRECT("'"&amp;$L13&amp;"'!F23:F38"),0),MATCH($S13&amp;$T13&amp;"Change",INDIRECT("'"&amp;$L13&amp;"'!F23:AJ23")&amp;INDIRECT("'"&amp;$L13&amp;"'!F24:AJ24")&amp;INDIRECT("'"&amp;$L13&amp;"'!F30:AJ30"),0))</f>
        <v>0.660001486657251</v>
      </c>
      <c r="O13" s="128">
        <f t="array" aca="1" ref="O13" ca="1">INDEX(INDIRECT("'"&amp;$L13&amp;"'!F23:AJ38"),MATCH(O$6,INDIRECT("'"&amp;$L13&amp;"'!F23:F38"),0),MATCH($S13&amp;$T13&amp;"Change",INDIRECT("'"&amp;$L13&amp;"'!F23:AJ23")&amp;INDIRECT("'"&amp;$L13&amp;"'!F24:AJ24")&amp;INDIRECT("'"&amp;$L13&amp;"'!F30:AJ30"),0))</f>
        <v>-0.10304219823356231</v>
      </c>
      <c r="P13" s="128" cm="1">
        <f t="array" aca="1" ref="P13" ca="1">INDEX(INDIRECT("'"&amp;$L13&amp;"'!F23:AJ38"),MATCH(P$6,INDIRECT("'"&amp;$L13&amp;"'!F23:F38"),0),MATCH($S13&amp;$T13&amp;"Change",INDIRECT("'"&amp;$L13&amp;"'!F23:AJ23")&amp;INDIRECT("'"&amp;$L13&amp;"'!F24:AJ24")&amp;INDIRECT("'"&amp;$L13&amp;"'!F30:AJ30"),0))</f>
        <v>-3.5663386072850745E-2</v>
      </c>
      <c r="Q13" s="128" cm="1">
        <f t="array" aca="1" ref="Q13" ca="1">INDEX(INDIRECT("'"&amp;$L13&amp;"'!F23:AJ38"),MATCH(Q$6,INDIRECT("'"&amp;$L13&amp;"'!F23:F38"),0),MATCH($S13&amp;$T13&amp;"Change",INDIRECT("'"&amp;$L13&amp;"'!F23:AJ23")&amp;INDIRECT("'"&amp;$L13&amp;"'!F24:AJ24")&amp;INDIRECT("'"&amp;$L13&amp;"'!F30:AJ30"),0))</f>
        <v>0.21789155442055538</v>
      </c>
      <c r="R13" s="129" cm="1">
        <f t="array" aca="1" ref="R13" ca="1">INDEX(INDIRECT("'"&amp;$L13&amp;"'!$B$6:$F$16"),MATCH("Change from DMO "&amp;PY&amp;" price (%)",INDIRECT("'"&amp;$L13&amp;"'!$B$6:$B$16"),0),MATCH($S13&amp;$T13,INDIRECT("'"&amp;$L13&amp;"'!$B$6:$E$6")&amp;INDIRECT("'"&amp;$L13&amp;"'!$B$7:$E$7"),0))</f>
        <v>0.2179347826086957</v>
      </c>
      <c r="S13" s="67" t="str">
        <f t="shared" si="0"/>
        <v>Residential</v>
      </c>
      <c r="T13" s="67" t="str">
        <f t="shared" si="0"/>
        <v>without CL</v>
      </c>
      <c r="U13" s="3" t="s">
        <v>5</v>
      </c>
      <c r="V13" s="37">
        <f t="array" aca="1" ref="V13" ca="1">INDEX(INDIRECT("'"&amp;$U13&amp;"'!F23:AJ38"),MATCH(V$6,INDIRECT("'"&amp;$U13&amp;"'!F23:F38"),0),MATCH($S13&amp;$T13&amp;"Proportion",INDIRECT("'"&amp;$U13&amp;"'!F23:AJ23")&amp;INDIRECT("'"&amp;$U13&amp;"'!F24:AJ24")&amp;INDIRECT("'"&amp;$U13&amp;"'!F30:AJ30"),0))</f>
        <v>0.4493254891304348</v>
      </c>
      <c r="W13" s="37">
        <f t="array" aca="1" ref="W13" ca="1">INDEX(INDIRECT("'"&amp;$U13&amp;"'!F23:AJ38"),MATCH(W$6,INDIRECT("'"&amp;$U13&amp;"'!F23:F38"),0),MATCH($S13&amp;$T13&amp;"Proportion",INDIRECT("'"&amp;$U13&amp;"'!F23:AJ23")&amp;INDIRECT("'"&amp;$U13&amp;"'!F24:AJ24")&amp;INDIRECT("'"&amp;$U13&amp;"'!F30:AJ30"),0))</f>
        <v>0.32170217391304351</v>
      </c>
      <c r="X13" s="37">
        <f t="array" aca="1" ref="X13" ca="1">INDEX(INDIRECT("'"&amp;$U13&amp;"'!F23:AJ38"),MATCH(X$6,INDIRECT("'"&amp;$U13&amp;"'!F23:F38"),0),MATCH($S13&amp;$T13&amp;"Proportion",INDIRECT("'"&amp;$U13&amp;"'!F23:AJ23")&amp;INDIRECT("'"&amp;$U13&amp;"'!F24:AJ24")&amp;INDIRECT("'"&amp;$U13&amp;"'!F30:AJ30"),0))</f>
        <v>4.8734782608695654E-2</v>
      </c>
      <c r="Y13" s="37">
        <f t="array" aca="1" ref="Y13" ca="1">INDEX(INDIRECT("'"&amp;$U13&amp;"'!F23:AJ38"),MATCH(Y$6,INDIRECT("'"&amp;$U13&amp;"'!F23:F38"),0),MATCH($S13&amp;$T13&amp;"Proportion",INDIRECT("'"&amp;$U13&amp;"'!F23:AJ23")&amp;INDIRECT("'"&amp;$U13&amp;"'!F24:AJ24")&amp;INDIRECT("'"&amp;$U13&amp;"'!F30:AJ30"),0))</f>
        <v>0.12032124979087444</v>
      </c>
      <c r="Z13" s="37">
        <f t="array" aca="1" ref="Z13" ca="1">INDEX(INDIRECT("'"&amp;$U13&amp;"'!F23:AJ38"),MATCH(Z$6,INDIRECT("'"&amp;$U13&amp;"'!F23:F38"),0),MATCH($S13&amp;$T13&amp;"Proportion",INDIRECT("'"&amp;$U13&amp;"'!F23:AJ23")&amp;INDIRECT("'"&amp;$U13&amp;"'!F24:AJ24")&amp;INDIRECT("'"&amp;$U13&amp;"'!F30:AJ30"),0))</f>
        <v>6.0005342262322334E-2</v>
      </c>
    </row>
    <row r="14" spans="1:26" s="43" customFormat="1" ht="30" customHeight="1" x14ac:dyDescent="0.25">
      <c r="B14" s="70" t="s">
        <v>4</v>
      </c>
      <c r="C14" s="117" t="s">
        <v>90</v>
      </c>
      <c r="D14" s="294">
        <f t="array" aca="1" ref="D14" ca="1">INDEX(INDIRECT("'"&amp;$B14&amp;"'!$B$6:$F$16"),MATCH("DMO "&amp;FY&amp;" price ($ pa, inc GST)",INDIRECT("'"&amp;$B14&amp;"'!$B$6:$B$16"),0),MATCH(D$6&amp;D$7,INDIRECT("'"&amp;$B14&amp;"'!$B$6:$E$6")&amp;INDIRECT("'"&amp;$B14&amp;"'!$B$7:$E$7"),0))</f>
        <v>2219</v>
      </c>
      <c r="E14" s="295"/>
      <c r="F14" s="294">
        <f t="array" aca="1" ref="F14" ca="1">INDEX(INDIRECT("'"&amp;$B14&amp;"'!$B$6:$F$16"),MATCH("DMO "&amp;FY&amp;" price ($ pa, inc GST)",INDIRECT("'"&amp;$B14&amp;"'!$B$6:$B$16"),0),MATCH(F$6&amp;F$7,INDIRECT("'"&amp;$B14&amp;"'!$B$6:$E$6")&amp;INDIRECT("'"&amp;$B14&amp;"'!$B$7:$E$7"),0))</f>
        <v>2947</v>
      </c>
      <c r="G14" s="295"/>
      <c r="H14" s="294">
        <f t="array" aca="1" ref="H14" ca="1">INDEX(INDIRECT("'"&amp;$B14&amp;"'!$B$6:$F$16"),MATCH("DMO "&amp;FY&amp;" price ($ pa, inc GST)",INDIRECT("'"&amp;$B14&amp;"'!$B$6:$B$16"),0),MATCH(H$6&amp;H$7,INDIRECT("'"&amp;$B14&amp;"'!$B$6:$E$6")&amp;INDIRECT("'"&amp;$B14&amp;"'!$B$7:$E$7"),0))</f>
        <v>4535</v>
      </c>
      <c r="I14" s="296"/>
      <c r="J14" s="258">
        <f ca="1">+D14</f>
        <v>2219</v>
      </c>
      <c r="K14" s="243"/>
      <c r="L14" s="5" t="str">
        <f>S14&amp;" "&amp;T14</f>
        <v>Residential with CL</v>
      </c>
      <c r="M14" s="130"/>
      <c r="N14" s="130"/>
      <c r="O14" s="139"/>
      <c r="P14" s="148"/>
      <c r="Q14" s="148"/>
      <c r="R14" s="139"/>
      <c r="S14" s="164" t="s">
        <v>6</v>
      </c>
      <c r="T14" s="164" t="s">
        <v>147</v>
      </c>
      <c r="U14" s="5" t="str">
        <f>L14</f>
        <v>Residential with CL</v>
      </c>
      <c r="V14" s="130"/>
      <c r="W14" s="130"/>
      <c r="X14" s="139"/>
      <c r="Y14" s="148"/>
      <c r="Z14" s="148"/>
    </row>
    <row r="15" spans="1:26" ht="12.6" customHeight="1" x14ac:dyDescent="0.25">
      <c r="B15" s="71" t="s">
        <v>4</v>
      </c>
      <c r="C15" s="310" t="s">
        <v>167</v>
      </c>
      <c r="D15" s="292" t="str">
        <f t="array" aca="1" ref="D15" ca="1">INDEX(INDIRECT("'"&amp;$B14&amp;"'!$B$6:$F$15"),MATCH("Annual usage (kWh)",INDIRECT("'"&amp;$B14&amp;"'!$B$6:$B$15"),0),MATCH(D$6&amp;D$7,INDIRECT("'"&amp;$B14&amp;"'!$B$6:$E$6")&amp;INDIRECT("'"&amp;$B14&amp;"'!$B$7:$E$7"),0))&amp;" kWh"</f>
        <v>4900 kWh</v>
      </c>
      <c r="E15" s="312"/>
      <c r="F15" s="289" t="str">
        <f t="array" aca="1" ref="F15" ca="1">"Flat rate "&amp;INDEX(INDIRECT("'"&amp;$B14&amp;"'!$B$6:$F$15"),MATCH("Flat rate usage (kWh)",INDIRECT("'"&amp;$B14&amp;"'!$B$6:$B$15"),0),MATCH(F$6&amp;F$7,INDIRECT("'"&amp;$B14&amp;"'!$B$6:$E$6")&amp;INDIRECT("'"&amp;$B14&amp;"'!$B$7:$E$7"),0))&amp;" kWh"</f>
        <v>Flat rate 5200 kWh</v>
      </c>
      <c r="G15" s="290"/>
      <c r="H15" s="292" t="str">
        <f t="array" aca="1" ref="H15" ca="1">INDEX(INDIRECT("'"&amp;$B14&amp;"'!$B$6:$F$15"),MATCH("Annual usage (kWh)",INDIRECT("'"&amp;$B14&amp;"'!$B$6:$B$15"),0),MATCH(H$6&amp;H$7,INDIRECT("'"&amp;$B14&amp;"'!$B$6:$E$6")&amp;INDIRECT("'"&amp;$B14&amp;"'!$B$7:$E$7"),0))&amp;" kWh"</f>
        <v>10000 kWh</v>
      </c>
      <c r="I15" s="293"/>
      <c r="K15" s="242"/>
      <c r="L15" s="3" t="s">
        <v>2</v>
      </c>
      <c r="M15" s="128">
        <f t="array" aca="1" ref="M15" ca="1">INDEX(INDIRECT("'"&amp;$L15&amp;"'!F23:AJ38"),MATCH(M$6,INDIRECT("'"&amp;$L15&amp;"'!F23:F38"),0),MATCH($S15&amp;$T15&amp;"Change",INDIRECT("'"&amp;$L15&amp;"'!F23:AJ23")&amp;INDIRECT("'"&amp;$L15&amp;"'!F24:AJ24")&amp;INDIRECT("'"&amp;$L15&amp;"'!F30:AJ30"),0))</f>
        <v>5.2237487580846453E-2</v>
      </c>
      <c r="N15" s="128">
        <f t="array" aca="1" ref="N15" ca="1">INDEX(INDIRECT("'"&amp;$L15&amp;"'!F23:AJ38"),MATCH(N$6,INDIRECT("'"&amp;$L15&amp;"'!F23:F38"),0),MATCH($S15&amp;$T15&amp;"Change",INDIRECT("'"&amp;$L15&amp;"'!F23:AJ23")&amp;INDIRECT("'"&amp;$L15&amp;"'!F24:AJ24")&amp;INDIRECT("'"&amp;$L15&amp;"'!F30:AJ30"),0))</f>
        <v>0.46280278630500082</v>
      </c>
      <c r="O15" s="128">
        <f t="array" aca="1" ref="O15" ca="1">INDEX(INDIRECT("'"&amp;$L15&amp;"'!F23:AJ38"),MATCH(O$6,INDIRECT("'"&amp;$L15&amp;"'!F23:F38"),0),MATCH($S15&amp;$T15&amp;"Change",INDIRECT("'"&amp;$L15&amp;"'!F23:AJ23")&amp;INDIRECT("'"&amp;$L15&amp;"'!F24:AJ24")&amp;INDIRECT("'"&amp;$L15&amp;"'!F30:AJ30"),0))</f>
        <v>-9.4838856363326451E-2</v>
      </c>
      <c r="P15" s="128" cm="1">
        <f t="array" aca="1" ref="P15" ca="1">INDEX(INDIRECT("'"&amp;$L15&amp;"'!F23:AJ38"),MATCH(P$6,INDIRECT("'"&amp;$L15&amp;"'!F23:F38"),0),MATCH($S15&amp;$T15&amp;"Change",INDIRECT("'"&amp;$L15&amp;"'!F23:AJ23")&amp;INDIRECT("'"&amp;$L15&amp;"'!F24:AJ24")&amp;INDIRECT("'"&amp;$L15&amp;"'!F30:AJ30"),0))</f>
        <v>-3.8143546997817927E-3</v>
      </c>
      <c r="Q15" s="128" cm="1">
        <f t="array" aca="1" ref="Q15" ca="1">INDEX(INDIRECT("'"&amp;$L15&amp;"'!F23:AJ38"),MATCH(Q$6,INDIRECT("'"&amp;$L15&amp;"'!F23:F38"),0),MATCH($S15&amp;$T15&amp;"Change",INDIRECT("'"&amp;$L15&amp;"'!F23:AJ23")&amp;INDIRECT("'"&amp;$L15&amp;"'!F24:AJ24")&amp;INDIRECT("'"&amp;$L15&amp;"'!F30:AJ30"),0))</f>
        <v>0.21459740163681951</v>
      </c>
      <c r="R15" s="129">
        <f t="array" aca="1" ref="R15" ca="1">INDEX(INDIRECT("'"&amp;$L15&amp;"'!$B$6:$F$16"),MATCH("Change from DMO "&amp;PY&amp;" price (%)",INDIRECT("'"&amp;$L15&amp;"'!$B$6:$B$16"),0),MATCH($S15&amp;$T15,INDIRECT("'"&amp;$L15&amp;"'!$B$6:$E$6")&amp;INDIRECT("'"&amp;$L15&amp;"'!$B$7:$E$7"),0))</f>
        <v>0.21489161168708759</v>
      </c>
      <c r="S15" s="67" t="str">
        <f t="shared" ref="S15:T19" si="1">S14</f>
        <v>Residential</v>
      </c>
      <c r="T15" s="67" t="str">
        <f t="shared" si="1"/>
        <v>with CL</v>
      </c>
      <c r="U15" s="3" t="s">
        <v>2</v>
      </c>
      <c r="V15" s="37">
        <f t="array" aca="1" ref="V15" ca="1">INDEX(INDIRECT("'"&amp;$U15&amp;"'!F23:AJ38"),MATCH(V$6,INDIRECT("'"&amp;$U15&amp;"'!F23:F38"),0),MATCH($S15&amp;$T15&amp;"Proportion",INDIRECT("'"&amp;$U15&amp;"'!F23:AJ23")&amp;INDIRECT("'"&amp;$U15&amp;"'!F24:AJ24")&amp;INDIRECT("'"&amp;$U15&amp;"'!F30:AJ30"),0))</f>
        <v>0.33307992379830348</v>
      </c>
      <c r="W15" s="37">
        <f t="array" aca="1" ref="W15" ca="1">INDEX(INDIRECT("'"&amp;$U15&amp;"'!F23:AJ38"),MATCH(W$6,INDIRECT("'"&amp;$U15&amp;"'!F23:F38"),0),MATCH($S15&amp;$T15&amp;"Proportion",INDIRECT("'"&amp;$U15&amp;"'!F23:AJ23")&amp;INDIRECT("'"&amp;$U15&amp;"'!F24:AJ24")&amp;INDIRECT("'"&amp;$U15&amp;"'!F30:AJ30"),0))</f>
        <v>0.3955471442035815</v>
      </c>
      <c r="X15" s="37">
        <f t="array" aca="1" ref="X15" ca="1">INDEX(INDIRECT("'"&amp;$U15&amp;"'!F23:AJ38"),MATCH(X$6,INDIRECT("'"&amp;$U15&amp;"'!F23:F38"),0),MATCH($S15&amp;$T15&amp;"Proportion",INDIRECT("'"&amp;$U15&amp;"'!F23:AJ23")&amp;INDIRECT("'"&amp;$U15&amp;"'!F24:AJ24")&amp;INDIRECT("'"&amp;$U15&amp;"'!F30:AJ30"),0))</f>
        <v>7.2958718190386421E-2</v>
      </c>
      <c r="Y15" s="37">
        <f t="array" aca="1" ref="Y15" ca="1">INDEX(INDIRECT("'"&amp;$U15&amp;"'!F23:AJ38"),MATCH(Y$6,INDIRECT("'"&amp;$U15&amp;"'!F23:F38"),0),MATCH($S15&amp;$T15&amp;"Proportion",INDIRECT("'"&amp;$U15&amp;"'!F23:AJ23")&amp;INDIRECT("'"&amp;$U15&amp;"'!F24:AJ24")&amp;INDIRECT("'"&amp;$U15&amp;"'!F30:AJ30"),0))</f>
        <v>9.8538791571729026E-2</v>
      </c>
      <c r="Z15" s="37">
        <f t="array" aca="1" ref="Z15" ca="1">INDEX(INDIRECT("'"&amp;$U15&amp;"'!F23:AJ38"),MATCH(Z$6,INDIRECT("'"&amp;$U15&amp;"'!F23:F38"),0),MATCH($S15&amp;$T15&amp;"Proportion",INDIRECT("'"&amp;$U15&amp;"'!F23:AJ23")&amp;INDIRECT("'"&amp;$U15&amp;"'!F24:AJ24")&amp;INDIRECT("'"&amp;$U15&amp;"'!F30:AJ30"),0))</f>
        <v>0.1000138419737777</v>
      </c>
    </row>
    <row r="16" spans="1:26" ht="12.6" customHeight="1" x14ac:dyDescent="0.25">
      <c r="B16" s="71"/>
      <c r="C16" s="311"/>
      <c r="D16" s="121"/>
      <c r="E16" s="122"/>
      <c r="F16" s="289" t="str">
        <f t="array" aca="1" ref="F16" ca="1">"+ CL "&amp;INDEX(INDIRECT("'"&amp;$B14&amp;"'!$B$6:$F$15"),MATCH("Controlled load usage (kWh)",INDIRECT("'"&amp;$B14&amp;"'!$B$6:$B$15"),0),MATCH(F$6&amp;F$7,INDIRECT("'"&amp;$B14&amp;"'!$B$6:$E$6")&amp;INDIRECT("'"&amp;$B14&amp;"'!$B$7:$E$7"),0))&amp;" kWh"</f>
        <v>+ CL 2200 kWh</v>
      </c>
      <c r="G16" s="290"/>
      <c r="H16" s="121"/>
      <c r="I16" s="239"/>
      <c r="J16" s="261"/>
      <c r="K16" s="243"/>
      <c r="L16" s="3" t="s">
        <v>4</v>
      </c>
      <c r="M16" s="128">
        <f t="array" aca="1" ref="M16" ca="1">INDEX(INDIRECT("'"&amp;$L16&amp;"'!F23:AJ38"),MATCH(M$6,INDIRECT("'"&amp;$L16&amp;"'!F23:F38"),0),MATCH($S16&amp;$T16&amp;"Change",INDIRECT("'"&amp;$L16&amp;"'!F23:AJ23")&amp;INDIRECT("'"&amp;$L16&amp;"'!F24:AJ24")&amp;INDIRECT("'"&amp;$L16&amp;"'!F30:AJ30"),0))</f>
        <v>1.7096671565474786E-2</v>
      </c>
      <c r="N16" s="128">
        <f t="array" aca="1" ref="N16" ca="1">INDEX(INDIRECT("'"&amp;$L16&amp;"'!F23:AJ38"),MATCH(N$6,INDIRECT("'"&amp;$L16&amp;"'!F23:F38"),0),MATCH($S16&amp;$T16&amp;"Change",INDIRECT("'"&amp;$L16&amp;"'!F23:AJ23")&amp;INDIRECT("'"&amp;$L16&amp;"'!F24:AJ24")&amp;INDIRECT("'"&amp;$L16&amp;"'!F30:AJ30"),0))</f>
        <v>0.51971492204899805</v>
      </c>
      <c r="O16" s="128">
        <f t="array" aca="1" ref="O16" ca="1">INDEX(INDIRECT("'"&amp;$L16&amp;"'!F23:AJ38"),MATCH(O$6,INDIRECT("'"&amp;$L16&amp;"'!F23:F38"),0),MATCH($S16&amp;$T16&amp;"Change",INDIRECT("'"&amp;$L16&amp;"'!F23:AJ23")&amp;INDIRECT("'"&amp;$L16&amp;"'!F24:AJ24")&amp;INDIRECT("'"&amp;$L16&amp;"'!F30:AJ30"),0))</f>
        <v>-9.3179634966378266E-2</v>
      </c>
      <c r="P16" s="128" cm="1">
        <f t="array" aca="1" ref="P16" ca="1">INDEX(INDIRECT("'"&amp;$L16&amp;"'!F23:AJ38"),MATCH(P$6,INDIRECT("'"&amp;$L16&amp;"'!F23:F38"),0),MATCH($S16&amp;$T16&amp;"Change",INDIRECT("'"&amp;$L16&amp;"'!F23:AJ23")&amp;INDIRECT("'"&amp;$L16&amp;"'!F24:AJ24")&amp;INDIRECT("'"&amp;$L16&amp;"'!F30:AJ30"),0))</f>
        <v>-1.403130779691057E-2</v>
      </c>
      <c r="Q16" s="128" cm="1">
        <f t="array" aca="1" ref="Q16" ca="1">INDEX(INDIRECT("'"&amp;$L16&amp;"'!F23:AJ38"),MATCH(Q$6,INDIRECT("'"&amp;$L16&amp;"'!F23:F38"),0),MATCH($S16&amp;$T16&amp;"Change",INDIRECT("'"&amp;$L16&amp;"'!F23:AJ23")&amp;INDIRECT("'"&amp;$L16&amp;"'!F24:AJ24")&amp;INDIRECT("'"&amp;$L16&amp;"'!F30:AJ30"),0))</f>
        <v>0.23677534981786885</v>
      </c>
      <c r="R16" s="129">
        <f t="array" aca="1" ref="R16" ca="1">INDEX(INDIRECT("'"&amp;$L16&amp;"'!$B$6:$F$16"),MATCH("Change from DMO "&amp;PY&amp;" price (%)",INDIRECT("'"&amp;$L16&amp;"'!$B$6:$B$16"),0),MATCH($S16&amp;$T16,INDIRECT("'"&amp;$L16&amp;"'!$B$6:$E$6")&amp;INDIRECT("'"&amp;$L16&amp;"'!$B$7:$E$7"),0))</f>
        <v>0.23667645824590844</v>
      </c>
      <c r="S16" s="67" t="str">
        <f>S15</f>
        <v>Residential</v>
      </c>
      <c r="T16" s="67" t="str">
        <f t="shared" si="1"/>
        <v>with CL</v>
      </c>
      <c r="U16" s="3" t="s">
        <v>4</v>
      </c>
      <c r="V16" s="37">
        <f t="array" aca="1" ref="V16" ca="1">INDEX(INDIRECT("'"&amp;$U16&amp;"'!F23:AJ38"),MATCH(V$6,INDIRECT("'"&amp;$U16&amp;"'!F23:F38"),0),MATCH($S16&amp;$T16&amp;"Proportion",INDIRECT("'"&amp;$U16&amp;"'!F23:AJ23")&amp;INDIRECT("'"&amp;$U16&amp;"'!F24:AJ24")&amp;INDIRECT("'"&amp;$U16&amp;"'!F30:AJ30"),0))</f>
        <v>0.32325014611833824</v>
      </c>
      <c r="W16" s="37">
        <f t="array" aca="1" ref="W16" ca="1">INDEX(INDIRECT("'"&amp;$U16&amp;"'!F23:AJ38"),MATCH(W$6,INDIRECT("'"&amp;$U16&amp;"'!F23:F38"),0),MATCH($S16&amp;$T16&amp;"Proportion",INDIRECT("'"&amp;$U16&amp;"'!F23:AJ23")&amp;INDIRECT("'"&amp;$U16&amp;"'!F24:AJ24")&amp;INDIRECT("'"&amp;$U16&amp;"'!F30:AJ30"),0))</f>
        <v>0.41451951321863195</v>
      </c>
      <c r="X16" s="37">
        <f t="array" aca="1" ref="X16" ca="1">INDEX(INDIRECT("'"&amp;$U16&amp;"'!F23:AJ38"),MATCH(X$6,INDIRECT("'"&amp;$U16&amp;"'!F23:F38"),0),MATCH($S16&amp;$T16&amp;"Proportion",INDIRECT("'"&amp;$U16&amp;"'!F23:AJ23")&amp;INDIRECT("'"&amp;$U16&amp;"'!F24:AJ24")&amp;INDIRECT("'"&amp;$U16&amp;"'!F30:AJ30"),0))</f>
        <v>7.1118254301300879E-2</v>
      </c>
      <c r="Y16" s="37">
        <f t="array" aca="1" ref="Y16" ca="1">INDEX(INDIRECT("'"&amp;$U16&amp;"'!F23:AJ38"),MATCH(Y$6,INDIRECT("'"&amp;$U16&amp;"'!F23:F38"),0),MATCH($S16&amp;$T16&amp;"Proportion",INDIRECT("'"&amp;$U16&amp;"'!F23:AJ23")&amp;INDIRECT("'"&amp;$U16&amp;"'!F24:AJ24")&amp;INDIRECT("'"&amp;$U16&amp;"'!F30:AJ30"),0))</f>
        <v>9.0934533430637413E-2</v>
      </c>
      <c r="Z16" s="37">
        <f t="array" aca="1" ref="Z16" ca="1">INDEX(INDIRECT("'"&amp;$U16&amp;"'!F23:AJ38"),MATCH(Z$6,INDIRECT("'"&amp;$U16&amp;"'!F23:F38"),0),MATCH($S16&amp;$T16&amp;"Proportion",INDIRECT("'"&amp;$U16&amp;"'!F23:AJ23")&amp;INDIRECT("'"&amp;$U16&amp;"'!F24:AJ24")&amp;INDIRECT("'"&amp;$U16&amp;"'!F30:AJ30"),0))</f>
        <v>9.998027189654532E-2</v>
      </c>
    </row>
    <row r="17" spans="2:26" ht="12.6" customHeight="1" x14ac:dyDescent="0.25">
      <c r="B17" s="71"/>
      <c r="C17" s="247" t="s">
        <v>272</v>
      </c>
      <c r="D17" s="253">
        <f ca="1">+D14-D18</f>
        <v>1836</v>
      </c>
      <c r="E17" s="254"/>
      <c r="F17" s="253">
        <f ca="1">+F14-F18</f>
        <v>2383</v>
      </c>
      <c r="G17" s="255"/>
      <c r="H17" s="253">
        <f ca="1">+H14-H18</f>
        <v>3782</v>
      </c>
      <c r="I17" s="239"/>
      <c r="K17" s="242"/>
      <c r="L17" s="3" t="s">
        <v>3</v>
      </c>
      <c r="M17" s="128">
        <f t="array" aca="1" ref="M17" ca="1">INDEX(INDIRECT("'"&amp;$L17&amp;"'!F23:AJ38"),MATCH(M$6,INDIRECT("'"&amp;$L17&amp;"'!F23:F38"),0),MATCH($S17&amp;$T17&amp;"Change",INDIRECT("'"&amp;$L17&amp;"'!F23:AJ23")&amp;INDIRECT("'"&amp;$L17&amp;"'!F24:AJ24")&amp;INDIRECT("'"&amp;$L17&amp;"'!F30:AJ30"),0))</f>
        <v>0.11875640069196325</v>
      </c>
      <c r="N17" s="128">
        <f t="array" aca="1" ref="N17" ca="1">INDEX(INDIRECT("'"&amp;$L17&amp;"'!F23:AJ38"),MATCH(N$6,INDIRECT("'"&amp;$L17&amp;"'!F23:F38"),0),MATCH($S17&amp;$T17&amp;"Change",INDIRECT("'"&amp;$L17&amp;"'!F23:AJ23")&amp;INDIRECT("'"&amp;$L17&amp;"'!F24:AJ24")&amp;INDIRECT("'"&amp;$L17&amp;"'!F30:AJ30"),0))</f>
        <v>0.47051051491907336</v>
      </c>
      <c r="O17" s="128">
        <f t="array" aca="1" ref="O17" ca="1">INDEX(INDIRECT("'"&amp;$L17&amp;"'!F23:AJ38"),MATCH(O$6,INDIRECT("'"&amp;$L17&amp;"'!F23:F38"),0),MATCH($S17&amp;$T17&amp;"Change",INDIRECT("'"&amp;$L17&amp;"'!F23:AJ23")&amp;INDIRECT("'"&amp;$L17&amp;"'!F24:AJ24")&amp;INDIRECT("'"&amp;$L17&amp;"'!F30:AJ30"),0))</f>
        <v>-9.9266503667481465E-2</v>
      </c>
      <c r="P17" s="128" cm="1">
        <f t="array" aca="1" ref="P17" ca="1">INDEX(INDIRECT("'"&amp;$L17&amp;"'!F23:AJ38"),MATCH(P$6,INDIRECT("'"&amp;$L17&amp;"'!F23:F38"),0),MATCH($S17&amp;$T17&amp;"Change",INDIRECT("'"&amp;$L17&amp;"'!F23:AJ23")&amp;INDIRECT("'"&amp;$L17&amp;"'!F24:AJ24")&amp;INDIRECT("'"&amp;$L17&amp;"'!F30:AJ30"),0))</f>
        <v>-1.5279527831241497E-2</v>
      </c>
      <c r="Q17" s="128" cm="1">
        <f t="array" aca="1" ref="Q17" ca="1">INDEX(INDIRECT("'"&amp;$L17&amp;"'!F23:AJ38"),MATCH(Q$6,INDIRECT("'"&amp;$L17&amp;"'!F23:F38"),0),MATCH($S17&amp;$T17&amp;"Change",INDIRECT("'"&amp;$L17&amp;"'!F23:AJ23")&amp;INDIRECT("'"&amp;$L17&amp;"'!F24:AJ24")&amp;INDIRECT("'"&amp;$L17&amp;"'!F30:AJ30"),0))</f>
        <v>0.2139197163619973</v>
      </c>
      <c r="R17" s="129">
        <f t="array" aca="1" ref="R17" ca="1">INDEX(INDIRECT("'"&amp;$L17&amp;"'!$B$6:$F$16"),MATCH("Change from DMO "&amp;PY&amp;" price (%)",INDIRECT("'"&amp;$L17&amp;"'!$B$6:$B$16"),0),MATCH($S17&amp;$T17,INDIRECT("'"&amp;$L17&amp;"'!$B$6:$E$6")&amp;INDIRECT("'"&amp;$L17&amp;"'!$B$7:$E$7"),0))</f>
        <v>0.21365461847389566</v>
      </c>
      <c r="S17" s="67" t="str">
        <f t="shared" si="1"/>
        <v>Residential</v>
      </c>
      <c r="T17" s="67" t="str">
        <f t="shared" si="1"/>
        <v>with CL</v>
      </c>
      <c r="U17" s="3" t="s">
        <v>3</v>
      </c>
      <c r="V17" s="37">
        <f t="array" aca="1" ref="V17" ca="1">INDEX(INDIRECT("'"&amp;$U17&amp;"'!F23:AJ38"),MATCH(V$6,INDIRECT("'"&amp;$U17&amp;"'!F23:F38"),0),MATCH($S17&amp;$T17&amp;"Proportion",INDIRECT("'"&amp;$U17&amp;"'!F23:AJ23")&amp;INDIRECT("'"&amp;$U17&amp;"'!F24:AJ24")&amp;INDIRECT("'"&amp;$U17&amp;"'!F30:AJ30"),0))</f>
        <v>0.44194532128514058</v>
      </c>
      <c r="W17" s="37">
        <f t="array" aca="1" ref="W17" ca="1">INDEX(INDIRECT("'"&amp;$U17&amp;"'!F23:AJ38"),MATCH(W$6,INDIRECT("'"&amp;$U17&amp;"'!F23:F38"),0),MATCH($S17&amp;$T17&amp;"Proportion",INDIRECT("'"&amp;$U17&amp;"'!F23:AJ23")&amp;INDIRECT("'"&amp;$U17&amp;"'!F24:AJ24")&amp;INDIRECT("'"&amp;$U17&amp;"'!F30:AJ30"),0))</f>
        <v>0.31295751004016065</v>
      </c>
      <c r="X17" s="37">
        <f t="array" aca="1" ref="X17" ca="1">INDEX(INDIRECT("'"&amp;$U17&amp;"'!F23:AJ38"),MATCH(X$6,INDIRECT("'"&amp;$U17&amp;"'!F23:F38"),0),MATCH($S17&amp;$T17&amp;"Proportion",INDIRECT("'"&amp;$U17&amp;"'!F23:AJ23")&amp;INDIRECT("'"&amp;$U17&amp;"'!F24:AJ24")&amp;INDIRECT("'"&amp;$U17&amp;"'!F30:AJ30"),0))</f>
        <v>5.9625301204819271E-2</v>
      </c>
      <c r="Y17" s="37">
        <f t="array" aca="1" ref="Y17" ca="1">INDEX(INDIRECT("'"&amp;$U17&amp;"'!F23:AJ38"),MATCH(Y$6,INDIRECT("'"&amp;$U17&amp;"'!F23:F38"),0),MATCH($S17&amp;$T17&amp;"Proportion",INDIRECT("'"&amp;$U17&amp;"'!F23:AJ23")&amp;INDIRECT("'"&amp;$U17&amp;"'!F24:AJ24")&amp;INDIRECT("'"&amp;$U17&amp;"'!F30:AJ30"),0))</f>
        <v>8.5389516286228498E-2</v>
      </c>
      <c r="Z17" s="37">
        <f t="array" aca="1" ref="Z17" ca="1">INDEX(INDIRECT("'"&amp;$U17&amp;"'!F23:AJ38"),MATCH(Z$6,INDIRECT("'"&amp;$U17&amp;"'!F23:F38"),0),MATCH($S17&amp;$T17&amp;"Proportion",INDIRECT("'"&amp;$U17&amp;"'!F23:AJ23")&amp;INDIRECT("'"&amp;$U17&amp;"'!F24:AJ24")&amp;INDIRECT("'"&amp;$U17&amp;"'!F30:AJ30"),0))</f>
        <v>9.9990849868483209E-2</v>
      </c>
    </row>
    <row r="18" spans="2:26" ht="12.6" customHeight="1" x14ac:dyDescent="0.25">
      <c r="B18" s="71"/>
      <c r="C18" s="246" t="s">
        <v>154</v>
      </c>
      <c r="D18" s="165">
        <f t="array" aca="1" ref="D18" ca="1">INDEX(INDIRECT("'"&amp;$B14&amp;"'!$B$6:$F$16"),MATCH("Change from DMO "&amp;PY&amp;" price ($)",INDIRECT("'"&amp;$B14&amp;"'!$B$6:$B$16"),0),MATCH(D$6&amp;D$7,INDIRECT("'"&amp;$B14&amp;"'!$B$6:$E$6")&amp;INDIRECT("'"&amp;$B14&amp;"'!$B$7:$E$7"),0))</f>
        <v>383</v>
      </c>
      <c r="E18" s="123" t="str">
        <f t="array" aca="1" ref="E18" ca="1">"("&amp;ROUND(INDEX(INDIRECT("'"&amp;$B14&amp;"'!$B$6:$F$16"),MATCH("Change from DMO "&amp;PY&amp;" price (%)",INDIRECT("'"&amp;$B14&amp;"'!$B$6:$B$16"),0),MATCH(D$6&amp;D$7,INDIRECT("'"&amp;$B14&amp;"'!$B$6:$E$6")&amp;INDIRECT("'"&amp;$B14&amp;"'!$B$7:$E$7"),0))*100,1)&amp;"%)"</f>
        <v>(20.9%)</v>
      </c>
      <c r="F18" s="165">
        <f t="array" aca="1" ref="F18" ca="1">INDEX(INDIRECT("'"&amp;$B14&amp;"'!$B$6:$F$16"),MATCH("Change from DMO "&amp;PY&amp;" price ($)",INDIRECT("'"&amp;$B14&amp;"'!$B$6:$B$16"),0),MATCH(F$6&amp;F$7,INDIRECT("'"&amp;$B14&amp;"'!$B$6:$E$6")&amp;INDIRECT("'"&amp;$B14&amp;"'!$B$7:$E$7"),0))</f>
        <v>564</v>
      </c>
      <c r="G18" s="123" t="str">
        <f t="array" aca="1" ref="G18" ca="1">"("&amp;ROUND(INDEX(INDIRECT("'"&amp;$B14&amp;"'!$B$6:$F$16"),MATCH("Change from DMO "&amp;PY&amp;" price (%)",INDIRECT("'"&amp;$B14&amp;"'!$B$6:$B$16"),0),MATCH(F$6&amp;F$7,INDIRECT("'"&amp;$B14&amp;"'!$B$6:$E$6")&amp;INDIRECT("'"&amp;$B14&amp;"'!$B$7:$E$7"),0))*100,1)&amp;"%)"</f>
        <v>(23.7%)</v>
      </c>
      <c r="H18" s="165">
        <f t="array" aca="1" ref="H18" ca="1">INDEX(INDIRECT("'"&amp;$B14&amp;"'!$B$6:$F$16"),MATCH("Change from DMO "&amp;PY&amp;" price ($)",INDIRECT("'"&amp;$B14&amp;"'!$B$6:$B$16"),0),MATCH(H$6&amp;H$7,INDIRECT("'"&amp;$B14&amp;"'!$B$6:$E$6")&amp;INDIRECT("'"&amp;$B14&amp;"'!$B$7:$E$7"),0))</f>
        <v>753</v>
      </c>
      <c r="I18" s="124" t="str">
        <f t="array" aca="1" ref="I18" ca="1">"("&amp;ROUND(INDEX(INDIRECT("'"&amp;$B14&amp;"'!$B$6:$F$16"),MATCH("Change from DMO "&amp;PY&amp;" price (%)",INDIRECT("'"&amp;$B14&amp;"'!$B$6:$B$16"),0),MATCH(H$6&amp;H$7,INDIRECT("'"&amp;$B14&amp;"'!$B$6:$E$6")&amp;INDIRECT("'"&amp;$B14&amp;"'!$B$7:$E$7"),0))*100,1)&amp;"%)"</f>
        <v>(19.9%)</v>
      </c>
      <c r="L18" s="3" t="s">
        <v>0</v>
      </c>
      <c r="M18" s="128">
        <f t="array" aca="1" ref="M18" ca="1">INDEX(INDIRECT("'"&amp;$L18&amp;"'!F23:AJ38"),MATCH(M$6,INDIRECT("'"&amp;$L18&amp;"'!F23:F38"),0),MATCH($S18&amp;$T18&amp;"Change",INDIRECT("'"&amp;$L18&amp;"'!F23:AJ23")&amp;INDIRECT("'"&amp;$L18&amp;"'!F24:AJ24")&amp;INDIRECT("'"&amp;$L18&amp;"'!F30:AJ30"),0))</f>
        <v>7.3442718897955839E-2</v>
      </c>
      <c r="N18" s="128">
        <f t="array" aca="1" ref="N18" ca="1">INDEX(INDIRECT("'"&amp;$L18&amp;"'!F23:AJ38"),MATCH(N$6,INDIRECT("'"&amp;$L18&amp;"'!F23:F38"),0),MATCH($S18&amp;$T18&amp;"Change",INDIRECT("'"&amp;$L18&amp;"'!F23:AJ23")&amp;INDIRECT("'"&amp;$L18&amp;"'!F24:AJ24")&amp;INDIRECT("'"&amp;$L18&amp;"'!F30:AJ30"),0))</f>
        <v>0.42977416720413197</v>
      </c>
      <c r="O18" s="128">
        <f t="array" aca="1" ref="O18" ca="1">INDEX(INDIRECT("'"&amp;$L18&amp;"'!F23:AJ38"),MATCH(O$6,INDIRECT("'"&amp;$L18&amp;"'!F23:F38"),0),MATCH($S18&amp;$T18&amp;"Change",INDIRECT("'"&amp;$L18&amp;"'!F23:AJ23")&amp;INDIRECT("'"&amp;$L18&amp;"'!F24:AJ24")&amp;INDIRECT("'"&amp;$L18&amp;"'!F30:AJ30"),0))</f>
        <v>-0.11695906432748526</v>
      </c>
      <c r="P18" s="128" cm="1">
        <f t="array" aca="1" ref="P18" ca="1">INDEX(INDIRECT("'"&amp;$L18&amp;"'!F23:AJ38"),MATCH(P$6,INDIRECT("'"&amp;$L18&amp;"'!F23:F38"),0),MATCH($S18&amp;$T18&amp;"Change",INDIRECT("'"&amp;$L18&amp;"'!F23:AJ23")&amp;INDIRECT("'"&amp;$L18&amp;"'!F24:AJ24")&amp;INDIRECT("'"&amp;$L18&amp;"'!F30:AJ30"),0))</f>
        <v>-2.6531367919805413E-2</v>
      </c>
      <c r="Q18" s="128" cm="1">
        <f t="array" aca="1" ref="Q18" ca="1">INDEX(INDIRECT("'"&amp;$L18&amp;"'!F23:AJ38"),MATCH(Q$6,INDIRECT("'"&amp;$L18&amp;"'!F23:F38"),0),MATCH($S18&amp;$T18&amp;"Change",INDIRECT("'"&amp;$L18&amp;"'!F23:AJ23")&amp;INDIRECT("'"&amp;$L18&amp;"'!F24:AJ24")&amp;INDIRECT("'"&amp;$L18&amp;"'!F30:AJ30"),0))</f>
        <v>0.19532514655469044</v>
      </c>
      <c r="R18" s="129">
        <f t="array" aca="1" ref="R18" ca="1">INDEX(INDIRECT("'"&amp;$L18&amp;"'!$B$6:$F$16"),MATCH("Change from DMO "&amp;PY&amp;" price (%)",INDIRECT("'"&amp;$L18&amp;"'!$B$6:$B$16"),0),MATCH($S18&amp;$T18,INDIRECT("'"&amp;$L18&amp;"'!$B$6:$E$6")&amp;INDIRECT("'"&amp;$L18&amp;"'!$B$7:$E$7"),0))</f>
        <v>0.19530851606323307</v>
      </c>
      <c r="S18" s="67" t="str">
        <f t="shared" si="1"/>
        <v>Residential</v>
      </c>
      <c r="T18" s="67" t="str">
        <f t="shared" si="1"/>
        <v>with CL</v>
      </c>
      <c r="U18" s="3" t="s">
        <v>0</v>
      </c>
      <c r="V18" s="37">
        <f t="array" aca="1" ref="V18" ca="1">INDEX(INDIRECT("'"&amp;$U18&amp;"'!F23:AJ38"),MATCH(V$6,INDIRECT("'"&amp;$U18&amp;"'!F23:F38"),0),MATCH($S18&amp;$T18&amp;"Proportion",INDIRECT("'"&amp;$U18&amp;"'!F23:AJ23")&amp;INDIRECT("'"&amp;$U18&amp;"'!F24:AJ24")&amp;INDIRECT("'"&amp;$U18&amp;"'!F30:AJ30"),0))</f>
        <v>0.3612762366139724</v>
      </c>
      <c r="W18" s="37">
        <f t="array" aca="1" ref="W18" ca="1">INDEX(INDIRECT("'"&amp;$U18&amp;"'!F23:AJ38"),MATCH(W$6,INDIRECT("'"&amp;$U18&amp;"'!F23:F38"),0),MATCH($S18&amp;$T18&amp;"Proportion",INDIRECT("'"&amp;$U18&amp;"'!F23:AJ23")&amp;INDIRECT("'"&amp;$U18&amp;"'!F24:AJ24")&amp;INDIRECT("'"&amp;$U18&amp;"'!F30:AJ30"),0))</f>
        <v>0.37031305354411015</v>
      </c>
      <c r="X18" s="37">
        <f t="array" aca="1" ref="X18" ca="1">INDEX(INDIRECT("'"&amp;$U18&amp;"'!F23:AJ38"),MATCH(X$6,INDIRECT("'"&amp;$U18&amp;"'!F23:F38"),0),MATCH($S18&amp;$T18&amp;"Proportion",INDIRECT("'"&amp;$U18&amp;"'!F23:AJ23")&amp;INDIRECT("'"&amp;$U18&amp;"'!F24:AJ24")&amp;INDIRECT("'"&amp;$U18&amp;"'!F30:AJ30"),0))</f>
        <v>6.0429882712901575E-2</v>
      </c>
      <c r="Y18" s="37">
        <f t="array" aca="1" ref="Y18" ca="1">INDEX(INDIRECT("'"&amp;$U18&amp;"'!F23:AJ38"),MATCH(Y$6,INDIRECT("'"&amp;$U18&amp;"'!F23:F38"),0),MATCH($S18&amp;$T18&amp;"Proportion",INDIRECT("'"&amp;$U18&amp;"'!F23:AJ23")&amp;INDIRECT("'"&amp;$U18&amp;"'!F24:AJ24")&amp;INDIRECT("'"&amp;$U18&amp;"'!F30:AJ30"),0))</f>
        <v>0.1077949402742014</v>
      </c>
      <c r="Z18" s="37">
        <f t="array" aca="1" ref="Z18" ca="1">INDEX(INDIRECT("'"&amp;$U18&amp;"'!F23:AJ38"),MATCH(Z$6,INDIRECT("'"&amp;$U18&amp;"'!F23:F38"),0),MATCH($S18&amp;$T18&amp;"Proportion",INDIRECT("'"&amp;$U18&amp;"'!F23:AJ23")&amp;INDIRECT("'"&amp;$U18&amp;"'!F24:AJ24")&amp;INDIRECT("'"&amp;$U18&amp;"'!F30:AJ30"),0))</f>
        <v>9.997934590502057E-2</v>
      </c>
    </row>
    <row r="19" spans="2:26" ht="12.6" customHeight="1" x14ac:dyDescent="0.25">
      <c r="B19" s="71"/>
      <c r="C19" s="246" t="s">
        <v>271</v>
      </c>
      <c r="D19" s="165">
        <f ca="1">+D14-+D17*(1+'Key inputs'!$I$10)</f>
        <v>259.07000000000016</v>
      </c>
      <c r="E19" s="123" t="str">
        <f ca="1">CONCATENATE("(",ROUND(+D19/D17*100,1),"%)")</f>
        <v>(14.1%)</v>
      </c>
      <c r="F19" s="165">
        <f ca="1">+F14-+F17*(1+'Key inputs'!$I$10)</f>
        <v>403.14750000000004</v>
      </c>
      <c r="G19" s="123" t="str">
        <f ca="1">CONCATENATE("(",ROUND(+F19/F17*100,1),"%)")</f>
        <v>(16.9%)</v>
      </c>
      <c r="H19" s="165">
        <f ca="1">+H14-+H17*(1+'Key inputs'!$I$10)</f>
        <v>497.7150000000006</v>
      </c>
      <c r="I19" s="124" t="str">
        <f ca="1">CONCATENATE("(",ROUND(+H19/H17*100,1),"%)")</f>
        <v>(13.2%)</v>
      </c>
      <c r="L19" s="3" t="s">
        <v>5</v>
      </c>
      <c r="M19" s="128">
        <f t="array" aca="1" ref="M19" ca="1">INDEX(INDIRECT("'"&amp;$L19&amp;"'!F23:AJ38"),MATCH(M$6,INDIRECT("'"&amp;$L19&amp;"'!F23:F38"),0),MATCH($S19&amp;$T19&amp;"Change",INDIRECT("'"&amp;$L19&amp;"'!F23:AJ23")&amp;INDIRECT("'"&amp;$L19&amp;"'!F24:AJ24")&amp;INDIRECT("'"&amp;$L19&amp;"'!F30:AJ30"),0))</f>
        <v>3.5940099545361814E-3</v>
      </c>
      <c r="N19" s="128">
        <f t="array" aca="1" ref="N19" ca="1">INDEX(INDIRECT("'"&amp;$L19&amp;"'!F23:AJ38"),MATCH(N$6,INDIRECT("'"&amp;$L19&amp;"'!F23:F38"),0),MATCH($S19&amp;$T19&amp;"Change",INDIRECT("'"&amp;$L19&amp;"'!F23:AJ23")&amp;INDIRECT("'"&amp;$L19&amp;"'!F24:AJ24")&amp;INDIRECT("'"&amp;$L19&amp;"'!F30:AJ30"),0))</f>
        <v>0.61699088851987938</v>
      </c>
      <c r="O19" s="128">
        <f t="array" aca="1" ref="O19" ca="1">INDEX(INDIRECT("'"&amp;$L19&amp;"'!F23:AJ38"),MATCH(O$6,INDIRECT("'"&amp;$L19&amp;"'!F23:F38"),0),MATCH($S19&amp;$T19&amp;"Change",INDIRECT("'"&amp;$L19&amp;"'!F23:AJ23")&amp;INDIRECT("'"&amp;$L19&amp;"'!F24:AJ24")&amp;INDIRECT("'"&amp;$L19&amp;"'!F30:AJ30"),0))</f>
        <v>-0.10304219823356231</v>
      </c>
      <c r="P19" s="128" cm="1">
        <f t="array" aca="1" ref="P19" ca="1">INDEX(INDIRECT("'"&amp;$L19&amp;"'!F23:AJ38"),MATCH(P$6,INDIRECT("'"&amp;$L19&amp;"'!F23:F38"),0),MATCH($S19&amp;$T19&amp;"Change",INDIRECT("'"&amp;$L19&amp;"'!F23:AJ23")&amp;INDIRECT("'"&amp;$L19&amp;"'!F24:AJ24")&amp;INDIRECT("'"&amp;$L19&amp;"'!F30:AJ30"),0))</f>
        <v>-3.5663386072850745E-2</v>
      </c>
      <c r="Q19" s="128" cm="1">
        <f t="array" aca="1" ref="Q19" ca="1">INDEX(INDIRECT("'"&amp;$L19&amp;"'!F23:AJ38"),MATCH(Q$6,INDIRECT("'"&amp;$L19&amp;"'!F23:F38"),0),MATCH($S19&amp;$T19&amp;"Change",INDIRECT("'"&amp;$L19&amp;"'!F23:AJ23")&amp;INDIRECT("'"&amp;$L19&amp;"'!F24:AJ24")&amp;INDIRECT("'"&amp;$L19&amp;"'!F30:AJ30"),0))</f>
        <v>0.21280866350756461</v>
      </c>
      <c r="R19" s="129">
        <f t="array" aca="1" ref="R19" ca="1">INDEX(INDIRECT("'"&amp;$L19&amp;"'!$B$6:$F$16"),MATCH("Change from DMO "&amp;PY&amp;" price (%)",INDIRECT("'"&amp;$L19&amp;"'!$B$6:$B$16"),0),MATCH($S19&amp;$T19,INDIRECT("'"&amp;$L19&amp;"'!$B$6:$E$6")&amp;INDIRECT("'"&amp;$L19&amp;"'!$B$7:$E$7"),0))</f>
        <v>0.2131868131868131</v>
      </c>
      <c r="S19" s="67" t="str">
        <f t="shared" si="1"/>
        <v>Residential</v>
      </c>
      <c r="T19" s="67" t="str">
        <f t="shared" si="1"/>
        <v>with CL</v>
      </c>
      <c r="U19" s="3" t="s">
        <v>5</v>
      </c>
      <c r="V19" s="37">
        <f t="array" aca="1" ref="V19" ca="1">INDEX(INDIRECT("'"&amp;$U19&amp;"'!F23:AJ38"),MATCH(V$6,INDIRECT("'"&amp;$U19&amp;"'!F23:F38"),0),MATCH($S19&amp;$T19&amp;"Proportion",INDIRECT("'"&amp;$U19&amp;"'!F23:AJ23")&amp;INDIRECT("'"&amp;$U19&amp;"'!F24:AJ24")&amp;INDIRECT("'"&amp;$U19&amp;"'!F30:AJ30"),0))</f>
        <v>0.44657534065934068</v>
      </c>
      <c r="W19" s="37">
        <f t="array" aca="1" ref="W19" ca="1">INDEX(INDIRECT("'"&amp;$U19&amp;"'!F23:AJ38"),MATCH(W$6,INDIRECT("'"&amp;$U19&amp;"'!F23:F38"),0),MATCH($S19&amp;$T19&amp;"Proportion",INDIRECT("'"&amp;$U19&amp;"'!F23:AJ23")&amp;INDIRECT("'"&amp;$U19&amp;"'!F24:AJ24")&amp;INDIRECT("'"&amp;$U19&amp;"'!F30:AJ30"),0))</f>
        <v>0.33718602197802194</v>
      </c>
      <c r="X19" s="37">
        <f t="array" aca="1" ref="X19" ca="1">INDEX(INDIRECT("'"&amp;$U19&amp;"'!F23:AJ38"),MATCH(X$6,INDIRECT("'"&amp;$U19&amp;"'!F23:F38"),0),MATCH($S19&amp;$T19&amp;"Proportion",INDIRECT("'"&amp;$U19&amp;"'!F23:AJ23")&amp;INDIRECT("'"&amp;$U19&amp;"'!F24:AJ24")&amp;INDIRECT("'"&amp;$U19&amp;"'!F30:AJ30"),0))</f>
        <v>5.9124395604395606E-2</v>
      </c>
      <c r="Y19" s="37">
        <f t="array" aca="1" ref="Y19" ca="1">INDEX(INDIRECT("'"&amp;$U19&amp;"'!F23:AJ38"),MATCH(Y$6,INDIRECT("'"&amp;$U19&amp;"'!F23:F38"),0),MATCH($S19&amp;$T19&amp;"Proportion",INDIRECT("'"&amp;$U19&amp;"'!F23:AJ23")&amp;INDIRECT("'"&amp;$U19&amp;"'!F24:AJ24")&amp;INDIRECT("'"&amp;$U19&amp;"'!F30:AJ30"),0))</f>
        <v>9.7314769061630307E-2</v>
      </c>
      <c r="Z19" s="37">
        <f t="array" aca="1" ref="Z19" ca="1">INDEX(INDIRECT("'"&amp;$U19&amp;"'!F23:AJ38"),MATCH(Z$6,INDIRECT("'"&amp;$U19&amp;"'!F23:F38"),0),MATCH($S19&amp;$T19&amp;"Proportion",INDIRECT("'"&amp;$U19&amp;"'!F23:AJ23")&amp;INDIRECT("'"&amp;$U19&amp;"'!F24:AJ24")&amp;INDIRECT("'"&amp;$U19&amp;"'!F30:AJ30"),0))</f>
        <v>6.0012799615109906E-2</v>
      </c>
    </row>
    <row r="20" spans="2:26" s="43" customFormat="1" ht="30" customHeight="1" x14ac:dyDescent="0.25">
      <c r="B20" s="49" t="s">
        <v>3</v>
      </c>
      <c r="C20" s="116" t="s">
        <v>90</v>
      </c>
      <c r="D20" s="305">
        <f t="array" aca="1" ref="D20" ca="1">INDEX(INDIRECT("'"&amp;$B20&amp;"'!$B$6:$F$16"),MATCH("DMO "&amp;FY&amp;" price ($ pa, inc GST)",INDIRECT("'"&amp;$B20&amp;"'!$B$6:$B$16"),0),MATCH(D$6&amp;D$7,INDIRECT("'"&amp;$B20&amp;"'!$B$6:$E$6")&amp;INDIRECT("'"&amp;$B20&amp;"'!$B$7:$E$7"),0))</f>
        <v>2555</v>
      </c>
      <c r="E20" s="314"/>
      <c r="F20" s="305">
        <f t="array" aca="1" ref="F20" ca="1">INDEX(INDIRECT("'"&amp;$B20&amp;"'!$B$6:$F$16"),MATCH("DMO "&amp;FY&amp;" price ($ pa, inc GST)",INDIRECT("'"&amp;$B20&amp;"'!$B$6:$B$16"),0),MATCH(F$6&amp;F$7,INDIRECT("'"&amp;$B20&amp;"'!$B$6:$E$6")&amp;INDIRECT("'"&amp;$B20&amp;"'!$B$7:$E$7"),0))</f>
        <v>3022</v>
      </c>
      <c r="G20" s="314"/>
      <c r="H20" s="305">
        <f t="array" aca="1" ref="H20" ca="1">INDEX(INDIRECT("'"&amp;$B20&amp;"'!$B$6:$F$16"),MATCH("DMO "&amp;FY&amp;" price ($ pa, inc GST)",INDIRECT("'"&amp;$B20&amp;"'!$B$6:$B$16"),0),MATCH(H$6&amp;H$7,INDIRECT("'"&amp;$B20&amp;"'!$B$6:$E$6")&amp;INDIRECT("'"&amp;$B20&amp;"'!$B$7:$E$7"),0))</f>
        <v>5759</v>
      </c>
      <c r="I20" s="306"/>
      <c r="J20" s="258">
        <f ca="1">+D20</f>
        <v>2555</v>
      </c>
      <c r="K20" s="145"/>
      <c r="L20" s="5" t="str">
        <f>S20&amp;" "&amp;T20</f>
        <v>Small business without CL</v>
      </c>
      <c r="M20" s="219"/>
      <c r="N20" s="219"/>
      <c r="O20" s="139"/>
      <c r="P20" s="148"/>
      <c r="Q20" s="148"/>
      <c r="R20" s="139"/>
      <c r="S20" s="164" t="s">
        <v>15</v>
      </c>
      <c r="T20" s="164" t="s">
        <v>146</v>
      </c>
      <c r="U20" s="5" t="str">
        <f>L20</f>
        <v>Small business without CL</v>
      </c>
      <c r="X20" s="139"/>
      <c r="Y20" s="148"/>
      <c r="Z20" s="148"/>
    </row>
    <row r="21" spans="2:26" ht="12.6" customHeight="1" x14ac:dyDescent="0.25">
      <c r="B21" s="68" t="s">
        <v>3</v>
      </c>
      <c r="C21" s="309" t="s">
        <v>167</v>
      </c>
      <c r="D21" s="307" t="str">
        <f t="array" aca="1" ref="D21" ca="1">INDEX(INDIRECT("'"&amp;$B20&amp;"'!$B$6:$F$16"),MATCH("Annual usage (kWh)",INDIRECT("'"&amp;$B20&amp;"'!$B$6:$B$16"),0),MATCH(D$6&amp;D$7,INDIRECT("'"&amp;$B20&amp;"'!$B$6:$E$6")&amp;INDIRECT("'"&amp;$B20&amp;"'!$B$7:$E$7"),0))&amp;" kWh"</f>
        <v>4600 kWh</v>
      </c>
      <c r="E21" s="313"/>
      <c r="F21" s="303" t="str">
        <f t="array" aca="1" ref="F21" ca="1">"Flat rate "&amp;INDEX(INDIRECT("'"&amp;$B20&amp;"'!$B$6:$F$15"),MATCH("Flat rate usage (kWh)",INDIRECT("'"&amp;$B20&amp;"'!$B$6:$B$15"),0),MATCH(F$6&amp;F$7,INDIRECT("'"&amp;$B20&amp;"'!$B$6:$E$6")&amp;INDIRECT("'"&amp;$B20&amp;"'!$B$7:$E$7"),0))&amp;" kWh"</f>
        <v>Flat rate 4600 kWh</v>
      </c>
      <c r="G21" s="304"/>
      <c r="H21" s="307" t="str">
        <f t="array" aca="1" ref="H21" ca="1">INDEX(INDIRECT("'"&amp;$B20&amp;"'!$B$6:$F$16"),MATCH("Annual usage (kWh)",INDIRECT("'"&amp;$B20&amp;"'!$B$6:$B$16"),0),MATCH(H$6&amp;H$7,INDIRECT("'"&amp;$B20&amp;"'!$B$6:$E$6")&amp;INDIRECT("'"&amp;$B20&amp;"'!$B$7:$E$7"),0))&amp;" kWh"</f>
        <v>10000 kWh</v>
      </c>
      <c r="I21" s="308"/>
      <c r="L21" s="3" t="s">
        <v>2</v>
      </c>
      <c r="M21" s="128">
        <f t="array" aca="1" ref="M21" ca="1">INDEX(INDIRECT("'"&amp;$L21&amp;"'!F23:AJ38"),MATCH(M$6,INDIRECT("'"&amp;$L21&amp;"'!F23:F38"),0),MATCH($S21&amp;$T21&amp;"Change",INDIRECT("'"&amp;$L21&amp;"'!F23:AJ23")&amp;INDIRECT("'"&amp;$L21&amp;"'!F24:AJ24")&amp;INDIRECT("'"&amp;$L21&amp;"'!F30:AJ30"),0))</f>
        <v>7.3904199360333767E-2</v>
      </c>
      <c r="N21" s="128">
        <f t="array" aca="1" ref="N21" ca="1">INDEX(INDIRECT("'"&amp;$L21&amp;"'!F23:AJ38"),MATCH(N$6,INDIRECT("'"&amp;$L21&amp;"'!F23:F38"),0),MATCH($S21&amp;$T21&amp;"Change",INDIRECT("'"&amp;$L21&amp;"'!F23:AJ23")&amp;INDIRECT("'"&amp;$L21&amp;"'!F24:AJ24")&amp;INDIRECT("'"&amp;$L21&amp;"'!F30:AJ30"),0))</f>
        <v>0.51583081076658766</v>
      </c>
      <c r="O21" s="128">
        <f t="array" aca="1" ref="O21" ca="1">INDEX(INDIRECT("'"&amp;$L21&amp;"'!F23:AJ38"),MATCH(O$6,INDIRECT("'"&amp;$L21&amp;"'!F23:F38"),0),MATCH($S21&amp;$T21&amp;"Change",INDIRECT("'"&amp;$L21&amp;"'!F23:AJ23")&amp;INDIRECT("'"&amp;$L21&amp;"'!F24:AJ24")&amp;INDIRECT("'"&amp;$L21&amp;"'!F30:AJ30"),0))</f>
        <v>-9.4777562862669362E-2</v>
      </c>
      <c r="P21" s="128" cm="1">
        <f t="array" aca="1" ref="P21" ca="1">INDEX(INDIRECT("'"&amp;$L21&amp;"'!F23:AJ38"),MATCH(P$6,INDIRECT("'"&amp;$L21&amp;"'!F23:F38"),0),MATCH($S21&amp;$T21&amp;"Change",INDIRECT("'"&amp;$L21&amp;"'!F23:AJ23")&amp;INDIRECT("'"&amp;$L21&amp;"'!F24:AJ24")&amp;INDIRECT("'"&amp;$L21&amp;"'!F30:AJ30"),0))</f>
        <v>-0.15879633166791166</v>
      </c>
      <c r="Q21" s="128" cm="1">
        <f t="array" aca="1" ref="Q21" ca="1">INDEX(INDIRECT("'"&amp;$L21&amp;"'!F23:AJ38"),MATCH(Q$6,INDIRECT("'"&amp;$L21&amp;"'!F23:F38"),0),MATCH($S21&amp;$T21&amp;"Change",INDIRECT("'"&amp;$L21&amp;"'!F23:AJ23")&amp;INDIRECT("'"&amp;$L21&amp;"'!F24:AJ24")&amp;INDIRECT("'"&amp;$L21&amp;"'!F30:AJ30"),0))</f>
        <v>-8.2508075821614499E-2</v>
      </c>
      <c r="R21" s="129">
        <f t="array" aca="1" ref="R21" ca="1">INDEX(INDIRECT("'"&amp;$L21&amp;"'!$B$6:$F$16"),MATCH("Change from DMO "&amp;PY&amp;" price (%)",INDIRECT("'"&amp;$L21&amp;"'!$B$6:$B$16"),0),MATCH($S21&amp;$T21,INDIRECT("'"&amp;$L21&amp;"'!$B$6:$E$6")&amp;INDIRECT("'"&amp;$L21&amp;"'!$B$7:$E$7"),0))</f>
        <v>0.14678899082568808</v>
      </c>
      <c r="S21" s="67" t="str">
        <f t="shared" ref="S21:T25" si="2">S20</f>
        <v>Small business</v>
      </c>
      <c r="T21" s="67" t="str">
        <f t="shared" si="2"/>
        <v>without CL</v>
      </c>
      <c r="U21" s="3" t="s">
        <v>2</v>
      </c>
      <c r="V21" s="37">
        <f t="array" aca="1" ref="V21" ca="1">INDEX(INDIRECT("'"&amp;$U21&amp;"'!F23:AJ38"),MATCH(V$6,INDIRECT("'"&amp;$U21&amp;"'!F23:F38"),0),MATCH($S21&amp;$T21&amp;"Proportion",INDIRECT("'"&amp;$U21&amp;"'!F23:AJ23")&amp;INDIRECT("'"&amp;$U21&amp;"'!F24:AJ24")&amp;INDIRECT("'"&amp;$U21&amp;"'!F30:AJ30"),0))</f>
        <v>0.32306640481651383</v>
      </c>
      <c r="W21" s="37">
        <f t="array" aca="1" ref="W21" ca="1">INDEX(INDIRECT("'"&amp;$U21&amp;"'!F23:AJ38"),MATCH(W$6,INDIRECT("'"&amp;$U21&amp;"'!F23:F38"),0),MATCH($S21&amp;$T21&amp;"Proportion",INDIRECT("'"&amp;$U21&amp;"'!F23:AJ23")&amp;INDIRECT("'"&amp;$U21&amp;"'!F24:AJ24")&amp;INDIRECT("'"&amp;$U21&amp;"'!F30:AJ30"),0))</f>
        <v>0.30837844036697248</v>
      </c>
      <c r="X21" s="37">
        <f t="array" aca="1" ref="X21" ca="1">INDEX(INDIRECT("'"&amp;$U21&amp;"'!F23:AJ38"),MATCH(X$6,INDIRECT("'"&amp;$U21&amp;"'!F23:F38"),0),MATCH($S21&amp;$T21&amp;"Proportion",INDIRECT("'"&amp;$U21&amp;"'!F23:AJ23")&amp;INDIRECT("'"&amp;$U21&amp;"'!F24:AJ24")&amp;INDIRECT("'"&amp;$U21&amp;"'!F30:AJ30"),0))</f>
        <v>5.2174311926605509E-2</v>
      </c>
      <c r="Y21" s="37">
        <f t="array" aca="1" ref="Y21" ca="1">INDEX(INDIRECT("'"&amp;$U21&amp;"'!F23:AJ38"),MATCH(Y$6,INDIRECT("'"&amp;$U21&amp;"'!F23:F38"),0),MATCH($S21&amp;$T21&amp;"Proportion",INDIRECT("'"&amp;$U21&amp;"'!F23:AJ23")&amp;INDIRECT("'"&amp;$U21&amp;"'!F24:AJ24")&amp;INDIRECT("'"&amp;$U21&amp;"'!F30:AJ30"),0))</f>
        <v>6.630011475692868E-2</v>
      </c>
      <c r="Z21" s="37">
        <f t="array" aca="1" ref="Z21" ca="1">INDEX(INDIRECT("'"&amp;$U21&amp;"'!F23:AJ38"),MATCH(Z$6,INDIRECT("'"&amp;$U21&amp;"'!F23:F38"),0),MATCH($S21&amp;$T21&amp;"Proportion",INDIRECT("'"&amp;$U21&amp;"'!F23:AJ23")&amp;INDIRECT("'"&amp;$U21&amp;"'!F24:AJ24")&amp;INDIRECT("'"&amp;$U21&amp;"'!F30:AJ30"),0))</f>
        <v>0.24997309062234011</v>
      </c>
    </row>
    <row r="22" spans="2:26" ht="12.6" customHeight="1" x14ac:dyDescent="0.25">
      <c r="B22" s="68"/>
      <c r="C22" s="311"/>
      <c r="D22" s="119"/>
      <c r="E22" s="120"/>
      <c r="F22" s="303" t="str">
        <f t="array" aca="1" ref="F22" ca="1">"+ CL "&amp;INDEX(INDIRECT("'"&amp;$B20&amp;"'!$B$6:$F$15"),MATCH("Controlled load usage (kWh)",INDIRECT("'"&amp;$B20&amp;"'!$B$6:$B$15"),0),MATCH(F$6&amp;F$7,INDIRECT("'"&amp;$B20&amp;"'!$B$6:$E$6")&amp;INDIRECT("'"&amp;$B20&amp;"'!$B$7:$E$7"),0))&amp;" kWh"</f>
        <v>+ CL 2000 kWh</v>
      </c>
      <c r="G22" s="304"/>
      <c r="H22" s="119"/>
      <c r="I22" s="240"/>
      <c r="L22" s="3" t="s">
        <v>4</v>
      </c>
      <c r="M22" s="128">
        <f t="array" aca="1" ref="M22" ca="1">INDEX(INDIRECT("'"&amp;$L22&amp;"'!F23:AJ38"),MATCH(M$6,INDIRECT("'"&amp;$L22&amp;"'!F23:F38"),0),MATCH($S22&amp;$T22&amp;"Change",INDIRECT("'"&amp;$L22&amp;"'!F23:AJ23")&amp;INDIRECT("'"&amp;$L22&amp;"'!F24:AJ24")&amp;INDIRECT("'"&amp;$L22&amp;"'!F30:AJ30"),0))</f>
        <v>1.4524664388736674E-2</v>
      </c>
      <c r="N22" s="128">
        <f t="array" aca="1" ref="N22" ca="1">INDEX(INDIRECT("'"&amp;$L22&amp;"'!F23:AJ38"),MATCH(N$6,INDIRECT("'"&amp;$L22&amp;"'!F23:F38"),0),MATCH($S22&amp;$T22&amp;"Change",INDIRECT("'"&amp;$L22&amp;"'!F23:AJ23")&amp;INDIRECT("'"&amp;$L22&amp;"'!F24:AJ24")&amp;INDIRECT("'"&amp;$L22&amp;"'!F30:AJ30"),0))</f>
        <v>0.52096579476861149</v>
      </c>
      <c r="O22" s="128">
        <f t="array" aca="1" ref="O22" ca="1">INDEX(INDIRECT("'"&amp;$L22&amp;"'!F23:AJ38"),MATCH(O$6,INDIRECT("'"&amp;$L22&amp;"'!F23:F38"),0),MATCH($S22&amp;$T22&amp;"Change",INDIRECT("'"&amp;$L22&amp;"'!F23:AJ23")&amp;INDIRECT("'"&amp;$L22&amp;"'!F24:AJ24")&amp;INDIRECT("'"&amp;$L22&amp;"'!F30:AJ30"),0))</f>
        <v>-9.3179634966378377E-2</v>
      </c>
      <c r="P22" s="128" cm="1">
        <f t="array" aca="1" ref="P22" ca="1">INDEX(INDIRECT("'"&amp;$L22&amp;"'!F23:AJ38"),MATCH(P$6,INDIRECT("'"&amp;$L22&amp;"'!F23:F38"),0),MATCH($S22&amp;$T22&amp;"Change",INDIRECT("'"&amp;$L22&amp;"'!F23:AJ23")&amp;INDIRECT("'"&amp;$L22&amp;"'!F24:AJ24")&amp;INDIRECT("'"&amp;$L22&amp;"'!F30:AJ30"),0))</f>
        <v>-0.18289746862727946</v>
      </c>
      <c r="Q22" s="128" cm="1">
        <f t="array" aca="1" ref="Q22" ca="1">INDEX(INDIRECT("'"&amp;$L22&amp;"'!F23:AJ38"),MATCH(Q$6,INDIRECT("'"&amp;$L22&amp;"'!F23:F38"),0),MATCH($S22&amp;$T22&amp;"Change",INDIRECT("'"&amp;$L22&amp;"'!F23:AJ23")&amp;INDIRECT("'"&amp;$L22&amp;"'!F24:AJ24")&amp;INDIRECT("'"&amp;$L22&amp;"'!F30:AJ30"),0))</f>
        <v>0.15564827437718362</v>
      </c>
      <c r="R22" s="129">
        <f t="array" aca="1" ref="R22" ca="1">INDEX(INDIRECT("'"&amp;$L22&amp;"'!$B$6:$F$16"),MATCH("Change from DMO "&amp;PY&amp;" price (%)",INDIRECT("'"&amp;$L22&amp;"'!$B$6:$B$16"),0),MATCH($S22&amp;$T22,INDIRECT("'"&amp;$L22&amp;"'!$B$6:$E$6")&amp;INDIRECT("'"&amp;$L22&amp;"'!$B$7:$E$7"),0))</f>
        <v>0.19910100475938664</v>
      </c>
      <c r="S22" s="67" t="str">
        <f>S21</f>
        <v>Small business</v>
      </c>
      <c r="T22" s="67" t="str">
        <f t="shared" si="2"/>
        <v>without CL</v>
      </c>
      <c r="U22" s="3" t="s">
        <v>4</v>
      </c>
      <c r="V22" s="37">
        <f t="array" aca="1" ref="V22" ca="1">INDEX(INDIRECT("'"&amp;$U22&amp;"'!F23:AJ38"),MATCH(V$6,INDIRECT("'"&amp;$U22&amp;"'!F23:F38"),0),MATCH($S22&amp;$T22&amp;"Proportion",INDIRECT("'"&amp;$U22&amp;"'!F23:AJ23")&amp;INDIRECT("'"&amp;$U22&amp;"'!F24:AJ24")&amp;INDIRECT("'"&amp;$U22&amp;"'!F30:AJ30"),0))</f>
        <v>0.33388970121628769</v>
      </c>
      <c r="W22" s="37">
        <f t="array" aca="1" ref="W22" ca="1">INDEX(INDIRECT("'"&amp;$U22&amp;"'!F23:AJ38"),MATCH(W$6,INDIRECT("'"&amp;$U22&amp;"'!F23:F38"),0),MATCH($S22&amp;$T22&amp;"Proportion",INDIRECT("'"&amp;$U22&amp;"'!F23:AJ23")&amp;INDIRECT("'"&amp;$U22&amp;"'!F24:AJ24")&amp;INDIRECT("'"&amp;$U22&amp;"'!F30:AJ30"),0))</f>
        <v>0.36138286620835536</v>
      </c>
      <c r="X22" s="37">
        <f t="array" aca="1" ref="X22" ca="1">INDEX(INDIRECT("'"&amp;$U22&amp;"'!F23:AJ38"),MATCH(X$6,INDIRECT("'"&amp;$U22&amp;"'!F23:F38"),0),MATCH($S22&amp;$T22&amp;"Proportion",INDIRECT("'"&amp;$U22&amp;"'!F23:AJ23")&amp;INDIRECT("'"&amp;$U22&amp;"'!F24:AJ24")&amp;INDIRECT("'"&amp;$U22&amp;"'!F30:AJ30"),0))</f>
        <v>6.0555261766261234E-2</v>
      </c>
      <c r="Y22" s="37">
        <f t="array" aca="1" ref="Y22" ca="1">INDEX(INDIRECT("'"&amp;$U22&amp;"'!F23:AJ38"),MATCH(Y$6,INDIRECT("'"&amp;$U22&amp;"'!F23:F38"),0),MATCH($S22&amp;$T22&amp;"Proportion",INDIRECT("'"&amp;$U22&amp;"'!F23:AJ23")&amp;INDIRECT("'"&amp;$U22&amp;"'!F24:AJ24")&amp;INDIRECT("'"&amp;$U22&amp;"'!F30:AJ30"),0))</f>
        <v>7.8249678752038337E-2</v>
      </c>
      <c r="Z22" s="37">
        <f t="array" aca="1" ref="Z22" ca="1">INDEX(INDIRECT("'"&amp;$U22&amp;"'!F23:AJ38"),MATCH(Z$6,INDIRECT("'"&amp;$U22&amp;"'!F23:F38"),0),MATCH($S22&amp;$T22&amp;"Proportion",INDIRECT("'"&amp;$U22&amp;"'!F23:AJ23")&amp;INDIRECT("'"&amp;$U22&amp;"'!F24:AJ24")&amp;INDIRECT("'"&amp;$U22&amp;"'!F30:AJ30"),0))</f>
        <v>0.16601542724044191</v>
      </c>
    </row>
    <row r="23" spans="2:26" ht="12.6" customHeight="1" x14ac:dyDescent="0.25">
      <c r="B23" s="68"/>
      <c r="C23" s="238" t="s">
        <v>272</v>
      </c>
      <c r="D23" s="250">
        <f ca="1">+D20-D24</f>
        <v>2092</v>
      </c>
      <c r="E23" s="251"/>
      <c r="F23" s="250">
        <f ca="1">+F20-F24</f>
        <v>2490</v>
      </c>
      <c r="G23" s="252"/>
      <c r="H23" s="250">
        <f ca="1">+H20-H24</f>
        <v>4901</v>
      </c>
      <c r="I23" s="240"/>
      <c r="L23" s="3" t="s">
        <v>3</v>
      </c>
      <c r="M23" s="128">
        <f t="array" aca="1" ref="M23" ca="1">INDEX(INDIRECT("'"&amp;$L23&amp;"'!F23:AJ38"),MATCH(M$6,INDIRECT("'"&amp;$L23&amp;"'!F23:F38"),0),MATCH($S23&amp;$T23&amp;"Change",INDIRECT("'"&amp;$L23&amp;"'!F23:AJ23")&amp;INDIRECT("'"&amp;$L23&amp;"'!F24:AJ24")&amp;INDIRECT("'"&amp;$L23&amp;"'!F30:AJ30"),0))</f>
        <v>0.10627461760146706</v>
      </c>
      <c r="N23" s="128">
        <f t="array" aca="1" ref="N23" ca="1">INDEX(INDIRECT("'"&amp;$L23&amp;"'!F23:AJ38"),MATCH(N$6,INDIRECT("'"&amp;$L23&amp;"'!F23:F38"),0),MATCH($S23&amp;$T23&amp;"Change",INDIRECT("'"&amp;$L23&amp;"'!F23:AJ23")&amp;INDIRECT("'"&amp;$L23&amp;"'!F24:AJ24")&amp;INDIRECT("'"&amp;$L23&amp;"'!F30:AJ30"),0))</f>
        <v>0.53289643873415526</v>
      </c>
      <c r="O23" s="128">
        <f t="array" aca="1" ref="O23" ca="1">INDEX(INDIRECT("'"&amp;$L23&amp;"'!F23:AJ38"),MATCH(O$6,INDIRECT("'"&amp;$L23&amp;"'!F23:F38"),0),MATCH($S23&amp;$T23&amp;"Change",INDIRECT("'"&amp;$L23&amp;"'!F23:AJ23")&amp;INDIRECT("'"&amp;$L23&amp;"'!F24:AJ24")&amp;INDIRECT("'"&amp;$L23&amp;"'!F30:AJ30"),0))</f>
        <v>-9.9266503667481576E-2</v>
      </c>
      <c r="P23" s="128" cm="1">
        <f t="array" aca="1" ref="P23" ca="1">INDEX(INDIRECT("'"&amp;$L23&amp;"'!F23:AJ38"),MATCH(P$6,INDIRECT("'"&amp;$L23&amp;"'!F23:F38"),0),MATCH($S23&amp;$T23&amp;"Change",INDIRECT("'"&amp;$L23&amp;"'!F23:AJ23")&amp;INDIRECT("'"&amp;$L23&amp;"'!F24:AJ24")&amp;INDIRECT("'"&amp;$L23&amp;"'!F30:AJ30"),0))</f>
        <v>-0.13506809490048502</v>
      </c>
      <c r="Q23" s="128" cm="1">
        <f t="array" aca="1" ref="Q23" ca="1">INDEX(INDIRECT("'"&amp;$L23&amp;"'!F23:AJ38"),MATCH(Q$6,INDIRECT("'"&amp;$L23&amp;"'!F23:F38"),0),MATCH($S23&amp;$T23&amp;"Change",INDIRECT("'"&amp;$L23&amp;"'!F23:AJ23")&amp;INDIRECT("'"&amp;$L23&amp;"'!F24:AJ24")&amp;INDIRECT("'"&amp;$L23&amp;"'!F30:AJ30"),0))</f>
        <v>1.2951718697905403E-2</v>
      </c>
      <c r="R23" s="129">
        <f t="array" aca="1" ref="R23" ca="1">INDEX(INDIRECT("'"&amp;$L23&amp;"'!$B$6:$F$16"),MATCH("Change from DMO "&amp;PY&amp;" price (%)",INDIRECT("'"&amp;$L23&amp;"'!$B$6:$B$16"),0),MATCH($S23&amp;$T23,INDIRECT("'"&amp;$L23&amp;"'!$B$6:$E$6")&amp;INDIRECT("'"&amp;$L23&amp;"'!$B$7:$E$7"),0))</f>
        <v>0.17506631299734754</v>
      </c>
      <c r="S23" s="67" t="str">
        <f t="shared" si="2"/>
        <v>Small business</v>
      </c>
      <c r="T23" s="67" t="str">
        <f t="shared" si="2"/>
        <v>without CL</v>
      </c>
      <c r="U23" s="3" t="s">
        <v>3</v>
      </c>
      <c r="V23" s="37">
        <f t="array" aca="1" ref="V23" ca="1">INDEX(INDIRECT("'"&amp;$U23&amp;"'!F23:AJ38"),MATCH(V$6,INDIRECT("'"&amp;$U23&amp;"'!F23:F38"),0),MATCH($S23&amp;$T23&amp;"Proportion",INDIRECT("'"&amp;$U23&amp;"'!F23:AJ23")&amp;INDIRECT("'"&amp;$U23&amp;"'!F24:AJ24")&amp;INDIRECT("'"&amp;$U23&amp;"'!F30:AJ30"),0))</f>
        <v>0.43315593960416243</v>
      </c>
      <c r="W23" s="37">
        <f t="array" aca="1" ref="W23" ca="1">INDEX(INDIRECT("'"&amp;$U23&amp;"'!F23:AJ38"),MATCH(W$6,INDIRECT("'"&amp;$U23&amp;"'!F23:F38"),0),MATCH($S23&amp;$T23&amp;"Proportion",INDIRECT("'"&amp;$U23&amp;"'!F23:AJ23")&amp;INDIRECT("'"&amp;$U23&amp;"'!F24:AJ24")&amp;INDIRECT("'"&amp;$U23&amp;"'!F30:AJ30"),0))</f>
        <v>0.26028769638849214</v>
      </c>
      <c r="X23" s="37">
        <f t="array" aca="1" ref="X23" ca="1">INDEX(INDIRECT("'"&amp;$U23&amp;"'!F23:AJ38"),MATCH(X$6,INDIRECT("'"&amp;$U23&amp;"'!F23:F38"),0),MATCH($S23&amp;$T23&amp;"Proportion",INDIRECT("'"&amp;$U23&amp;"'!F23:AJ23")&amp;INDIRECT("'"&amp;$U23&amp;"'!F24:AJ24")&amp;INDIRECT("'"&amp;$U23&amp;"'!F30:AJ30"),0))</f>
        <v>4.5898796164048149E-2</v>
      </c>
      <c r="Y23" s="37">
        <f t="array" aca="1" ref="Y23" ca="1">INDEX(INDIRECT("'"&amp;$U23&amp;"'!F23:AJ38"),MATCH(Y$6,INDIRECT("'"&amp;$U23&amp;"'!F23:F38"),0),MATCH($S23&amp;$T23&amp;"Proportion",INDIRECT("'"&amp;$U23&amp;"'!F23:AJ23")&amp;INDIRECT("'"&amp;$U23&amp;"'!F24:AJ24")&amp;INDIRECT("'"&amp;$U23&amp;"'!F30:AJ30"),0))</f>
        <v>5.7660876688983675E-2</v>
      </c>
      <c r="Z23" s="37">
        <f t="array" aca="1" ref="Z23" ca="1">INDEX(INDIRECT("'"&amp;$U23&amp;"'!F23:AJ38"),MATCH(Z$6,INDIRECT("'"&amp;$U23&amp;"'!F23:F38"),0),MATCH($S23&amp;$T23&amp;"Proportion",INDIRECT("'"&amp;$U23&amp;"'!F23:AJ23")&amp;INDIRECT("'"&amp;$U23&amp;"'!F24:AJ24")&amp;INDIRECT("'"&amp;$U23&amp;"'!F30:AJ30"),0))</f>
        <v>0.20300084278001801</v>
      </c>
    </row>
    <row r="24" spans="2:26" ht="12.6" customHeight="1" x14ac:dyDescent="0.25">
      <c r="B24" s="68"/>
      <c r="C24" s="241" t="s">
        <v>154</v>
      </c>
      <c r="D24" s="125">
        <f t="array" aca="1" ref="D24" ca="1">INDEX(INDIRECT("'"&amp;$B20&amp;"'!$B$6:$F$16"),MATCH("Change from DMO "&amp;PY&amp;" price ($)",INDIRECT("'"&amp;$B20&amp;"'!$B$6:$B$16"),0),MATCH(D$6&amp;D$7,INDIRECT("'"&amp;$B20&amp;"'!$B$6:$E$6")&amp;INDIRECT("'"&amp;$B20&amp;"'!$B$7:$E$7"),0))</f>
        <v>463</v>
      </c>
      <c r="E24" s="126" t="str">
        <f t="array" aca="1" ref="E24" ca="1">"("&amp;ROUND(INDEX(INDIRECT("'"&amp;$B20&amp;"'!$B$6:$F$16"),MATCH("Change from DMO "&amp;PY&amp;" price (%)",INDIRECT("'"&amp;$B20&amp;"'!$B$6:$B$16"),0),MATCH(D$6&amp;D$7,INDIRECT("'"&amp;$B20&amp;"'!$B$6:$E$6")&amp;INDIRECT("'"&amp;$B20&amp;"'!$B$7:$E$7"),0))*100,1)&amp;"%)"</f>
        <v>(22.1%)</v>
      </c>
      <c r="F24" s="125">
        <f t="array" aca="1" ref="F24" ca="1">INDEX(INDIRECT("'"&amp;$B20&amp;"'!$B$6:$F$16"),MATCH("Change from DMO "&amp;PY&amp;" price ($)",INDIRECT("'"&amp;$B20&amp;"'!$B$6:$B$16"),0),MATCH(F$6&amp;F$7,INDIRECT("'"&amp;$B20&amp;"'!$B$6:$E$6")&amp;INDIRECT("'"&amp;$B20&amp;"'!$B$7:$E$7"),0))</f>
        <v>532</v>
      </c>
      <c r="G24" s="126" t="str">
        <f t="array" aca="1" ref="G24" ca="1">"("&amp;ROUND(INDEX(INDIRECT("'"&amp;$B20&amp;"'!$B$6:$F$16"),MATCH("Change from DMO "&amp;PY&amp;" price (%)",INDIRECT("'"&amp;$B20&amp;"'!$B$6:$B$16"),0),MATCH(F$6&amp;F$7,INDIRECT("'"&amp;$B20&amp;"'!$B$6:$E$6")&amp;INDIRECT("'"&amp;$B20&amp;"'!$B$7:$E$7"),0))*100,1)&amp;"%)"</f>
        <v>(21.4%)</v>
      </c>
      <c r="H24" s="125">
        <f t="array" aca="1" ref="H24" ca="1">INDEX(INDIRECT("'"&amp;$B20&amp;"'!$B$6:$F$16"),MATCH("Change from DMO "&amp;PY&amp;" price ($)",INDIRECT("'"&amp;$B20&amp;"'!$B$6:$B$16"),0),MATCH(H$6&amp;H$7,INDIRECT("'"&amp;$B20&amp;"'!$B$6:$E$6")&amp;INDIRECT("'"&amp;$B20&amp;"'!$B$7:$E$7"),0))</f>
        <v>858</v>
      </c>
      <c r="I24" s="127" t="str">
        <f t="array" aca="1" ref="I24" ca="1">"("&amp;ROUND(INDEX(INDIRECT("'"&amp;$B20&amp;"'!$B$6:$F$16"),MATCH("Change from DMO "&amp;PY&amp;" price (%)",INDIRECT("'"&amp;$B20&amp;"'!$B$6:$B$16"),0),MATCH(H$6&amp;H$7,INDIRECT("'"&amp;$B20&amp;"'!$B$6:$E$6")&amp;INDIRECT("'"&amp;$B20&amp;"'!$B$7:$E$7"),0))*100,1)&amp;"%)"</f>
        <v>(17.5%)</v>
      </c>
      <c r="L24" s="3" t="s">
        <v>0</v>
      </c>
      <c r="M24" s="128">
        <f t="array" aca="1" ref="M24" ca="1">INDEX(INDIRECT("'"&amp;$L24&amp;"'!F23:AJ38"),MATCH(M$6,INDIRECT("'"&amp;$L24&amp;"'!F23:F38"),0),MATCH($S24&amp;$T24&amp;"Change",INDIRECT("'"&amp;$L24&amp;"'!F23:AJ23")&amp;INDIRECT("'"&amp;$L24&amp;"'!F24:AJ24")&amp;INDIRECT("'"&amp;$L24&amp;"'!F30:AJ30"),0))</f>
        <v>4.0385984040937961E-2</v>
      </c>
      <c r="N24" s="128">
        <f t="array" aca="1" ref="N24" ca="1">INDEX(INDIRECT("'"&amp;$L24&amp;"'!F23:AJ38"),MATCH(N$6,INDIRECT("'"&amp;$L24&amp;"'!F23:F38"),0),MATCH($S24&amp;$T24&amp;"Change",INDIRECT("'"&amp;$L24&amp;"'!F23:AJ23")&amp;INDIRECT("'"&amp;$L24&amp;"'!F24:AJ24")&amp;INDIRECT("'"&amp;$L24&amp;"'!F30:AJ30"),0))</f>
        <v>0.49380258753279671</v>
      </c>
      <c r="O24" s="128">
        <f t="array" aca="1" ref="O24" ca="1">INDEX(INDIRECT("'"&amp;$L24&amp;"'!F23:AJ38"),MATCH(O$6,INDIRECT("'"&amp;$L24&amp;"'!F23:F38"),0),MATCH($S24&amp;$T24&amp;"Change",INDIRECT("'"&amp;$L24&amp;"'!F23:AJ23")&amp;INDIRECT("'"&amp;$L24&amp;"'!F24:AJ24")&amp;INDIRECT("'"&amp;$L24&amp;"'!F30:AJ30"),0))</f>
        <v>-0.11695906432748537</v>
      </c>
      <c r="P24" s="128" cm="1">
        <f t="array" aca="1" ref="P24" ca="1">INDEX(INDIRECT("'"&amp;$L24&amp;"'!F23:AJ38"),MATCH(P$6,INDIRECT("'"&amp;$L24&amp;"'!F23:F38"),0),MATCH($S24&amp;$T24&amp;"Change",INDIRECT("'"&amp;$L24&amp;"'!F23:AJ23")&amp;INDIRECT("'"&amp;$L24&amp;"'!F24:AJ24")&amp;INDIRECT("'"&amp;$L24&amp;"'!F30:AJ30"),0))</f>
        <v>-0.13200292211968206</v>
      </c>
      <c r="Q24" s="128" cm="1">
        <f t="array" aca="1" ref="Q24" ca="1">INDEX(INDIRECT("'"&amp;$L24&amp;"'!F23:AJ38"),MATCH(Q$6,INDIRECT("'"&amp;$L24&amp;"'!F23:F38"),0),MATCH($S24&amp;$T24&amp;"Change",INDIRECT("'"&amp;$L24&amp;"'!F23:AJ23")&amp;INDIRECT("'"&amp;$L24&amp;"'!F24:AJ24")&amp;INDIRECT("'"&amp;$L24&amp;"'!F30:AJ30"),0))</f>
        <v>0.12393067363182886</v>
      </c>
      <c r="R24" s="129">
        <f t="array" aca="1" ref="R24" ca="1">INDEX(INDIRECT("'"&amp;$L24&amp;"'!$B$6:$F$16"),MATCH("Change from DMO "&amp;PY&amp;" price (%)",INDIRECT("'"&amp;$L24&amp;"'!$B$6:$B$16"),0),MATCH($S24&amp;$T24,INDIRECT("'"&amp;$L24&amp;"'!$B$6:$E$6")&amp;INDIRECT("'"&amp;$L24&amp;"'!$B$7:$E$7"),0))</f>
        <v>0.19413813116656997</v>
      </c>
      <c r="S24" s="67" t="str">
        <f t="shared" si="2"/>
        <v>Small business</v>
      </c>
      <c r="T24" s="67" t="str">
        <f t="shared" si="2"/>
        <v>without CL</v>
      </c>
      <c r="U24" s="3" t="s">
        <v>0</v>
      </c>
      <c r="V24" s="37">
        <f t="array" aca="1" ref="V24" ca="1">INDEX(INDIRECT("'"&amp;$U24&amp;"'!F23:AJ38"),MATCH(V$6,INDIRECT("'"&amp;$U24&amp;"'!F23:F38"),0),MATCH($S24&amp;$T24&amp;"Proportion",INDIRECT("'"&amp;$U24&amp;"'!F23:AJ23")&amp;INDIRECT("'"&amp;$U24&amp;"'!F24:AJ24")&amp;INDIRECT("'"&amp;$U24&amp;"'!F30:AJ30"),0))</f>
        <v>0.35411413232733607</v>
      </c>
      <c r="W24" s="37">
        <f t="array" aca="1" ref="W24" ca="1">INDEX(INDIRECT("'"&amp;$U24&amp;"'!F23:AJ38"),MATCH(W$6,INDIRECT("'"&amp;$U24&amp;"'!F23:F38"),0),MATCH($S24&amp;$T24&amp;"Proportion",INDIRECT("'"&amp;$U24&amp;"'!F23:AJ23")&amp;INDIRECT("'"&amp;$U24&amp;"'!F24:AJ24")&amp;INDIRECT("'"&amp;$U24&amp;"'!F30:AJ30"),0))</f>
        <v>0.35282356355194427</v>
      </c>
      <c r="X24" s="37">
        <f t="array" aca="1" ref="X24" ca="1">INDEX(INDIRECT("'"&amp;$U24&amp;"'!F23:AJ38"),MATCH(X$6,INDIRECT("'"&amp;$U24&amp;"'!F23:F38"),0),MATCH($S24&amp;$T24&amp;"Proportion",INDIRECT("'"&amp;$U24&amp;"'!F23:AJ23")&amp;INDIRECT("'"&amp;$U24&amp;"'!F24:AJ24")&amp;INDIRECT("'"&amp;$U24&amp;"'!F30:AJ30"),0))</f>
        <v>5.4585026117237374E-2</v>
      </c>
      <c r="Y24" s="37">
        <f t="array" aca="1" ref="Y24" ca="1">INDEX(INDIRECT("'"&amp;$U24&amp;"'!F23:AJ38"),MATCH(Y$6,INDIRECT("'"&amp;$U24&amp;"'!F23:F38"),0),MATCH($S24&amp;$T24&amp;"Proportion",INDIRECT("'"&amp;$U24&amp;"'!F23:AJ23")&amp;INDIRECT("'"&amp;$U24&amp;"'!F24:AJ24")&amp;INDIRECT("'"&amp;$U24&amp;"'!F30:AJ30"),0))</f>
        <v>6.8462290431720529E-2</v>
      </c>
      <c r="Z24" s="37">
        <f t="array" aca="1" ref="Z24" ca="1">INDEX(INDIRECT("'"&amp;$U24&amp;"'!F23:AJ38"),MATCH(Z$6,INDIRECT("'"&amp;$U24&amp;"'!F23:F38"),0),MATCH($S24&amp;$T24&amp;"Proportion",INDIRECT("'"&amp;$U24&amp;"'!F23:AJ23")&amp;INDIRECT("'"&amp;$U24&amp;"'!F24:AJ24")&amp;INDIRECT("'"&amp;$U24&amp;"'!F30:AJ30"),0))</f>
        <v>0.16999693025638618</v>
      </c>
    </row>
    <row r="25" spans="2:26" ht="12.6" customHeight="1" x14ac:dyDescent="0.25">
      <c r="B25" s="68"/>
      <c r="C25" s="241" t="s">
        <v>271</v>
      </c>
      <c r="D25" s="125">
        <f ca="1">+D20-+D23*(1+'Key inputs'!$I$10)</f>
        <v>321.79000000000042</v>
      </c>
      <c r="E25" s="126" t="str">
        <f ca="1">CONCATENATE("(",ROUND(+D25/D23*100,1),"%)")</f>
        <v>(15.4%)</v>
      </c>
      <c r="F25" s="125">
        <f ca="1">+F20-+F23*(1+'Key inputs'!$I$10)</f>
        <v>363.92500000000018</v>
      </c>
      <c r="G25" s="126" t="str">
        <f ca="1">CONCATENATE("(",ROUND(+F25/F23*100,1),"%)")</f>
        <v>(14.6%)</v>
      </c>
      <c r="H25" s="125">
        <f ca="1">+H20-+H23*(1+'Key inputs'!$I$10)</f>
        <v>527.1825000000008</v>
      </c>
      <c r="I25" s="127" t="str">
        <f ca="1">CONCATENATE("(",ROUND(+H25/H23*100,1),"%)")</f>
        <v>(10.8%)</v>
      </c>
      <c r="L25" s="101" t="s">
        <v>5</v>
      </c>
      <c r="M25" s="166">
        <f t="array" aca="1" ref="M25" ca="1">INDEX(INDIRECT("'"&amp;$L25&amp;"'!F23:AJ38"),MATCH(M$6,INDIRECT("'"&amp;$L25&amp;"'!F23:F38"),0),MATCH($S25&amp;$T25&amp;"Change",INDIRECT("'"&amp;$L25&amp;"'!F23:AJ23")&amp;INDIRECT("'"&amp;$L25&amp;"'!F24:AJ24")&amp;INDIRECT("'"&amp;$L25&amp;"'!F30:AJ30"),0))</f>
        <v>1.4877667601411515E-2</v>
      </c>
      <c r="N25" s="166">
        <f t="array" aca="1" ref="N25" ca="1">INDEX(INDIRECT("'"&amp;$L25&amp;"'!F23:AJ38"),MATCH(N$6,INDIRECT("'"&amp;$L25&amp;"'!F23:F38"),0),MATCH($S25&amp;$T25&amp;"Change",INDIRECT("'"&amp;$L25&amp;"'!F23:AJ23")&amp;INDIRECT("'"&amp;$L25&amp;"'!F24:AJ24")&amp;INDIRECT("'"&amp;$L25&amp;"'!F30:AJ30"),0))</f>
        <v>0.66000148665725122</v>
      </c>
      <c r="O25" s="166">
        <f t="array" aca="1" ref="O25" ca="1">INDEX(INDIRECT("'"&amp;$L25&amp;"'!F23:AJ38"),MATCH(O$6,INDIRECT("'"&amp;$L25&amp;"'!F23:F38"),0),MATCH($S25&amp;$T25&amp;"Change",INDIRECT("'"&amp;$L25&amp;"'!F23:AJ23")&amp;INDIRECT("'"&amp;$L25&amp;"'!F24:AJ24")&amp;INDIRECT("'"&amp;$L25&amp;"'!F30:AJ30"),0))</f>
        <v>-0.10304219823356231</v>
      </c>
      <c r="P25" s="166" cm="1">
        <f t="array" aca="1" ref="P25" ca="1">INDEX(INDIRECT("'"&amp;$L25&amp;"'!F23:AJ38"),MATCH(P$6,INDIRECT("'"&amp;$L25&amp;"'!F23:F38"),0),MATCH($S25&amp;$T25&amp;"Change",INDIRECT("'"&amp;$L25&amp;"'!F23:AJ23")&amp;INDIRECT("'"&amp;$L25&amp;"'!F24:AJ24")&amp;INDIRECT("'"&amp;$L25&amp;"'!F30:AJ30"),0))</f>
        <v>-1.6851485661512025E-2</v>
      </c>
      <c r="Q25" s="166" cm="1">
        <f t="array" aca="1" ref="Q25" ca="1">INDEX(INDIRECT("'"&amp;$L25&amp;"'!F23:AJ38"),MATCH(Q$6,INDIRECT("'"&amp;$L25&amp;"'!F23:F38"),0),MATCH($S25&amp;$T25&amp;"Change",INDIRECT("'"&amp;$L25&amp;"'!F23:AJ23")&amp;INDIRECT("'"&amp;$L25&amp;"'!F24:AJ24")&amp;INDIRECT("'"&amp;$L25&amp;"'!F30:AJ30"),0))</f>
        <v>0.25364581255596247</v>
      </c>
      <c r="R25" s="132">
        <f t="array" aca="1" ref="R25" ca="1">INDEX(INDIRECT("'"&amp;$L25&amp;"'!$B$6:$F$16"),MATCH("Change from DMO "&amp;PY&amp;" price (%)",INDIRECT("'"&amp;$L25&amp;"'!$B$6:$B$16"),0),MATCH($S25&amp;$T25,INDIRECT("'"&amp;$L25&amp;"'!$B$6:$E$6")&amp;INDIRECT("'"&amp;$L25&amp;"'!$B$7:$E$7"),0))</f>
        <v>0.25358008371888086</v>
      </c>
      <c r="S25" s="67" t="str">
        <f t="shared" si="2"/>
        <v>Small business</v>
      </c>
      <c r="T25" s="67" t="str">
        <f t="shared" si="2"/>
        <v>without CL</v>
      </c>
      <c r="U25" s="101" t="s">
        <v>5</v>
      </c>
      <c r="V25" s="152">
        <f t="array" aca="1" ref="V25" ca="1">INDEX(INDIRECT("'"&amp;$U25&amp;"'!F23:AJ38"),MATCH(V$6,INDIRECT("'"&amp;$U25&amp;"'!F23:F38"),0),MATCH($S25&amp;$T25&amp;"Proportion",INDIRECT("'"&amp;$U25&amp;"'!F23:AJ23")&amp;INDIRECT("'"&amp;$U25&amp;"'!F24:AJ24")&amp;INDIRECT("'"&amp;$U25&amp;"'!F30:AJ30"),0))</f>
        <v>0.42530570610266583</v>
      </c>
      <c r="W25" s="152">
        <f t="array" aca="1" ref="W25" ca="1">INDEX(INDIRECT("'"&amp;$U25&amp;"'!F23:AJ38"),MATCH(W$6,INDIRECT("'"&amp;$U25&amp;"'!F23:F38"),0),MATCH($S25&amp;$T25&amp;"Proportion",INDIRECT("'"&amp;$U25&amp;"'!F23:AJ23")&amp;INDIRECT("'"&amp;$U25&amp;"'!F24:AJ24")&amp;INDIRECT("'"&amp;$U25&amp;"'!F30:AJ30"),0))</f>
        <v>0.32602555628993168</v>
      </c>
      <c r="X25" s="152">
        <f t="array" aca="1" ref="X25" ca="1">INDEX(INDIRECT("'"&amp;$U25&amp;"'!F23:AJ38"),MATCH(X$6,INDIRECT("'"&amp;$U25&amp;"'!F23:F38"),0),MATCH($S25&amp;$T25&amp;"Proportion",INDIRECT("'"&amp;$U25&amp;"'!F23:AJ23")&amp;INDIRECT("'"&amp;$U25&amp;"'!F24:AJ24")&amp;INDIRECT("'"&amp;$U25&amp;"'!F30:AJ30"),0))</f>
        <v>4.938973342145847E-2</v>
      </c>
      <c r="Y25" s="152">
        <f t="array" aca="1" ref="Y25" ca="1">INDEX(INDIRECT("'"&amp;$U25&amp;"'!F23:AJ38"),MATCH(Y$6,INDIRECT("'"&amp;$U25&amp;"'!F23:F38"),0),MATCH($S25&amp;$T25&amp;"Proportion",INDIRECT("'"&amp;$U25&amp;"'!F23:AJ23")&amp;INDIRECT("'"&amp;$U25&amp;"'!F24:AJ24")&amp;INDIRECT("'"&amp;$U25&amp;"'!F30:AJ30"),0))</f>
        <v>4.9228419418420127E-2</v>
      </c>
      <c r="Z25" s="152">
        <f t="array" aca="1" ref="Z25" ca="1">INDEX(INDIRECT("'"&amp;$U25&amp;"'!F23:AJ38"),MATCH(Z$6,INDIRECT("'"&amp;$U25&amp;"'!F23:F38"),0),MATCH($S25&amp;$T25&amp;"Proportion",INDIRECT("'"&amp;$U25&amp;"'!F23:AJ23")&amp;INDIRECT("'"&amp;$U25&amp;"'!F24:AJ24")&amp;INDIRECT("'"&amp;$U25&amp;"'!F30:AJ30"),0))</f>
        <v>0.14999107327631925</v>
      </c>
    </row>
    <row r="26" spans="2:26" s="43" customFormat="1" ht="30" customHeight="1" x14ac:dyDescent="0.25">
      <c r="B26" s="70" t="s">
        <v>0</v>
      </c>
      <c r="C26" s="117" t="s">
        <v>90</v>
      </c>
      <c r="D26" s="294">
        <f t="array" aca="1" ref="D26" ca="1">INDEX(INDIRECT("'"&amp;$B27&amp;"'!$B$6:$F$16"),MATCH("DMO "&amp;FY&amp;" price ($ pa, inc GST)",INDIRECT("'"&amp;$B27&amp;"'!$B$6:$B$16"),0),MATCH(D$6&amp;D$7,INDIRECT("'"&amp;$B27&amp;"'!$B$6:$E$6")&amp;INDIRECT("'"&amp;$B27&amp;"'!$B$7:$E$7"),0))</f>
        <v>1941</v>
      </c>
      <c r="E26" s="295"/>
      <c r="F26" s="294">
        <f t="array" aca="1" ref="F26" ca="1">INDEX(INDIRECT("'"&amp;$B27&amp;"'!$B$6:$F$16"),MATCH("DMO "&amp;FY&amp;" price ($ pa, inc GST)",INDIRECT("'"&amp;$B27&amp;"'!$B$6:$B$16"),0),MATCH(F$6&amp;F$7,INDIRECT("'"&amp;$B27&amp;"'!$B$6:$E$6")&amp;INDIRECT("'"&amp;$B27&amp;"'!$B$7:$E$7"),0))</f>
        <v>2344</v>
      </c>
      <c r="G26" s="295"/>
      <c r="H26" s="294">
        <f t="array" aca="1" ref="H26" ca="1">INDEX(INDIRECT("'"&amp;$B27&amp;"'!$B$6:$F$16"),MATCH("DMO "&amp;FY&amp;" price ($ pa, inc GST)",INDIRECT("'"&amp;$B27&amp;"'!$B$6:$B$16"),0),MATCH(H$6&amp;H$7,INDIRECT("'"&amp;$B27&amp;"'!$B$6:$E$6")&amp;INDIRECT("'"&amp;$B27&amp;"'!$B$7:$E$7"),0))</f>
        <v>4115</v>
      </c>
      <c r="I26" s="296"/>
      <c r="J26" s="258">
        <f ca="1">+D26</f>
        <v>1941</v>
      </c>
      <c r="K26" s="145"/>
      <c r="L26" s="140" t="s">
        <v>207</v>
      </c>
      <c r="M26" s="130"/>
      <c r="N26" s="130"/>
      <c r="O26" s="130"/>
      <c r="P26" s="130"/>
      <c r="Q26" s="130"/>
      <c r="R26" s="131"/>
    </row>
    <row r="27" spans="2:26" ht="12.6" customHeight="1" x14ac:dyDescent="0.25">
      <c r="B27" s="71" t="s">
        <v>0</v>
      </c>
      <c r="C27" s="310" t="s">
        <v>167</v>
      </c>
      <c r="D27" s="292" t="str">
        <f t="array" aca="1" ref="D27" ca="1">INDEX(INDIRECT("'"&amp;$B27&amp;"'!$B$6:$F$16"),MATCH("Annual usage (kWh)",INDIRECT("'"&amp;$B27&amp;"'!$B$6:$B$16"),0),MATCH(D$6&amp;D$7,INDIRECT("'"&amp;$B27&amp;"'!$B$6:$E$6")&amp;INDIRECT("'"&amp;$B27&amp;"'!$B$7:$E$7"),0))&amp;" kWh"</f>
        <v>4600 kWh</v>
      </c>
      <c r="E27" s="312"/>
      <c r="F27" s="289" t="str">
        <f t="array" aca="1" ref="F27" ca="1">"Flat rate "&amp;INDEX(INDIRECT("'"&amp;$B26&amp;"'!$B$6:$F$15"),MATCH("Flat rate usage (kWh)",INDIRECT("'"&amp;$B26&amp;"'!$B$6:$B$15"),0),MATCH(F$6&amp;F$7,INDIRECT("'"&amp;$B26&amp;"'!$B$6:$E$6")&amp;INDIRECT("'"&amp;$B26&amp;"'!$B$7:$E$7"),0))&amp;" kWh"</f>
        <v>Flat rate 4400 kWh</v>
      </c>
      <c r="G27" s="290"/>
      <c r="H27" s="292" t="str">
        <f t="array" aca="1" ref="H27" ca="1">INDEX(INDIRECT("'"&amp;$B27&amp;"'!$B$6:$F$16"),MATCH("Annual usage (kWh)",INDIRECT("'"&amp;$B27&amp;"'!$B$6:$B$16"),0),MATCH(H$6&amp;H$7,INDIRECT("'"&amp;$B27&amp;"'!$B$6:$E$6")&amp;INDIRECT("'"&amp;$B27&amp;"'!$B$7:$E$7"),0))&amp;" kWh"</f>
        <v>10000 kWh</v>
      </c>
      <c r="I27" s="293"/>
    </row>
    <row r="28" spans="2:26" ht="12.6" customHeight="1" x14ac:dyDescent="0.25">
      <c r="B28" s="71"/>
      <c r="C28" s="311"/>
      <c r="D28" s="121"/>
      <c r="E28" s="122"/>
      <c r="F28" s="289" t="str">
        <f t="array" aca="1" ref="F28" ca="1">"+ CL "&amp;INDEX(INDIRECT("'"&amp;$B26&amp;"'!$B$6:$F$15"),MATCH("Controlled load usage (kWh)",INDIRECT("'"&amp;$B26&amp;"'!$B$6:$B$15"),0),MATCH(F$6&amp;F$7,INDIRECT("'"&amp;$B26&amp;"'!$B$6:$E$6")&amp;INDIRECT("'"&amp;$B26&amp;"'!$B$7:$E$7"),0))&amp;" kWh"</f>
        <v>+ CL 1900 kWh</v>
      </c>
      <c r="G28" s="290"/>
      <c r="H28" s="121"/>
      <c r="I28" s="239"/>
    </row>
    <row r="29" spans="2:26" ht="12.6" customHeight="1" x14ac:dyDescent="0.25">
      <c r="B29" s="71"/>
      <c r="C29" s="247" t="s">
        <v>272</v>
      </c>
      <c r="D29" s="253">
        <f ca="1">+D26-D30</f>
        <v>1620</v>
      </c>
      <c r="E29" s="254"/>
      <c r="F29" s="253">
        <f ca="1">+F26-F30</f>
        <v>1961</v>
      </c>
      <c r="G29" s="255"/>
      <c r="H29" s="253">
        <f ca="1">+H26-H30</f>
        <v>3446</v>
      </c>
      <c r="I29" s="239"/>
      <c r="R29" s="257"/>
    </row>
    <row r="30" spans="2:26" ht="12.6" customHeight="1" x14ac:dyDescent="0.25">
      <c r="B30" s="71"/>
      <c r="C30" s="246" t="s">
        <v>154</v>
      </c>
      <c r="D30" s="165">
        <f t="array" aca="1" ref="D30" ca="1">INDEX(INDIRECT("'"&amp;$B26&amp;"'!$B$6:$F$16"),MATCH("Change from DMO "&amp;PY&amp;" price ($)",INDIRECT("'"&amp;$B26&amp;"'!$B$6:$B$16"),0),MATCH(D$6&amp;D$7,INDIRECT("'"&amp;$B26&amp;"'!$B$6:$E$6")&amp;INDIRECT("'"&amp;$B26&amp;"'!$B$7:$E$7"),0))</f>
        <v>321</v>
      </c>
      <c r="E30" s="123" t="str">
        <f t="array" aca="1" ref="E30" ca="1">"("&amp;ROUND(INDEX(INDIRECT("'"&amp;$B26&amp;"'!$B$6:$F$16"),MATCH("Change from DMO "&amp;PY&amp;" price (%)",INDIRECT("'"&amp;$B26&amp;"'!$B$6:$B$16"),0),MATCH(D$6&amp;D$7,INDIRECT("'"&amp;$B26&amp;"'!$B$6:$E$6")&amp;INDIRECT("'"&amp;$B26&amp;"'!$B$7:$E$7"),0))*100,1)&amp;"%)"</f>
        <v>(19.8%)</v>
      </c>
      <c r="F30" s="165">
        <f t="array" aca="1" ref="F30" ca="1">INDEX(INDIRECT("'"&amp;$B26&amp;"'!$B$6:$F$16"),MATCH("Change from DMO "&amp;PY&amp;" price ($)",INDIRECT("'"&amp;$B26&amp;"'!$B$6:$B$16"),0),MATCH(F$6&amp;F$7,INDIRECT("'"&amp;$B26&amp;"'!$B$6:$E$6")&amp;INDIRECT("'"&amp;$B26&amp;"'!$B$7:$E$7"),0))</f>
        <v>383</v>
      </c>
      <c r="G30" s="123" t="str">
        <f t="array" aca="1" ref="G30" ca="1">"("&amp;ROUND(INDEX(INDIRECT("'"&amp;$B26&amp;"'!$B$6:$F$16"),MATCH("Change from DMO "&amp;PY&amp;" price (%)",INDIRECT("'"&amp;$B26&amp;"'!$B$6:$B$16"),0),MATCH(F$6&amp;F$7,INDIRECT("'"&amp;$B26&amp;"'!$B$6:$E$6")&amp;INDIRECT("'"&amp;$B26&amp;"'!$B$7:$E$7"),0))*100,1)&amp;"%)"</f>
        <v>(19.5%)</v>
      </c>
      <c r="H30" s="165">
        <f t="array" aca="1" ref="H30" ca="1">INDEX(INDIRECT("'"&amp;$B26&amp;"'!$B$6:$F$16"),MATCH("Change from DMO "&amp;PY&amp;" price ($)",INDIRECT("'"&amp;$B26&amp;"'!$B$6:$B$16"),0),MATCH(H$6&amp;H$7,INDIRECT("'"&amp;$B26&amp;"'!$B$6:$E$6")&amp;INDIRECT("'"&amp;$B26&amp;"'!$B$7:$E$7"),0))</f>
        <v>669</v>
      </c>
      <c r="I30" s="124" t="str">
        <f t="array" aca="1" ref="I30" ca="1">"("&amp;ROUND(INDEX(INDIRECT("'"&amp;$B26&amp;"'!$B$6:$F$16"),MATCH("Change from DMO "&amp;PY&amp;" price (%)",INDIRECT("'"&amp;$B26&amp;"'!$B$6:$B$16"),0),MATCH(H$6&amp;H$7,INDIRECT("'"&amp;$B26&amp;"'!$B$6:$E$6")&amp;INDIRECT("'"&amp;$B26&amp;"'!$B$7:$E$7"),0))*100,1)&amp;"%)"</f>
        <v>(19.4%)</v>
      </c>
      <c r="M30" s="128"/>
      <c r="N30" s="128"/>
      <c r="O30" s="128"/>
      <c r="P30" s="128"/>
      <c r="Q30" s="128"/>
      <c r="R30" s="257"/>
    </row>
    <row r="31" spans="2:26" ht="12.6" customHeight="1" x14ac:dyDescent="0.25">
      <c r="B31" s="71"/>
      <c r="C31" s="246" t="s">
        <v>271</v>
      </c>
      <c r="D31" s="165">
        <f ca="1">+D26-+D29*(1+'Key inputs'!$I$10)</f>
        <v>211.65000000000009</v>
      </c>
      <c r="E31" s="123" t="str">
        <f ca="1">CONCATENATE("(",ROUND(+D31/D29*100,1),"%)")</f>
        <v>(13.1%)</v>
      </c>
      <c r="F31" s="165">
        <f ca="1">+F26-+F29*(1+'Key inputs'!$I$10)</f>
        <v>250.63250000000016</v>
      </c>
      <c r="G31" s="123" t="str">
        <f ca="1">CONCATENATE("(",ROUND(+F31/F29*100,1),"%)")</f>
        <v>(12.8%)</v>
      </c>
      <c r="H31" s="165">
        <f ca="1">+H26-+H29*(1+'Key inputs'!$I$10)</f>
        <v>436.39500000000044</v>
      </c>
      <c r="I31" s="124" t="str">
        <f ca="1">CONCATENATE("(",ROUND(+H31/H29*100,1),"%)")</f>
        <v>(12.7%)</v>
      </c>
      <c r="K31" s="67" t="s">
        <v>265</v>
      </c>
    </row>
    <row r="32" spans="2:26" s="43" customFormat="1" ht="30" customHeight="1" x14ac:dyDescent="0.25">
      <c r="B32" s="49" t="s">
        <v>5</v>
      </c>
      <c r="C32" s="116" t="s">
        <v>90</v>
      </c>
      <c r="D32" s="305">
        <f t="array" aca="1" ref="D32" ca="1">INDEX(INDIRECT("'"&amp;$B32&amp;"'!$B$6:$F$16"),MATCH("DMO "&amp;FY&amp;" price ($ pa, inc GST)",INDIRECT("'"&amp;$B32&amp;"'!$B$6:$B$16"),0),MATCH(D$6&amp;D$7,INDIRECT("'"&amp;$B32&amp;"'!$B$6:$E$6")&amp;INDIRECT("'"&amp;$B32&amp;"'!$B$7:$E$7"),0))</f>
        <v>2241</v>
      </c>
      <c r="E32" s="314"/>
      <c r="F32" s="305">
        <f t="array" aca="1" ref="F32" ca="1">INDEX(INDIRECT("'"&amp;$B32&amp;"'!$B$6:$F$16"),MATCH("DMO "&amp;FY&amp;" price ($ pa, inc GST)",INDIRECT("'"&amp;$B32&amp;"'!$B$6:$B$16"),0),MATCH(F$6&amp;F$7,INDIRECT("'"&amp;$B32&amp;"'!$B$6:$E$6")&amp;INDIRECT("'"&amp;$B32&amp;"'!$B$7:$E$7"),0))</f>
        <v>2760</v>
      </c>
      <c r="G32" s="314"/>
      <c r="H32" s="305">
        <f t="array" aca="1" ref="H32" ca="1">INDEX(INDIRECT("'"&amp;$B32&amp;"'!$B$6:$F$16"),MATCH("DMO "&amp;FY&amp;" price ($ pa, inc GST)",INDIRECT("'"&amp;$B32&amp;"'!$B$6:$B$16"),0),MATCH(H$6&amp;H$7,INDIRECT("'"&amp;$B32&amp;"'!$B$6:$E$6")&amp;INDIRECT("'"&amp;$B32&amp;"'!$B$7:$E$7"),0))</f>
        <v>5690</v>
      </c>
      <c r="I32" s="306"/>
      <c r="J32" s="258">
        <f ca="1">+D32</f>
        <v>2241</v>
      </c>
      <c r="K32" s="151"/>
      <c r="L32" s="3" t="s">
        <v>274</v>
      </c>
      <c r="M32" s="128"/>
      <c r="N32" s="128"/>
      <c r="O32" s="128"/>
      <c r="P32" s="128"/>
      <c r="Q32" s="128"/>
      <c r="R32" s="129"/>
    </row>
    <row r="33" spans="2:19" ht="12.6" customHeight="1" x14ac:dyDescent="0.25">
      <c r="B33" s="68" t="s">
        <v>5</v>
      </c>
      <c r="C33" s="309" t="s">
        <v>167</v>
      </c>
      <c r="D33" s="307" t="str">
        <f t="array" aca="1" ref="D33" ca="1">INDEX(INDIRECT("'"&amp;$B32&amp;"'!$B$6:$F$16"),MATCH("Annual usage (kWh)",INDIRECT("'"&amp;$B32&amp;"'!$B$6:$B$16"),0),MATCH(D$6&amp;D$7,INDIRECT("'"&amp;$B32&amp;"'!$B$6:$E$6")&amp;INDIRECT("'"&amp;$B32&amp;"'!$B$7:$E$7"),0))&amp;" kWh"</f>
        <v>4000 kWh</v>
      </c>
      <c r="E33" s="313"/>
      <c r="F33" s="303" t="str">
        <f t="array" aca="1" ref="F33" ca="1">"Flat rate "&amp;INDEX(INDIRECT("'"&amp;$B32&amp;"'!$B$6:$F$15"),MATCH("Flat rate usage (kWh)",INDIRECT("'"&amp;$B32&amp;"'!$B$6:$B$15"),0),MATCH(F$6&amp;F$7,INDIRECT("'"&amp;$B32&amp;"'!$B$6:$E$6")&amp;INDIRECT("'"&amp;$B32&amp;"'!$B$7:$E$7"),0))&amp;" kWh"</f>
        <v>Flat rate 4200 kWh</v>
      </c>
      <c r="G33" s="304"/>
      <c r="H33" s="307" t="str">
        <f t="array" aca="1" ref="H33" ca="1">INDEX(INDIRECT("'"&amp;$B32&amp;"'!$B$6:$F$16"),MATCH("Annual usage (kWh)",INDIRECT("'"&amp;$B32&amp;"'!$B$6:$B$16"),0),MATCH(H$6&amp;H$7,INDIRECT("'"&amp;$B32&amp;"'!$B$6:$E$6")&amp;INDIRECT("'"&amp;$B32&amp;"'!$B$7:$E$7"),0))&amp;" kWh"</f>
        <v>10000 kWh</v>
      </c>
      <c r="I33" s="308"/>
    </row>
    <row r="34" spans="2:19" ht="12.6" customHeight="1" x14ac:dyDescent="0.25">
      <c r="B34" s="68"/>
      <c r="C34" s="311"/>
      <c r="D34" s="119"/>
      <c r="E34" s="120"/>
      <c r="F34" s="303" t="str">
        <f t="array" aca="1" ref="F34" ca="1">"+ CL "&amp;INDEX(INDIRECT("'"&amp;$B32&amp;"'!$B$6:$F$15"),MATCH("Controlled load usage (kWh)",INDIRECT("'"&amp;$B32&amp;"'!$B$6:$B$15"),0),MATCH(F$6&amp;F$7,INDIRECT("'"&amp;$B32&amp;"'!$B$6:$E$6")&amp;INDIRECT("'"&amp;$B32&amp;"'!$B$7:$E$7"),0))&amp;" kWh"</f>
        <v>+ CL 1800 kWh</v>
      </c>
      <c r="G34" s="304"/>
      <c r="H34" s="119"/>
      <c r="I34" s="240"/>
    </row>
    <row r="35" spans="2:19" ht="12.6" customHeight="1" x14ac:dyDescent="0.25">
      <c r="B35" s="68"/>
      <c r="C35" s="238" t="s">
        <v>272</v>
      </c>
      <c r="D35" s="250">
        <f ca="1">+D32-D36</f>
        <v>1840</v>
      </c>
      <c r="E35" s="251"/>
      <c r="F35" s="250">
        <f ca="1">+F32-F36</f>
        <v>2275</v>
      </c>
      <c r="G35" s="252"/>
      <c r="H35" s="250">
        <f ca="1">+H32-H36</f>
        <v>4539</v>
      </c>
      <c r="I35" s="240"/>
    </row>
    <row r="36" spans="2:19" ht="12.6" customHeight="1" x14ac:dyDescent="0.25">
      <c r="B36" s="68"/>
      <c r="C36" s="241" t="s">
        <v>154</v>
      </c>
      <c r="D36" s="125">
        <f t="array" aca="1" ref="D36" ca="1">INDEX(INDIRECT("'"&amp;$B32&amp;"'!$B$6:$F$16"),MATCH("Change from DMO "&amp;PY&amp;" price ($)",INDIRECT("'"&amp;$B32&amp;"'!$B$6:$B$16"),0),MATCH(D$6&amp;D$7,INDIRECT("'"&amp;$B32&amp;"'!$B$6:$E$6")&amp;INDIRECT("'"&amp;$B32&amp;"'!$B$7:$E$7"),0))</f>
        <v>401</v>
      </c>
      <c r="E36" s="126" t="str">
        <f t="array" aca="1" ref="E36" ca="1">"("&amp;ROUND(INDEX(INDIRECT("'"&amp;$B32&amp;"'!$B$6:$F$16"),MATCH("Change from DMO "&amp;PY&amp;" price (%)",INDIRECT("'"&amp;$B32&amp;"'!$B$6:$B$16"),0),MATCH(D$6&amp;D$7,INDIRECT("'"&amp;$B32&amp;"'!$B$6:$E$6")&amp;INDIRECT("'"&amp;$B32&amp;"'!$B$7:$E$7"),0))*100,1)&amp;"%)"</f>
        <v>(21.8%)</v>
      </c>
      <c r="F36" s="125">
        <f t="array" aca="1" ref="F36" ca="1">INDEX(INDIRECT("'"&amp;$B32&amp;"'!$B$6:$F$16"),MATCH("Change from DMO "&amp;PY&amp;" price ($)",INDIRECT("'"&amp;$B32&amp;"'!$B$6:$B$16"),0),MATCH(F$6&amp;F$7,INDIRECT("'"&amp;$B32&amp;"'!$B$6:$E$6")&amp;INDIRECT("'"&amp;$B32&amp;"'!$B$7:$E$7"),0))</f>
        <v>485</v>
      </c>
      <c r="G36" s="143" t="str">
        <f t="array" aca="1" ref="G36" ca="1">"("&amp;ROUND(INDEX(INDIRECT("'"&amp;$B32&amp;"'!$B$6:$F$16"),MATCH("Change from DMO "&amp;PY&amp;" price (%)",INDIRECT("'"&amp;$B32&amp;"'!$B$6:$B$16"),0),MATCH(F$6&amp;F$7,INDIRECT("'"&amp;$B32&amp;"'!$B$6:$E$6")&amp;INDIRECT("'"&amp;$B32&amp;"'!$B$7:$E$7"),0))*100,1)&amp;"%)"</f>
        <v>(21.3%)</v>
      </c>
      <c r="H36" s="125">
        <f t="array" aca="1" ref="H36" ca="1">INDEX(INDIRECT("'"&amp;$B32&amp;"'!$B$6:$F$16"),MATCH("Change from DMO "&amp;PY&amp;" price ($)",INDIRECT("'"&amp;$B32&amp;"'!$B$6:$B$16"),0),MATCH(H$6&amp;H$7,INDIRECT("'"&amp;$B32&amp;"'!$B$6:$E$6")&amp;INDIRECT("'"&amp;$B32&amp;"'!$B$7:$E$7"),0))</f>
        <v>1151</v>
      </c>
      <c r="I36" s="229" t="str">
        <f t="array" aca="1" ref="I36" ca="1">"("&amp;ROUND(INDEX(INDIRECT("'"&amp;$B32&amp;"'!$B$6:$F$16"),MATCH("Change from DMO "&amp;PY&amp;" price (%)",INDIRECT("'"&amp;$B32&amp;"'!$B$6:$B$16"),0),MATCH(H$6&amp;H$7,INDIRECT("'"&amp;$B32&amp;"'!$B$6:$E$6")&amp;INDIRECT("'"&amp;$B32&amp;"'!$B$7:$E$7"),0))*100,1)&amp;"%)"</f>
        <v>(25.4%)</v>
      </c>
    </row>
    <row r="37" spans="2:19" ht="12.6" customHeight="1" thickBot="1" x14ac:dyDescent="0.3">
      <c r="B37" s="248"/>
      <c r="C37" s="249" t="s">
        <v>271</v>
      </c>
      <c r="D37" s="244">
        <f ca="1">+D32-+D35*(1+'Key inputs'!I10)</f>
        <v>276.80000000000018</v>
      </c>
      <c r="E37" s="245" t="str">
        <f ca="1">CONCATENATE("(",ROUND(+D37/D35*100,1),"%)")</f>
        <v>(15%)</v>
      </c>
      <c r="F37" s="244">
        <f ca="1">+F32-+F35*(1+'Key inputs'!$I10)</f>
        <v>331.43750000000045</v>
      </c>
      <c r="G37" s="245" t="str">
        <f ca="1">CONCATENATE("(",ROUND(+F37/F35*100,1),"%)")</f>
        <v>(14.6%)</v>
      </c>
      <c r="H37" s="244">
        <f ca="1">+H32-+H35*(1+'Key inputs'!$I10)</f>
        <v>844.61750000000029</v>
      </c>
      <c r="I37" s="256" t="str">
        <f ca="1">CONCATENATE("(",ROUND(+H37/H35*100,1),"%)")</f>
        <v>(18.6%)</v>
      </c>
    </row>
    <row r="38" spans="2:19" x14ac:dyDescent="0.25">
      <c r="K38" s="3"/>
    </row>
    <row r="39" spans="2:19" x14ac:dyDescent="0.25">
      <c r="K39" s="3"/>
    </row>
    <row r="40" spans="2:19" x14ac:dyDescent="0.25">
      <c r="K40" s="3"/>
    </row>
    <row r="41" spans="2:19" x14ac:dyDescent="0.25">
      <c r="K41" s="3"/>
    </row>
    <row r="47" spans="2:19" ht="42" customHeight="1" x14ac:dyDescent="0.25">
      <c r="B47" s="144"/>
      <c r="C47" s="144"/>
      <c r="D47" s="144"/>
      <c r="E47" s="144"/>
      <c r="F47" s="144"/>
      <c r="G47" s="144"/>
      <c r="H47" s="144"/>
      <c r="I47" s="144"/>
      <c r="L47" s="144"/>
      <c r="M47" s="144"/>
      <c r="N47" s="144"/>
      <c r="O47" s="144"/>
      <c r="P47" s="144"/>
      <c r="Q47" s="144"/>
      <c r="R47" s="144"/>
      <c r="S47" s="144"/>
    </row>
    <row r="48" spans="2:19" ht="25.35" customHeight="1" x14ac:dyDescent="0.25">
      <c r="B48" s="144"/>
      <c r="C48" s="144"/>
      <c r="D48" s="144"/>
      <c r="E48" s="144"/>
      <c r="F48" s="144"/>
      <c r="G48" s="144"/>
      <c r="H48" s="144"/>
      <c r="I48" s="144"/>
      <c r="L48" s="144"/>
      <c r="M48" s="144"/>
      <c r="N48" s="144"/>
      <c r="O48" s="144"/>
      <c r="P48" s="144"/>
      <c r="Q48" s="144"/>
      <c r="R48" s="144"/>
      <c r="S48" s="144"/>
    </row>
    <row r="49" spans="2:19" ht="25.35" customHeight="1" x14ac:dyDescent="0.25">
      <c r="D49" s="144"/>
      <c r="E49" s="144"/>
      <c r="F49" s="144"/>
      <c r="G49" s="144"/>
      <c r="H49" s="144"/>
      <c r="I49" s="144"/>
      <c r="L49" s="144"/>
      <c r="M49" s="144"/>
      <c r="N49" s="144"/>
      <c r="O49" s="144"/>
      <c r="P49" s="144"/>
      <c r="Q49" s="144"/>
      <c r="R49" s="144"/>
      <c r="S49" s="144"/>
    </row>
    <row r="50" spans="2:19" ht="25.35" customHeight="1" x14ac:dyDescent="0.25">
      <c r="D50" s="144"/>
      <c r="E50" s="144"/>
      <c r="F50" s="144"/>
      <c r="G50" s="144"/>
      <c r="H50" s="144"/>
      <c r="I50" s="144"/>
      <c r="L50" s="144"/>
      <c r="M50" s="144"/>
      <c r="N50" s="144"/>
      <c r="O50" s="144"/>
      <c r="P50" s="144"/>
      <c r="Q50" s="144"/>
      <c r="R50" s="144"/>
      <c r="S50" s="144"/>
    </row>
    <row r="51" spans="2:19" ht="25.35" customHeight="1" x14ac:dyDescent="0.25">
      <c r="D51" s="144"/>
      <c r="E51" s="144"/>
      <c r="F51" s="144"/>
      <c r="G51" s="144"/>
      <c r="H51" s="144"/>
      <c r="I51" s="144"/>
      <c r="L51" s="144"/>
      <c r="M51" s="144"/>
      <c r="N51" s="144"/>
      <c r="O51" s="144"/>
      <c r="P51" s="144"/>
      <c r="Q51" s="144"/>
      <c r="R51" s="144"/>
      <c r="S51" s="144"/>
    </row>
    <row r="52" spans="2:19" ht="25.35" customHeight="1" x14ac:dyDescent="0.25">
      <c r="D52" s="144"/>
      <c r="E52" s="144"/>
      <c r="F52" s="144"/>
      <c r="G52" s="144"/>
      <c r="H52" s="144"/>
      <c r="I52" s="144"/>
      <c r="L52" s="144"/>
      <c r="M52" s="144"/>
      <c r="N52" s="144"/>
      <c r="O52" s="144"/>
      <c r="P52" s="144"/>
      <c r="Q52" s="144"/>
      <c r="R52" s="144"/>
      <c r="S52" s="144"/>
    </row>
    <row r="53" spans="2:19" ht="25.35" customHeight="1" x14ac:dyDescent="0.25">
      <c r="D53" s="144"/>
      <c r="E53" s="144"/>
      <c r="F53" s="144"/>
      <c r="G53" s="144"/>
      <c r="H53" s="144"/>
      <c r="I53" s="144"/>
      <c r="L53" s="144"/>
      <c r="M53" s="144"/>
      <c r="N53" s="144"/>
      <c r="O53" s="144"/>
      <c r="P53" s="144"/>
      <c r="Q53" s="144"/>
      <c r="R53" s="144"/>
      <c r="S53" s="144"/>
    </row>
    <row r="54" spans="2:19" ht="25.35" customHeight="1" x14ac:dyDescent="0.25">
      <c r="B54" s="144"/>
      <c r="C54" s="144"/>
      <c r="D54" s="144"/>
      <c r="E54" s="144"/>
      <c r="F54" s="144"/>
      <c r="G54" s="144"/>
      <c r="H54" s="144"/>
      <c r="I54" s="144"/>
      <c r="L54" s="144"/>
      <c r="M54" s="144"/>
      <c r="N54" s="144"/>
      <c r="O54" s="144"/>
      <c r="P54" s="144"/>
      <c r="Q54" s="144"/>
      <c r="R54" s="144"/>
      <c r="S54" s="144"/>
    </row>
    <row r="55" spans="2:19" ht="25.35" customHeight="1" x14ac:dyDescent="0.25">
      <c r="D55" s="144"/>
      <c r="E55" s="144"/>
      <c r="F55" s="144"/>
      <c r="G55" s="144"/>
      <c r="H55" s="144"/>
      <c r="I55" s="144"/>
      <c r="L55" s="144"/>
      <c r="M55" s="144"/>
      <c r="N55" s="144"/>
      <c r="O55" s="144"/>
      <c r="P55" s="144"/>
      <c r="Q55" s="144"/>
      <c r="R55" s="144"/>
      <c r="S55" s="144"/>
    </row>
    <row r="56" spans="2:19" ht="25.35" customHeight="1" x14ac:dyDescent="0.25">
      <c r="D56" s="144"/>
      <c r="E56" s="144"/>
      <c r="F56" s="144"/>
      <c r="G56" s="144"/>
      <c r="H56" s="144"/>
      <c r="I56" s="144"/>
      <c r="L56" s="144"/>
      <c r="M56" s="144"/>
      <c r="N56" s="144"/>
      <c r="O56" s="144"/>
      <c r="P56" s="144"/>
      <c r="Q56" s="144"/>
      <c r="R56" s="144"/>
      <c r="S56" s="144"/>
    </row>
    <row r="57" spans="2:19" ht="25.35" customHeight="1" x14ac:dyDescent="0.25">
      <c r="D57" s="144"/>
      <c r="E57" s="144"/>
      <c r="F57" s="144"/>
      <c r="G57" s="144"/>
      <c r="H57" s="144"/>
      <c r="I57" s="144"/>
      <c r="L57" s="144"/>
      <c r="M57" s="144"/>
      <c r="N57" s="144"/>
      <c r="O57" s="144"/>
      <c r="P57" s="144"/>
      <c r="Q57" s="144"/>
      <c r="R57" s="144"/>
      <c r="S57" s="144"/>
    </row>
    <row r="58" spans="2:19" ht="25.35" customHeight="1" x14ac:dyDescent="0.25">
      <c r="D58" s="144"/>
      <c r="E58" s="144"/>
      <c r="F58" s="144"/>
      <c r="G58" s="144"/>
      <c r="H58" s="144"/>
      <c r="I58" s="144"/>
      <c r="L58" s="144"/>
      <c r="M58" s="144"/>
      <c r="N58" s="144"/>
      <c r="O58" s="144"/>
      <c r="P58" s="144"/>
      <c r="Q58" s="144"/>
      <c r="R58" s="144"/>
      <c r="S58" s="144"/>
    </row>
    <row r="59" spans="2:19" ht="25.35" customHeight="1" x14ac:dyDescent="0.25">
      <c r="D59" s="144"/>
      <c r="E59" s="144"/>
      <c r="F59" s="144"/>
      <c r="G59" s="144"/>
      <c r="H59" s="144"/>
      <c r="I59" s="144"/>
      <c r="L59" s="144"/>
      <c r="M59" s="144"/>
      <c r="N59" s="144"/>
      <c r="O59" s="144"/>
      <c r="P59" s="144"/>
      <c r="Q59" s="144"/>
      <c r="R59" s="144"/>
      <c r="S59" s="144"/>
    </row>
    <row r="60" spans="2:19" ht="25.35" customHeight="1" x14ac:dyDescent="0.25">
      <c r="B60" s="144"/>
      <c r="C60" s="144"/>
      <c r="D60" s="144"/>
      <c r="E60" s="144"/>
      <c r="F60" s="144"/>
      <c r="G60" s="144"/>
      <c r="H60" s="144"/>
      <c r="I60" s="144"/>
      <c r="L60" s="144"/>
      <c r="M60" s="144"/>
      <c r="N60" s="144"/>
      <c r="O60" s="144"/>
      <c r="P60" s="144"/>
      <c r="Q60" s="144"/>
      <c r="R60" s="144"/>
      <c r="S60" s="144"/>
    </row>
    <row r="61" spans="2:19" ht="25.35" customHeight="1" x14ac:dyDescent="0.25">
      <c r="D61" s="144"/>
      <c r="E61" s="144"/>
      <c r="F61" s="144"/>
      <c r="G61" s="144"/>
      <c r="H61" s="144"/>
      <c r="I61" s="144"/>
      <c r="L61" s="144"/>
      <c r="M61" s="144"/>
      <c r="N61" s="144"/>
      <c r="O61" s="144"/>
      <c r="P61" s="144"/>
      <c r="Q61" s="144"/>
      <c r="R61" s="144"/>
      <c r="S61" s="144"/>
    </row>
    <row r="62" spans="2:19" ht="25.35" customHeight="1" x14ac:dyDescent="0.25">
      <c r="D62" s="144"/>
      <c r="E62" s="144"/>
      <c r="F62" s="144"/>
      <c r="G62" s="144"/>
      <c r="H62" s="144"/>
      <c r="I62" s="144"/>
      <c r="L62" s="144"/>
      <c r="M62" s="144"/>
      <c r="N62" s="144"/>
      <c r="O62" s="144"/>
      <c r="P62" s="144"/>
      <c r="Q62" s="144"/>
      <c r="R62" s="144"/>
      <c r="S62" s="144"/>
    </row>
    <row r="63" spans="2:19" ht="25.35" customHeight="1" x14ac:dyDescent="0.25">
      <c r="D63" s="144"/>
      <c r="E63" s="144"/>
      <c r="F63" s="144"/>
      <c r="G63" s="144"/>
      <c r="H63" s="144"/>
      <c r="I63" s="144"/>
      <c r="L63" s="144"/>
      <c r="M63" s="144"/>
      <c r="N63" s="144"/>
      <c r="O63" s="144"/>
      <c r="P63" s="144"/>
      <c r="Q63" s="144"/>
      <c r="R63" s="144"/>
      <c r="S63" s="144"/>
    </row>
    <row r="64" spans="2:19" ht="25.35" customHeight="1" x14ac:dyDescent="0.25">
      <c r="D64" s="144"/>
      <c r="E64" s="144"/>
      <c r="F64" s="144"/>
      <c r="G64" s="144"/>
      <c r="H64" s="144"/>
      <c r="I64" s="144"/>
      <c r="L64" s="144"/>
      <c r="M64" s="144"/>
      <c r="N64" s="144"/>
      <c r="O64" s="144"/>
      <c r="P64" s="144"/>
      <c r="Q64" s="144"/>
      <c r="R64" s="144"/>
      <c r="S64" s="144"/>
    </row>
    <row r="65" spans="4:19" ht="25.35" customHeight="1" x14ac:dyDescent="0.25">
      <c r="D65" s="144"/>
      <c r="E65" s="144"/>
      <c r="F65" s="144"/>
      <c r="G65" s="144"/>
      <c r="H65" s="144"/>
      <c r="I65" s="144"/>
      <c r="L65" s="144"/>
      <c r="M65" s="144"/>
      <c r="N65" s="144"/>
      <c r="O65" s="144"/>
      <c r="P65" s="144"/>
      <c r="Q65" s="144"/>
      <c r="R65" s="144"/>
      <c r="S65" s="144"/>
    </row>
  </sheetData>
  <mergeCells count="61">
    <mergeCell ref="Y6:Y7"/>
    <mergeCell ref="U6:U7"/>
    <mergeCell ref="V6:V7"/>
    <mergeCell ref="W6:W7"/>
    <mergeCell ref="X6:X7"/>
    <mergeCell ref="D6:E6"/>
    <mergeCell ref="D7:E7"/>
    <mergeCell ref="F6:G6"/>
    <mergeCell ref="F7:G7"/>
    <mergeCell ref="Q6:Q7"/>
    <mergeCell ref="D26:E26"/>
    <mergeCell ref="F26:G26"/>
    <mergeCell ref="H26:I26"/>
    <mergeCell ref="F21:G21"/>
    <mergeCell ref="F22:G22"/>
    <mergeCell ref="D15:E15"/>
    <mergeCell ref="H33:I33"/>
    <mergeCell ref="D33:E33"/>
    <mergeCell ref="D21:E21"/>
    <mergeCell ref="H21:I21"/>
    <mergeCell ref="F15:G15"/>
    <mergeCell ref="H32:I32"/>
    <mergeCell ref="F32:G32"/>
    <mergeCell ref="D32:E32"/>
    <mergeCell ref="D27:E27"/>
    <mergeCell ref="H27:I27"/>
    <mergeCell ref="F27:G27"/>
    <mergeCell ref="F28:G28"/>
    <mergeCell ref="H20:I20"/>
    <mergeCell ref="F20:G20"/>
    <mergeCell ref="D20:E20"/>
    <mergeCell ref="C9:C10"/>
    <mergeCell ref="C15:C16"/>
    <mergeCell ref="C21:C22"/>
    <mergeCell ref="C27:C28"/>
    <mergeCell ref="C33:C34"/>
    <mergeCell ref="F8:G8"/>
    <mergeCell ref="F33:G33"/>
    <mergeCell ref="R6:R7"/>
    <mergeCell ref="P6:P7"/>
    <mergeCell ref="F34:G34"/>
    <mergeCell ref="F10:G10"/>
    <mergeCell ref="F9:G9"/>
    <mergeCell ref="H8:I8"/>
    <mergeCell ref="H9:I9"/>
    <mergeCell ref="Z6:Z7"/>
    <mergeCell ref="O6:O7"/>
    <mergeCell ref="B6:B7"/>
    <mergeCell ref="F16:G16"/>
    <mergeCell ref="A1:B1"/>
    <mergeCell ref="L6:L7"/>
    <mergeCell ref="M6:M7"/>
    <mergeCell ref="N6:N7"/>
    <mergeCell ref="H15:I15"/>
    <mergeCell ref="D14:E14"/>
    <mergeCell ref="F14:G14"/>
    <mergeCell ref="H14:I14"/>
    <mergeCell ref="H6:I6"/>
    <mergeCell ref="H7:I7"/>
    <mergeCell ref="D9:E9"/>
    <mergeCell ref="D8:E8"/>
  </mergeCells>
  <conditionalFormatting sqref="L8:R25">
    <cfRule type="expression" dxfId="1324" priority="8">
      <formula>MOD(ROW(),2)=0</formula>
    </cfRule>
  </conditionalFormatting>
  <conditionalFormatting sqref="U8:Y25">
    <cfRule type="expression" dxfId="1323" priority="3">
      <formula>MOD(ROW(),2)=0</formula>
    </cfRule>
  </conditionalFormatting>
  <conditionalFormatting sqref="Z8">
    <cfRule type="expression" dxfId="1322" priority="2">
      <formula>MOD(ROW(),2)=0</formula>
    </cfRule>
  </conditionalFormatting>
  <conditionalFormatting sqref="Z9:Z25">
    <cfRule type="expression" dxfId="1321" priority="1">
      <formula>MOD(ROW(),2)=0</formula>
    </cfRule>
  </conditionalFormatting>
  <hyperlinks>
    <hyperlink ref="A1" location="Index!A1" display="&lt;&lt;Back to Index" xr:uid="{00000000-0004-0000-0500-00000000000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ignoredErrors>
    <ignoredError sqref="F12:H12 H32:I33 H26:I27 H20:I21 D33:E33 D27:E27 D32:E32 D21:E21 D26:E26 D20:E20 D18:E18 D24:E24 D30:E30 D36:H36 F9 F30:H30 F24:H24 F18:H18 F20:G20 F26:G26 F32:G32 F15:G15 F33:G33 F27:G27 F21:G21 G19 E19 E31 G31 E37 G37 G25 E25 E13 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6C7C"/>
  </sheetPr>
  <dimension ref="F9:F14"/>
  <sheetViews>
    <sheetView workbookViewId="0"/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194</v>
      </c>
    </row>
    <row r="10" spans="6:6" ht="36" x14ac:dyDescent="0.25">
      <c r="F10" s="2" t="str">
        <f>"DMO "&amp;FY</f>
        <v>DMO 2023-24</v>
      </c>
    </row>
    <row r="11" spans="6:6" ht="23.25" x14ac:dyDescent="0.25">
      <c r="F11" s="4" t="s">
        <v>182</v>
      </c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</sheetData>
  <pageMargins left="0.7" right="0.7" top="0.75" bottom="0.75" header="0.3" footer="0.3"/>
  <headerFooter>
    <oddHeader>&amp;C&amp;"Calibri"&amp;12&amp;KFF0000 OFFICIAL&amp;1#_x000D_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6C7C"/>
  </sheetPr>
  <dimension ref="A1:S79"/>
  <sheetViews>
    <sheetView zoomScale="80" zoomScaleNormal="80" workbookViewId="0">
      <selection activeCell="A44" sqref="A44"/>
    </sheetView>
  </sheetViews>
  <sheetFormatPr defaultColWidth="8.85546875" defaultRowHeight="15" x14ac:dyDescent="0.25"/>
  <cols>
    <col min="1" max="1" width="3.140625" style="3" customWidth="1"/>
    <col min="2" max="2" width="10.140625" style="3" bestFit="1" customWidth="1"/>
    <col min="3" max="3" width="17.42578125" style="3" bestFit="1" customWidth="1"/>
    <col min="4" max="4" width="9" style="3" bestFit="1" customWidth="1"/>
    <col min="5" max="5" width="14.140625" style="3" bestFit="1" customWidth="1"/>
    <col min="6" max="6" width="16" style="3" bestFit="1" customWidth="1"/>
    <col min="7" max="7" width="19.5703125" style="3" bestFit="1" customWidth="1"/>
    <col min="8" max="8" width="11.42578125" style="3" bestFit="1" customWidth="1"/>
    <col min="9" max="9" width="16.42578125" style="3" bestFit="1" customWidth="1"/>
    <col min="10" max="10" width="9" style="3" bestFit="1" customWidth="1"/>
    <col min="11" max="11" width="8.85546875" style="3" bestFit="1" customWidth="1"/>
    <col min="12" max="24" width="10.85546875" style="3" customWidth="1"/>
    <col min="25" max="25" width="12" style="3" customWidth="1"/>
    <col min="26" max="16384" width="8.85546875" style="3"/>
  </cols>
  <sheetData>
    <row r="1" spans="1:2" ht="10.35" customHeight="1" x14ac:dyDescent="0.25">
      <c r="A1" s="286" t="s">
        <v>21</v>
      </c>
      <c r="B1" s="291"/>
    </row>
    <row r="2" spans="1:2" s="14" customFormat="1" ht="22.5" customHeight="1" x14ac:dyDescent="0.25">
      <c r="A2" s="15" t="s">
        <v>163</v>
      </c>
      <c r="B2" s="15"/>
    </row>
    <row r="3" spans="1:2" x14ac:dyDescent="0.25">
      <c r="B3" s="94" t="s">
        <v>148</v>
      </c>
    </row>
    <row r="41" spans="1:19" x14ac:dyDescent="0.25">
      <c r="B41" s="104" t="s">
        <v>145</v>
      </c>
    </row>
    <row r="44" spans="1:19" s="5" customFormat="1" x14ac:dyDescent="0.25">
      <c r="B44" s="102" t="s">
        <v>6</v>
      </c>
      <c r="C44" s="103" t="s">
        <v>146</v>
      </c>
      <c r="D44" s="212" t="str">
        <f>PY</f>
        <v>2022-23</v>
      </c>
      <c r="E44" s="212" t="s">
        <v>68</v>
      </c>
      <c r="F44" s="212" t="s">
        <v>69</v>
      </c>
      <c r="G44" s="212" t="s">
        <v>70</v>
      </c>
      <c r="H44" s="212" t="s">
        <v>204</v>
      </c>
      <c r="I44" s="212" t="s">
        <v>206</v>
      </c>
      <c r="J44" s="212" t="str">
        <f>FY</f>
        <v>2023-24</v>
      </c>
      <c r="K44" s="213" t="s">
        <v>23</v>
      </c>
      <c r="M44" s="109"/>
      <c r="P44" s="3"/>
    </row>
    <row r="45" spans="1:19" x14ac:dyDescent="0.25">
      <c r="A45" s="67" t="str">
        <f>B45&amp;" "&amp;$B$44&amp;" "&amp;$C$44&amp;" $"</f>
        <v>Ausgrid Residential without CL $</v>
      </c>
      <c r="B45" s="97" t="s">
        <v>2</v>
      </c>
      <c r="C45" s="98" t="s">
        <v>183</v>
      </c>
      <c r="D45" s="214">
        <v>0</v>
      </c>
      <c r="E45" s="214">
        <f ca="1">IF($K46&lt;0,SUM(D45:D50)+$K46,SUM(D45:D50))</f>
        <v>1511.7830652391212</v>
      </c>
      <c r="F45" s="214">
        <f ca="1">IF($K47&lt;0,IF($K46&lt;0,E45+$K47,E45+$K46+$K47),IF($K46&lt;0,E45,E45+$K46))</f>
        <v>1552.3923966146249</v>
      </c>
      <c r="G45" s="214">
        <f ca="1">IF($K48&lt;0,IF($K47&lt;0,F45+$K48,F45+$K47+$K48),IF($K47&lt;0,F45,F45+$K47))</f>
        <v>1814.4684966146249</v>
      </c>
      <c r="H45" s="214">
        <f ca="1">IF($K49&lt;0,IF($K48&lt;0,G45+$K49,G45+$K48+$K49),IF($K48&lt;0,G45,G45+$K48))</f>
        <v>1813.6709176570055</v>
      </c>
      <c r="I45" s="214">
        <f ca="1">IF($K50&lt;0,IF($K49&lt;0,H45+$K50,H45+$K49+$K50),IF($K49&lt;0,H45,H45+$K49))</f>
        <v>1813.6709176570055</v>
      </c>
      <c r="J45" s="214">
        <v>0</v>
      </c>
      <c r="K45" s="215"/>
      <c r="M45" s="13"/>
      <c r="N45" s="13"/>
      <c r="O45" s="13"/>
      <c r="Q45" s="13"/>
      <c r="R45" s="13"/>
      <c r="S45" s="13"/>
    </row>
    <row r="46" spans="1:19" x14ac:dyDescent="0.25">
      <c r="A46" s="67"/>
      <c r="B46" s="99" t="str">
        <f>B45</f>
        <v>Ausgrid</v>
      </c>
      <c r="C46" s="3" t="s">
        <v>68</v>
      </c>
      <c r="D46" s="175" cm="1">
        <f t="array" aca="1" ref="D46" ca="1">INDEX(INDIRECT("'"&amp;$B46&amp;"'!$F$23:$AJ$39"),MATCH($C46,INDIRECT("'"&amp;$B46&amp;"'!$F$23:$F$39"),0),MATCH($B$44&amp;$C$44&amp;D$44&amp;"Cost",INDIRECT("'"&amp;$B46&amp;"'!$F$23:$AJ$23")&amp;INDIRECT("'"&amp;$B46&amp;"'!$F$24:$AJ$24")&amp;INDIRECT("'"&amp;$B46&amp;"'!$F$25:$AJ$25")&amp;INDIRECT("'"&amp;$B46&amp;"'!$F$30:$AJ$30"),0))</f>
        <v>538.42154299999993</v>
      </c>
      <c r="E46" s="216">
        <f ca="1">ABS($J46-$D46)</f>
        <v>40.609331375503643</v>
      </c>
      <c r="F46" s="216"/>
      <c r="G46" s="216"/>
      <c r="H46" s="216"/>
      <c r="I46" s="216"/>
      <c r="J46" s="175">
        <f t="array" aca="1" ref="J46" ca="1">INDEX(INDIRECT("'"&amp;$B46&amp;"'!$F$23:$AJ$39"),MATCH($C46,INDIRECT("'"&amp;$B46&amp;"'!$F$23:$F$39"),0),MATCH($B$44&amp;$C$44&amp;J$44&amp;"Cost",INDIRECT("'"&amp;$B46&amp;"'!$F$23:$AJ$23")&amp;INDIRECT("'"&amp;$B46&amp;"'!$F$24:$AJ$24")&amp;INDIRECT("'"&amp;$B46&amp;"'!$F$25:$AJ$25")&amp;INDIRECT("'"&amp;$B46&amp;"'!$F$30:$AJ$30"),0))</f>
        <v>579.03087437550357</v>
      </c>
      <c r="K46" s="217">
        <f ca="1">J46-D46</f>
        <v>40.609331375503643</v>
      </c>
      <c r="L46" s="263"/>
      <c r="M46" s="13"/>
      <c r="N46" s="13"/>
      <c r="O46" s="13"/>
      <c r="Q46" s="13"/>
      <c r="R46" s="13"/>
      <c r="S46" s="13"/>
    </row>
    <row r="47" spans="1:19" x14ac:dyDescent="0.25">
      <c r="A47" s="67"/>
      <c r="B47" s="99" t="str">
        <f>B46</f>
        <v>Ausgrid</v>
      </c>
      <c r="C47" s="3" t="s">
        <v>69</v>
      </c>
      <c r="D47" s="175" cm="1">
        <f t="array" aca="1" ref="D47" ca="1">INDEX(INDIRECT("'"&amp;$B47&amp;"'!$F$23:$AJ$39"),MATCH($C47,INDIRECT("'"&amp;$B47&amp;"'!$F$23:$F$39"),0),MATCH($B$44&amp;$C$44&amp;D$44&amp;"Cost",INDIRECT("'"&amp;$B47&amp;"'!$F$23:$AJ$23")&amp;INDIRECT("'"&amp;$B47&amp;"'!$F$24:$AJ$24")&amp;INDIRECT("'"&amp;$B47&amp;"'!$F$25:$AJ$25")&amp;INDIRECT("'"&amp;$B47&amp;"'!$F$30:$AJ$30"),0))</f>
        <v>524.36670000000004</v>
      </c>
      <c r="E47" s="216"/>
      <c r="F47" s="216">
        <f ca="1">ABS($J47-$D47)</f>
        <v>270.48449999999991</v>
      </c>
      <c r="G47" s="216"/>
      <c r="H47" s="216"/>
      <c r="I47" s="216"/>
      <c r="J47" s="175">
        <f t="array" aca="1" ref="J47" ca="1">INDEX(INDIRECT("'"&amp;$B47&amp;"'!$F$23:$AJ$39"),MATCH($C47,INDIRECT("'"&amp;$B47&amp;"'!$F$23:$F$39"),0),MATCH($B$44&amp;$C$44&amp;J$44&amp;"Cost",INDIRECT("'"&amp;$B47&amp;"'!$F$23:$AJ$23")&amp;INDIRECT("'"&amp;$B47&amp;"'!$F$24:$AJ$24")&amp;INDIRECT("'"&amp;$B47&amp;"'!$F$25:$AJ$25")&amp;INDIRECT("'"&amp;$B47&amp;"'!$F$30:$AJ$30"),0))</f>
        <v>794.85119999999995</v>
      </c>
      <c r="K47" s="217">
        <f ca="1">J47-D47</f>
        <v>270.48449999999991</v>
      </c>
      <c r="M47" s="13"/>
      <c r="N47" s="13"/>
      <c r="O47" s="13"/>
      <c r="Q47" s="13"/>
      <c r="R47" s="13"/>
      <c r="S47" s="13"/>
    </row>
    <row r="48" spans="1:19" x14ac:dyDescent="0.25">
      <c r="A48" s="67"/>
      <c r="B48" s="99" t="str">
        <f>B47</f>
        <v>Ausgrid</v>
      </c>
      <c r="C48" s="3" t="s">
        <v>70</v>
      </c>
      <c r="D48" s="175">
        <f t="array" aca="1" ref="D48" ca="1">INDEX(INDIRECT("'"&amp;$B48&amp;"'!$F$23:$AJ$39"),MATCH($C48,INDIRECT("'"&amp;$B48&amp;"'!$F$23:$F$39"),0),MATCH($B$44&amp;$C$44&amp;D$44&amp;"Cost",INDIRECT("'"&amp;$B48&amp;"'!$F$23:$AJ$23")&amp;INDIRECT("'"&amp;$B48&amp;"'!$F$24:$AJ$24")&amp;INDIRECT("'"&amp;$B48&amp;"'!$F$25:$AJ$25")&amp;INDIRECT("'"&amp;$B48&amp;"'!$F$30:$AJ$30"),0))</f>
        <v>88.717200000000005</v>
      </c>
      <c r="E48" s="216"/>
      <c r="F48" s="216"/>
      <c r="G48" s="216">
        <f ca="1">ABS($J48-$D48)</f>
        <v>8.4084000000000145</v>
      </c>
      <c r="H48" s="216"/>
      <c r="I48" s="216"/>
      <c r="J48" s="175">
        <f t="array" aca="1" ref="J48" ca="1">INDEX(INDIRECT("'"&amp;$B48&amp;"'!$F$23:$AJ$39"),MATCH($C48,INDIRECT("'"&amp;$B48&amp;"'!$F$23:$F$39"),0),MATCH($B$44&amp;$C$44&amp;J$44&amp;"Cost",INDIRECT("'"&amp;$B48&amp;"'!$F$23:$AJ$23")&amp;INDIRECT("'"&amp;$B48&amp;"'!$F$24:$AJ$24")&amp;INDIRECT("'"&amp;$B48&amp;"'!$F$25:$AJ$25")&amp;INDIRECT("'"&amp;$B48&amp;"'!$F$30:$AJ$30"),0))</f>
        <v>80.308799999999991</v>
      </c>
      <c r="K48" s="217">
        <f ca="1">J48-D48</f>
        <v>-8.4084000000000145</v>
      </c>
      <c r="M48" s="13"/>
      <c r="N48" s="13"/>
      <c r="O48" s="13"/>
      <c r="Q48" s="13"/>
      <c r="R48" s="13"/>
      <c r="S48" s="13"/>
    </row>
    <row r="49" spans="1:19" x14ac:dyDescent="0.25">
      <c r="A49" s="67"/>
      <c r="B49" s="99" t="str">
        <f t="shared" ref="B49:B50" si="0">B48</f>
        <v>Ausgrid</v>
      </c>
      <c r="C49" s="3" t="s">
        <v>204</v>
      </c>
      <c r="D49" s="175">
        <f t="array" aca="1" ref="D49" ca="1">INDEX(INDIRECT("'"&amp;$B49&amp;"'!$F$23:$AJ$39"),MATCH($C49,INDIRECT("'"&amp;$B49&amp;"'!$F$23:$F$39"),0),MATCH($B$44&amp;$C$44&amp;D$44&amp;"Cost",INDIRECT("'"&amp;$B49&amp;"'!$F$23:$AJ$23")&amp;INDIRECT("'"&amp;$B49&amp;"'!$F$24:$AJ$24")&amp;INDIRECT("'"&amp;$B49&amp;"'!$F$25:$AJ$25")&amp;INDIRECT("'"&amp;$B49&amp;"'!$F$30:$AJ$30"),0))</f>
        <v>209.099315715209</v>
      </c>
      <c r="E49" s="216"/>
      <c r="F49" s="216"/>
      <c r="G49" s="216"/>
      <c r="H49" s="216">
        <f ca="1">ABS($J49-$D49)</f>
        <v>0.79757895761946429</v>
      </c>
      <c r="I49" s="216"/>
      <c r="J49" s="175">
        <f t="array" aca="1" ref="J49" ca="1">INDEX(INDIRECT("'"&amp;$B49&amp;"'!$F$23:$AJ$39"),MATCH($C49,INDIRECT("'"&amp;$B49&amp;"'!$F$23:$F$39"),0),MATCH($B$44&amp;$C$44&amp;J$44&amp;"Cost",INDIRECT("'"&amp;$B49&amp;"'!$F$23:$AJ$23")&amp;INDIRECT("'"&amp;$B49&amp;"'!$F$24:$AJ$24")&amp;INDIRECT("'"&amp;$B49&amp;"'!$F$25:$AJ$25")&amp;INDIRECT("'"&amp;$B49&amp;"'!$F$30:$AJ$30"),0))</f>
        <v>208.30173675758954</v>
      </c>
      <c r="K49" s="217">
        <f ca="1">J49-D49</f>
        <v>-0.79757895761946429</v>
      </c>
      <c r="M49" s="13"/>
      <c r="N49" s="13"/>
      <c r="O49" s="13"/>
      <c r="P49" s="13"/>
      <c r="Q49" s="13"/>
      <c r="R49" s="13"/>
      <c r="S49" s="13"/>
    </row>
    <row r="50" spans="1:19" x14ac:dyDescent="0.25">
      <c r="A50" s="67"/>
      <c r="B50" s="99" t="str">
        <f t="shared" si="0"/>
        <v>Ausgrid</v>
      </c>
      <c r="C50" s="3" t="s">
        <v>206</v>
      </c>
      <c r="D50" s="175">
        <f t="array" aca="1" ref="D50" ca="1">INDEX(INDIRECT("'"&amp;$B50&amp;"'!$F$23:$AJ$39"),MATCH($C50,INDIRECT("'"&amp;$B50&amp;"'!$F$23:$F$39"),0),MATCH($B$44&amp;$C$44&amp;D$44&amp;"Cost",INDIRECT("'"&amp;$B50&amp;"'!$F$23:$AJ$23")&amp;INDIRECT("'"&amp;$B50&amp;"'!$F$24:$AJ$24")&amp;INDIRECT("'"&amp;$B50&amp;"'!$F$25:$AJ$25")&amp;INDIRECT("'"&amp;$B50&amp;"'!$F$30:$AJ$30"),0))</f>
        <v>151.17830652391217</v>
      </c>
      <c r="E50" s="216"/>
      <c r="F50" s="216"/>
      <c r="G50" s="216"/>
      <c r="H50" s="216"/>
      <c r="I50" s="216">
        <f ca="1">ABS($J50-$D50)</f>
        <v>33.543094713098071</v>
      </c>
      <c r="J50" s="175">
        <f t="array" aca="1" ref="J50" ca="1">INDEX(INDIRECT("'"&amp;$B50&amp;"'!$F$23:$AJ$39"),MATCH($C50,INDIRECT("'"&amp;$B50&amp;"'!$F$23:$F$39"),0),MATCH($B$44&amp;$C$44&amp;J$44&amp;"Cost",INDIRECT("'"&amp;$B50&amp;"'!$F$23:$AJ$23")&amp;INDIRECT("'"&amp;$B50&amp;"'!$F$24:$AJ$24")&amp;INDIRECT("'"&amp;$B50&amp;"'!$F$25:$AJ$25")&amp;INDIRECT("'"&amp;$B50&amp;"'!$F$30:$AJ$30"),0))</f>
        <v>184.72140123701024</v>
      </c>
      <c r="K50" s="217">
        <f ca="1">J50-D50</f>
        <v>33.543094713098071</v>
      </c>
      <c r="M50" s="13"/>
      <c r="N50" s="13"/>
      <c r="O50" s="13"/>
      <c r="P50" s="13"/>
      <c r="Q50" s="13"/>
      <c r="R50" s="13"/>
      <c r="S50" s="13"/>
    </row>
    <row r="51" spans="1:19" x14ac:dyDescent="0.25">
      <c r="A51" s="67"/>
      <c r="B51" s="100" t="str">
        <f>B49</f>
        <v>Ausgrid</v>
      </c>
      <c r="C51" s="101" t="s">
        <v>134</v>
      </c>
      <c r="D51" s="218">
        <f ca="1">SUM(D45:D50)</f>
        <v>1511.7830652391212</v>
      </c>
      <c r="E51" s="218"/>
      <c r="F51" s="218"/>
      <c r="G51" s="218"/>
      <c r="H51" s="218"/>
      <c r="I51" s="218"/>
      <c r="J51" s="218">
        <f ca="1">SUM(J45:J50)</f>
        <v>1847.2140123701035</v>
      </c>
      <c r="K51" s="217">
        <f ca="1">+J51-D51</f>
        <v>335.4309471309823</v>
      </c>
      <c r="L51" s="234"/>
      <c r="M51" s="110"/>
      <c r="N51" s="13"/>
      <c r="O51" s="13"/>
      <c r="P51" s="13"/>
      <c r="Q51" s="13"/>
      <c r="R51" s="13"/>
      <c r="S51" s="13"/>
    </row>
    <row r="52" spans="1:19" x14ac:dyDescent="0.25">
      <c r="A52" s="67" t="str">
        <f>B52&amp;" "&amp;$B$44&amp;" "&amp;$C$44&amp;" $"</f>
        <v>Endeavour Residential without CL $</v>
      </c>
      <c r="B52" s="97" t="s">
        <v>4</v>
      </c>
      <c r="C52" s="98" t="s">
        <v>183</v>
      </c>
      <c r="D52" s="214">
        <v>0</v>
      </c>
      <c r="E52" s="214">
        <f ca="1">IF($K53&lt;0,SUM(D52:D57)+$K53,SUM(D52:D57))</f>
        <v>1835.8960479613436</v>
      </c>
      <c r="F52" s="214">
        <f ca="1">IF($K54&lt;0,IF($K53&lt;0,E52+$K54,E52+$K53+$K54),IF($K53&lt;0,E52,E52+$K53))</f>
        <v>1845.5529904314474</v>
      </c>
      <c r="G52" s="214">
        <f ca="1">IF($K55&lt;0,IF($K54&lt;0,F52+$K55,F52+$K54+$K55),IF($K54&lt;0,F52,F52+$K54))</f>
        <v>2183.991090431447</v>
      </c>
      <c r="H52" s="214">
        <f ca="1">IF($K56&lt;0,IF($K55&lt;0,G52+$K56,G52+$K55+$K56),IF($K55&lt;0,G52,G52+$K55))</f>
        <v>2180.9505482216809</v>
      </c>
      <c r="I52" s="214">
        <f ca="1">IF($K57&lt;0,IF($K56&lt;0,H52+$K57,H52+$K56+$K57),IF($K56&lt;0,H52,H52+$K56))</f>
        <v>2180.9505482216809</v>
      </c>
      <c r="J52" s="214">
        <v>0</v>
      </c>
      <c r="K52" s="215"/>
      <c r="M52" s="106"/>
    </row>
    <row r="53" spans="1:19" x14ac:dyDescent="0.25">
      <c r="A53" s="67"/>
      <c r="B53" s="99" t="str">
        <f>B52</f>
        <v>Endeavour</v>
      </c>
      <c r="C53" s="3" t="s">
        <v>68</v>
      </c>
      <c r="D53" s="175">
        <f t="array" aca="1" ref="D53" ca="1">INDEX(INDIRECT("'"&amp;$B53&amp;"'!$F$23:$AJ$39"),MATCH($C53,INDIRECT("'"&amp;$B53&amp;"'!$F$23:$F$39"),0),MATCH($B$44&amp;$C$44&amp;D$44&amp;"Cost",INDIRECT("'"&amp;$B53&amp;"'!$F$23:$AJ$23")&amp;INDIRECT("'"&amp;$B53&amp;"'!$F$24:$AJ$24")&amp;INDIRECT("'"&amp;$B53&amp;"'!$F$25:$AJ$25")&amp;INDIRECT("'"&amp;$B53&amp;"'!$F$30:$AJ$30"),0))</f>
        <v>653.68214999999987</v>
      </c>
      <c r="E53" s="216">
        <f ca="1">ABS($J53-$D53)</f>
        <v>9.656942470103786</v>
      </c>
      <c r="F53" s="216"/>
      <c r="G53" s="216"/>
      <c r="H53" s="216"/>
      <c r="I53" s="216"/>
      <c r="J53" s="175">
        <f t="array" aca="1" ref="J53" ca="1">INDEX(INDIRECT("'"&amp;$B53&amp;"'!$F$23:$AJ$39"),MATCH($C53,INDIRECT("'"&amp;$B53&amp;"'!$F$23:$F$39"),0),MATCH($B$44&amp;$C$44&amp;J$44&amp;"Cost",INDIRECT("'"&amp;$B53&amp;"'!$F$23:$AJ$23")&amp;INDIRECT("'"&amp;$B53&amp;"'!$F$24:$AJ$24")&amp;INDIRECT("'"&amp;$B53&amp;"'!$F$25:$AJ$25")&amp;INDIRECT("'"&amp;$B53&amp;"'!$F$30:$AJ$30"),0))</f>
        <v>663.33909247010365</v>
      </c>
      <c r="K53" s="217">
        <f ca="1">J53-D53</f>
        <v>9.656942470103786</v>
      </c>
      <c r="M53" s="106"/>
    </row>
    <row r="54" spans="1:19" x14ac:dyDescent="0.25">
      <c r="A54" s="67"/>
      <c r="B54" s="99" t="str">
        <f>B53</f>
        <v>Endeavour</v>
      </c>
      <c r="C54" s="3" t="s">
        <v>69</v>
      </c>
      <c r="D54" s="175">
        <f t="array" aca="1" ref="D54" ca="1">INDEX(INDIRECT("'"&amp;$B54&amp;"'!$F$23:$AJ$39"),MATCH($C54,INDIRECT("'"&amp;$B54&amp;"'!$F$23:$F$39"),0),MATCH($B$44&amp;$C$44&amp;D$44&amp;"Cost",INDIRECT("'"&amp;$B54&amp;"'!$F$23:$AJ$23")&amp;INDIRECT("'"&amp;$B54&amp;"'!$F$24:$AJ$24")&amp;INDIRECT("'"&amp;$B54&amp;"'!$F$25:$AJ$25")&amp;INDIRECT("'"&amp;$B54&amp;"'!$F$30:$AJ$30"),0))</f>
        <v>669.7075000000001</v>
      </c>
      <c r="E54" s="216"/>
      <c r="F54" s="216">
        <f ca="1">ABS($J54-$D54)</f>
        <v>348.89469999999983</v>
      </c>
      <c r="G54" s="216"/>
      <c r="H54" s="216"/>
      <c r="I54" s="216"/>
      <c r="J54" s="175">
        <f t="array" aca="1" ref="J54" ca="1">INDEX(INDIRECT("'"&amp;$B54&amp;"'!$F$23:$AJ$39"),MATCH($C54,INDIRECT("'"&amp;$B54&amp;"'!$F$23:$F$39"),0),MATCH($B$44&amp;$C$44&amp;J$44&amp;"Cost",INDIRECT("'"&amp;$B54&amp;"'!$F$23:$AJ$23")&amp;INDIRECT("'"&amp;$B54&amp;"'!$F$24:$AJ$24")&amp;INDIRECT("'"&amp;$B54&amp;"'!$F$25:$AJ$25")&amp;INDIRECT("'"&amp;$B54&amp;"'!$F$30:$AJ$30"),0))</f>
        <v>1018.6021999999999</v>
      </c>
      <c r="K54" s="217">
        <f ca="1">J54-D54</f>
        <v>348.89469999999983</v>
      </c>
      <c r="M54" s="106"/>
    </row>
    <row r="55" spans="1:19" x14ac:dyDescent="0.25">
      <c r="A55" s="67"/>
      <c r="B55" s="99" t="str">
        <f>B54</f>
        <v>Endeavour</v>
      </c>
      <c r="C55" s="3" t="s">
        <v>70</v>
      </c>
      <c r="D55" s="175">
        <f t="array" aca="1" ref="D55" ca="1">INDEX(INDIRECT("'"&amp;$B55&amp;"'!$F$23:$AJ$39"),MATCH($C55,INDIRECT("'"&amp;$B55&amp;"'!$F$23:$F$39"),0),MATCH($B$44&amp;$C$44&amp;D$44&amp;"Cost",INDIRECT("'"&amp;$B55&amp;"'!$F$23:$AJ$23")&amp;INDIRECT("'"&amp;$B55&amp;"'!$F$24:$AJ$24")&amp;INDIRECT("'"&amp;$B55&amp;"'!$F$25:$AJ$25")&amp;INDIRECT("'"&amp;$B55&amp;"'!$F$30:$AJ$30"),0))</f>
        <v>112.21980000000001</v>
      </c>
      <c r="E55" s="216"/>
      <c r="F55" s="216"/>
      <c r="G55" s="216">
        <f ca="1">ABS($J55-$D55)</f>
        <v>10.456600000000009</v>
      </c>
      <c r="H55" s="216"/>
      <c r="I55" s="216"/>
      <c r="J55" s="175">
        <f t="array" aca="1" ref="J55" ca="1">INDEX(INDIRECT("'"&amp;$B55&amp;"'!$F$23:$AJ$39"),MATCH($C55,INDIRECT("'"&amp;$B55&amp;"'!$F$23:$F$39"),0),MATCH($B$44&amp;$C$44&amp;J$44&amp;"Cost",INDIRECT("'"&amp;$B55&amp;"'!$F$23:$AJ$23")&amp;INDIRECT("'"&amp;$B55&amp;"'!$F$24:$AJ$24")&amp;INDIRECT("'"&amp;$B55&amp;"'!$F$25:$AJ$25")&amp;INDIRECT("'"&amp;$B55&amp;"'!$F$30:$AJ$30"),0))</f>
        <v>101.7632</v>
      </c>
      <c r="K55" s="217">
        <f ca="1">J55-D55</f>
        <v>-10.456600000000009</v>
      </c>
      <c r="M55" s="106"/>
    </row>
    <row r="56" spans="1:19" x14ac:dyDescent="0.25">
      <c r="A56" s="67"/>
      <c r="B56" s="99" t="str">
        <f t="shared" ref="B56:B57" si="1">B55</f>
        <v>Endeavour</v>
      </c>
      <c r="C56" s="3" t="s">
        <v>204</v>
      </c>
      <c r="D56" s="175">
        <f t="array" aca="1" ref="D56" ca="1">INDEX(INDIRECT("'"&amp;$B56&amp;"'!$F$23:$AJ$39"),MATCH($C56,INDIRECT("'"&amp;$B56&amp;"'!$F$23:$F$39"),0),MATCH($B$44&amp;$C$44&amp;D$44&amp;"Cost",INDIRECT("'"&amp;$B56&amp;"'!$F$23:$AJ$23")&amp;INDIRECT("'"&amp;$B56&amp;"'!$F$24:$AJ$24")&amp;INDIRECT("'"&amp;$B56&amp;"'!$F$25:$AJ$25")&amp;INDIRECT("'"&amp;$B56&amp;"'!$F$30:$AJ$30"),0))</f>
        <v>216.69699316520897</v>
      </c>
      <c r="E56" s="216"/>
      <c r="F56" s="216"/>
      <c r="G56" s="216"/>
      <c r="H56" s="216">
        <f ca="1">ABS($J56-$D56)</f>
        <v>3.0405422097660733</v>
      </c>
      <c r="I56" s="216"/>
      <c r="J56" s="175">
        <f t="array" aca="1" ref="J56" ca="1">INDEX(INDIRECT("'"&amp;$B56&amp;"'!$F$23:$AJ$39"),MATCH($C56,INDIRECT("'"&amp;$B56&amp;"'!$F$23:$F$39"),0),MATCH($B$44&amp;$C$44&amp;J$44&amp;"Cost",INDIRECT("'"&amp;$B56&amp;"'!$F$23:$AJ$23")&amp;INDIRECT("'"&amp;$B56&amp;"'!$F$24:$AJ$24")&amp;INDIRECT("'"&amp;$B56&amp;"'!$F$25:$AJ$25")&amp;INDIRECT("'"&amp;$B56&amp;"'!$F$30:$AJ$30"),0))</f>
        <v>213.65645095544289</v>
      </c>
      <c r="K56" s="217">
        <f ca="1">J56-D56</f>
        <v>-3.0405422097660733</v>
      </c>
      <c r="M56" s="106"/>
    </row>
    <row r="57" spans="1:19" x14ac:dyDescent="0.25">
      <c r="A57" s="67"/>
      <c r="B57" s="99" t="str">
        <f t="shared" si="1"/>
        <v>Endeavour</v>
      </c>
      <c r="C57" s="3" t="s">
        <v>206</v>
      </c>
      <c r="D57" s="175">
        <f t="array" aca="1" ref="D57" ca="1">INDEX(INDIRECT("'"&amp;$B57&amp;"'!$F$23:$AJ$39"),MATCH($C57,INDIRECT("'"&amp;$B57&amp;"'!$F$23:$F$39"),0),MATCH($B$44&amp;$C$44&amp;D$44&amp;"Cost",INDIRECT("'"&amp;$B57&amp;"'!$F$23:$AJ$23")&amp;INDIRECT("'"&amp;$B57&amp;"'!$F$24:$AJ$24")&amp;INDIRECT("'"&amp;$B57&amp;"'!$F$25:$AJ$25")&amp;INDIRECT("'"&amp;$B57&amp;"'!$F$30:$AJ$30"),0))</f>
        <v>183.58960479613438</v>
      </c>
      <c r="E57" s="216"/>
      <c r="F57" s="216"/>
      <c r="G57" s="216"/>
      <c r="H57" s="216"/>
      <c r="I57" s="216">
        <f ca="1">ABS($J57-$D57)</f>
        <v>38.339388917815313</v>
      </c>
      <c r="J57" s="175">
        <f t="array" aca="1" ref="J57" ca="1">INDEX(INDIRECT("'"&amp;$B57&amp;"'!$F$23:$AJ$39"),MATCH($C57,INDIRECT("'"&amp;$B57&amp;"'!$F$23:$F$39"),0),MATCH($B$44&amp;$C$44&amp;J$44&amp;"Cost",INDIRECT("'"&amp;$B57&amp;"'!$F$23:$AJ$23")&amp;INDIRECT("'"&amp;$B57&amp;"'!$F$24:$AJ$24")&amp;INDIRECT("'"&amp;$B57&amp;"'!$F$25:$AJ$25")&amp;INDIRECT("'"&amp;$B57&amp;"'!$F$30:$AJ$30"),0))</f>
        <v>221.92899371394969</v>
      </c>
      <c r="K57" s="217">
        <f ca="1">J57-D57</f>
        <v>38.339388917815313</v>
      </c>
      <c r="M57" s="106"/>
    </row>
    <row r="58" spans="1:19" x14ac:dyDescent="0.25">
      <c r="A58" s="67"/>
      <c r="B58" s="100" t="str">
        <f>B56</f>
        <v>Endeavour</v>
      </c>
      <c r="C58" s="101" t="s">
        <v>134</v>
      </c>
      <c r="D58" s="218">
        <f ca="1">SUM(D52:D57)</f>
        <v>1835.8960479613436</v>
      </c>
      <c r="E58" s="218"/>
      <c r="F58" s="218"/>
      <c r="G58" s="218"/>
      <c r="H58" s="218"/>
      <c r="I58" s="218"/>
      <c r="J58" s="218">
        <f ca="1">SUM(J52:J57)</f>
        <v>2219.2899371394965</v>
      </c>
      <c r="K58" s="217">
        <f ca="1">+J58-D58</f>
        <v>383.3938891781529</v>
      </c>
      <c r="L58" s="234"/>
      <c r="M58" s="110"/>
    </row>
    <row r="59" spans="1:19" x14ac:dyDescent="0.25">
      <c r="A59" s="67" t="str">
        <f>B59&amp;" "&amp;$B$44&amp;" "&amp;$C$44&amp;" $"</f>
        <v>Essential Residential without CL $</v>
      </c>
      <c r="B59" s="97" t="s">
        <v>3</v>
      </c>
      <c r="C59" s="98" t="s">
        <v>183</v>
      </c>
      <c r="D59" s="214">
        <v>0</v>
      </c>
      <c r="E59" s="214">
        <f ca="1">IF($K60&lt;0,SUM(D59:D64)+$K60,SUM(D59:D64))</f>
        <v>2092.2056395030099</v>
      </c>
      <c r="F59" s="214">
        <f ca="1">IF($K61&lt;0,IF($K60&lt;0,E59+$K61,E59+$K60+$K61),IF($K60&lt;0,E59,E59+$K60))</f>
        <v>2209.4519102968216</v>
      </c>
      <c r="G59" s="214">
        <f ca="1">IF($K62&lt;0,IF($K61&lt;0,F59+$K62,F59+$K61+$K62),IF($K61&lt;0,F59,F59+$K61))</f>
        <v>2511.8881102968217</v>
      </c>
      <c r="H59" s="214">
        <f ca="1">IF($K63&lt;0,IF($K62&lt;0,G59+$K63,G59+$K62+$K63),IF($K62&lt;0,G59,G59+$K62))</f>
        <v>2508.6393786852482</v>
      </c>
      <c r="I59" s="214">
        <f ca="1">IF($K64&lt;0,IF($K63&lt;0,H59+$K64,H59+$K63+$K64),IF($K63&lt;0,H59,H59+$K63))</f>
        <v>2508.6393786852482</v>
      </c>
      <c r="J59" s="214">
        <v>0</v>
      </c>
      <c r="K59" s="215"/>
      <c r="M59" s="106"/>
    </row>
    <row r="60" spans="1:19" x14ac:dyDescent="0.25">
      <c r="A60" s="67"/>
      <c r="B60" s="99" t="str">
        <f>B59</f>
        <v>Essential</v>
      </c>
      <c r="C60" s="3" t="s">
        <v>68</v>
      </c>
      <c r="D60" s="175">
        <f t="array" aca="1" ref="D60" ca="1">INDEX(INDIRECT("'"&amp;$B60&amp;"'!$F$23:$AJ$39"),MATCH($C60,INDIRECT("'"&amp;$B60&amp;"'!$F$23:$F$39"),0),MATCH($B$44&amp;$C$44&amp;D$44&amp;"Cost",INDIRECT("'"&amp;$B60&amp;"'!$F$23:$AJ$23")&amp;INDIRECT("'"&amp;$B60&amp;"'!$F$24:$AJ$24")&amp;INDIRECT("'"&amp;$B60&amp;"'!$F$25:$AJ$25")&amp;INDIRECT("'"&amp;$B60&amp;"'!$F$30:$AJ$30"),0))</f>
        <v>980.07997999999998</v>
      </c>
      <c r="E60" s="216">
        <f ca="1">ABS($J60-$D60)</f>
        <v>117.24627079381139</v>
      </c>
      <c r="F60" s="216"/>
      <c r="G60" s="216"/>
      <c r="H60" s="216"/>
      <c r="I60" s="216"/>
      <c r="J60" s="175">
        <f t="array" aca="1" ref="J60" ca="1">INDEX(INDIRECT("'"&amp;$B60&amp;"'!$F$23:$AJ$39"),MATCH($C60,INDIRECT("'"&amp;$B60&amp;"'!$F$23:$F$39"),0),MATCH($B$44&amp;$C$44&amp;J$44&amp;"Cost",INDIRECT("'"&amp;$B60&amp;"'!$F$23:$AJ$23")&amp;INDIRECT("'"&amp;$B60&amp;"'!$F$24:$AJ$24")&amp;INDIRECT("'"&amp;$B60&amp;"'!$F$25:$AJ$25")&amp;INDIRECT("'"&amp;$B60&amp;"'!$F$30:$AJ$30"),0))</f>
        <v>1097.3262507938114</v>
      </c>
      <c r="K60" s="217">
        <f ca="1">J60-D60</f>
        <v>117.24627079381139</v>
      </c>
      <c r="M60" s="106"/>
    </row>
    <row r="61" spans="1:19" x14ac:dyDescent="0.25">
      <c r="A61" s="67"/>
      <c r="B61" s="99" t="str">
        <f>B60</f>
        <v>Essential</v>
      </c>
      <c r="C61" s="3" t="s">
        <v>69</v>
      </c>
      <c r="D61" s="175">
        <f t="array" aca="1" ref="D61" ca="1">INDEX(INDIRECT("'"&amp;$B61&amp;"'!$F$23:$AJ$39"),MATCH($C61,INDIRECT("'"&amp;$B61&amp;"'!$F$23:$F$39"),0),MATCH($B$44&amp;$C$44&amp;D$44&amp;"Cost",INDIRECT("'"&amp;$B61&amp;"'!$F$23:$AJ$23")&amp;INDIRECT("'"&amp;$B61&amp;"'!$F$24:$AJ$24")&amp;INDIRECT("'"&amp;$B61&amp;"'!$F$25:$AJ$25")&amp;INDIRECT("'"&amp;$B61&amp;"'!$F$30:$AJ$30"),0))</f>
        <v>586.80819999999994</v>
      </c>
      <c r="E61" s="216"/>
      <c r="F61" s="216">
        <f ca="1">ABS($J61-$D61)</f>
        <v>312.70800000000008</v>
      </c>
      <c r="G61" s="216"/>
      <c r="H61" s="216"/>
      <c r="I61" s="216"/>
      <c r="J61" s="175">
        <f t="array" aca="1" ref="J61" ca="1">INDEX(INDIRECT("'"&amp;$B61&amp;"'!$F$23:$AJ$39"),MATCH($C61,INDIRECT("'"&amp;$B61&amp;"'!$F$23:$F$39"),0),MATCH($B$44&amp;$C$44&amp;J$44&amp;"Cost",INDIRECT("'"&amp;$B61&amp;"'!$F$23:$AJ$23")&amp;INDIRECT("'"&amp;$B61&amp;"'!$F$24:$AJ$24")&amp;INDIRECT("'"&amp;$B61&amp;"'!$F$25:$AJ$25")&amp;INDIRECT("'"&amp;$B61&amp;"'!$F$30:$AJ$30"),0))</f>
        <v>899.51620000000003</v>
      </c>
      <c r="K61" s="217">
        <f ca="1">J61-D61</f>
        <v>312.70800000000008</v>
      </c>
      <c r="M61" s="106"/>
    </row>
    <row r="62" spans="1:19" x14ac:dyDescent="0.25">
      <c r="A62" s="67"/>
      <c r="B62" s="99" t="str">
        <f>B61</f>
        <v>Essential</v>
      </c>
      <c r="C62" s="3" t="s">
        <v>70</v>
      </c>
      <c r="D62" s="175">
        <f t="array" aca="1" ref="D62" ca="1">INDEX(INDIRECT("'"&amp;$B62&amp;"'!$F$23:$AJ$39"),MATCH($C62,INDIRECT("'"&amp;$B62&amp;"'!$F$23:$F$39"),0),MATCH($B$44&amp;$C$44&amp;D$44&amp;"Cost",INDIRECT("'"&amp;$B62&amp;"'!$F$23:$AJ$23")&amp;INDIRECT("'"&amp;$B62&amp;"'!$F$24:$AJ$24")&amp;INDIRECT("'"&amp;$B62&amp;"'!$F$25:$AJ$25")&amp;INDIRECT("'"&amp;$B62&amp;"'!$F$30:$AJ$30"),0))</f>
        <v>103.47699999999999</v>
      </c>
      <c r="E62" s="216"/>
      <c r="F62" s="216"/>
      <c r="G62" s="216">
        <f ca="1">ABS($J62-$D62)</f>
        <v>10.271799999999971</v>
      </c>
      <c r="H62" s="216"/>
      <c r="I62" s="216"/>
      <c r="J62" s="175">
        <f t="array" aca="1" ref="J62" ca="1">INDEX(INDIRECT("'"&amp;$B62&amp;"'!$F$23:$AJ$39"),MATCH($C62,INDIRECT("'"&amp;$B62&amp;"'!$F$23:$F$39"),0),MATCH($B$44&amp;$C$44&amp;J$44&amp;"Cost",INDIRECT("'"&amp;$B62&amp;"'!$F$23:$AJ$23")&amp;INDIRECT("'"&amp;$B62&amp;"'!$F$24:$AJ$24")&amp;INDIRECT("'"&amp;$B62&amp;"'!$F$25:$AJ$25")&amp;INDIRECT("'"&amp;$B62&amp;"'!$F$30:$AJ$30"),0))</f>
        <v>93.205200000000019</v>
      </c>
      <c r="K62" s="217">
        <f ca="1">J62-D62</f>
        <v>-10.271799999999971</v>
      </c>
      <c r="M62" s="106"/>
    </row>
    <row r="63" spans="1:19" x14ac:dyDescent="0.25">
      <c r="A63" s="67"/>
      <c r="B63" s="99" t="str">
        <f t="shared" ref="B63:B64" si="2">B62</f>
        <v>Essential</v>
      </c>
      <c r="C63" s="3" t="s">
        <v>204</v>
      </c>
      <c r="D63" s="175">
        <f t="array" aca="1" ref="D63" ca="1">INDEX(INDIRECT("'"&amp;$B63&amp;"'!$F$23:$AJ$39"),MATCH($C63,INDIRECT("'"&amp;$B63&amp;"'!$F$23:$F$39"),0),MATCH($B$44&amp;$C$44&amp;D$44&amp;"Cost",INDIRECT("'"&amp;$B63&amp;"'!$F$23:$AJ$23")&amp;INDIRECT("'"&amp;$B63&amp;"'!$F$24:$AJ$24")&amp;INDIRECT("'"&amp;$B63&amp;"'!$F$25:$AJ$25")&amp;INDIRECT("'"&amp;$B63&amp;"'!$F$30:$AJ$30"),0))</f>
        <v>212.61989555270895</v>
      </c>
      <c r="E63" s="216"/>
      <c r="F63" s="216"/>
      <c r="G63" s="216"/>
      <c r="H63" s="216">
        <f ca="1">ABS($J63-$D63)</f>
        <v>3.2487316115732767</v>
      </c>
      <c r="I63" s="216"/>
      <c r="J63" s="175">
        <f t="array" aca="1" ref="J63" ca="1">INDEX(INDIRECT("'"&amp;$B63&amp;"'!$F$23:$AJ$39"),MATCH($C63,INDIRECT("'"&amp;$B63&amp;"'!$F$23:$F$39"),0),MATCH($B$44&amp;$C$44&amp;J$44&amp;"Cost",INDIRECT("'"&amp;$B63&amp;"'!$F$23:$AJ$23")&amp;INDIRECT("'"&amp;$B63&amp;"'!$F$24:$AJ$24")&amp;INDIRECT("'"&amp;$B63&amp;"'!$F$25:$AJ$25")&amp;INDIRECT("'"&amp;$B63&amp;"'!$F$30:$AJ$30"),0))</f>
        <v>209.37116394113568</v>
      </c>
      <c r="K63" s="217">
        <f ca="1">J63-D63</f>
        <v>-3.2487316115732767</v>
      </c>
      <c r="M63" s="106"/>
    </row>
    <row r="64" spans="1:19" x14ac:dyDescent="0.25">
      <c r="A64" s="67"/>
      <c r="B64" s="99" t="str">
        <f t="shared" si="2"/>
        <v>Essential</v>
      </c>
      <c r="C64" s="3" t="s">
        <v>206</v>
      </c>
      <c r="D64" s="175">
        <f t="array" aca="1" ref="D64" ca="1">INDEX(INDIRECT("'"&amp;$B64&amp;"'!$F$23:$AJ$39"),MATCH($C64,INDIRECT("'"&amp;$B64&amp;"'!$F$23:$F$39"),0),MATCH($B$44&amp;$C$44&amp;D$44&amp;"Cost",INDIRECT("'"&amp;$B64&amp;"'!$F$23:$AJ$23")&amp;INDIRECT("'"&amp;$B64&amp;"'!$F$24:$AJ$24")&amp;INDIRECT("'"&amp;$B64&amp;"'!$F$25:$AJ$25")&amp;INDIRECT("'"&amp;$B64&amp;"'!$F$30:$AJ$30"),0))</f>
        <v>209.22056395030086</v>
      </c>
      <c r="E64" s="216"/>
      <c r="F64" s="216"/>
      <c r="G64" s="216"/>
      <c r="H64" s="216"/>
      <c r="I64" s="216">
        <f ca="1">ABS($J64-$D64)</f>
        <v>46.270415464693087</v>
      </c>
      <c r="J64" s="175">
        <f t="array" aca="1" ref="J64" ca="1">INDEX(INDIRECT("'"&amp;$B64&amp;"'!$F$23:$AJ$39"),MATCH($C64,INDIRECT("'"&amp;$B64&amp;"'!$F$23:$F$39"),0),MATCH($B$44&amp;$C$44&amp;J$44&amp;"Cost",INDIRECT("'"&amp;$B64&amp;"'!$F$23:$AJ$23")&amp;INDIRECT("'"&amp;$B64&amp;"'!$F$24:$AJ$24")&amp;INDIRECT("'"&amp;$B64&amp;"'!$F$25:$AJ$25")&amp;INDIRECT("'"&amp;$B64&amp;"'!$F$30:$AJ$30"),0))</f>
        <v>255.49097941499394</v>
      </c>
      <c r="K64" s="217">
        <f ca="1">J64-D64</f>
        <v>46.270415464693087</v>
      </c>
      <c r="M64" s="106"/>
    </row>
    <row r="65" spans="1:13" x14ac:dyDescent="0.25">
      <c r="A65" s="67"/>
      <c r="B65" s="100" t="str">
        <f>B63</f>
        <v>Essential</v>
      </c>
      <c r="C65" s="101" t="s">
        <v>134</v>
      </c>
      <c r="D65" s="218">
        <f ca="1">SUM(D59:D64)</f>
        <v>2092.2056395030099</v>
      </c>
      <c r="E65" s="218"/>
      <c r="F65" s="218"/>
      <c r="G65" s="218"/>
      <c r="H65" s="218"/>
      <c r="I65" s="218"/>
      <c r="J65" s="218">
        <f ca="1">SUM(J59:J64)</f>
        <v>2554.9097941499413</v>
      </c>
      <c r="K65" s="217">
        <f ca="1">+J65-D65</f>
        <v>462.70415464693133</v>
      </c>
      <c r="L65" s="234"/>
      <c r="M65" s="110"/>
    </row>
    <row r="66" spans="1:13" x14ac:dyDescent="0.25">
      <c r="A66" s="67" t="str">
        <f>B66&amp;" "&amp;$B$44&amp;" "&amp;$C$44&amp;" $"</f>
        <v>Energex Residential without CL $</v>
      </c>
      <c r="B66" s="97" t="s">
        <v>0</v>
      </c>
      <c r="C66" s="98" t="s">
        <v>183</v>
      </c>
      <c r="D66" s="214">
        <v>0</v>
      </c>
      <c r="E66" s="214">
        <f ca="1">IF($K67&lt;0,SUM(D66:D71)+$K67,SUM(D66:D71))</f>
        <v>1620.2111112202062</v>
      </c>
      <c r="F66" s="214">
        <f ca="1">IF($K68&lt;0,IF($K67&lt;0,E66+$K68,E66+$K67+$K68),IF($K67&lt;0,E66,E66+$K67))</f>
        <v>1653.8877211830927</v>
      </c>
      <c r="G66" s="214">
        <f ca="1">IF($K69&lt;0,IF($K68&lt;0,F66+$K69,F66+$K68+$K69),IF($K68&lt;0,F66,F66+$K68))</f>
        <v>1919.942521183093</v>
      </c>
      <c r="H66" s="214">
        <f ca="1">IF($K70&lt;0,IF($K69&lt;0,G66+$K70,G66+$K69+$K70),IF($K69&lt;0,G66,G66+$K69))</f>
        <v>1914.3341646840686</v>
      </c>
      <c r="I66" s="214">
        <f ca="1">IF($K71&lt;0,IF($K70&lt;0,H66+$K71,H66+$K70+$K71),IF($K70&lt;0,H66,H66+$K70))</f>
        <v>1914.3341646840686</v>
      </c>
      <c r="J66" s="214">
        <v>0</v>
      </c>
      <c r="K66" s="215"/>
      <c r="M66" s="106"/>
    </row>
    <row r="67" spans="1:13" x14ac:dyDescent="0.25">
      <c r="A67" s="67"/>
      <c r="B67" s="99" t="str">
        <f>B66</f>
        <v>Energex</v>
      </c>
      <c r="C67" s="3" t="s">
        <v>68</v>
      </c>
      <c r="D67" s="175">
        <f t="array" aca="1" ref="D67" ca="1">INDEX(INDIRECT("'"&amp;$B67&amp;"'!$F$23:$AJ$39"),MATCH($C67,INDIRECT("'"&amp;$B67&amp;"'!$F$23:$F$39"),0),MATCH($B$44&amp;$C$44&amp;D$44&amp;"Cost",INDIRECT("'"&amp;$B67&amp;"'!$F$23:$AJ$23")&amp;INDIRECT("'"&amp;$B67&amp;"'!$F$24:$AJ$24")&amp;INDIRECT("'"&amp;$B67&amp;"'!$F$25:$AJ$25")&amp;INDIRECT("'"&amp;$B67&amp;"'!$F$30:$AJ$30"),0))</f>
        <v>626.91969999999992</v>
      </c>
      <c r="E67" s="216">
        <f ca="1">ABS($J67-$D67)</f>
        <v>33.676609962886346</v>
      </c>
      <c r="F67" s="216"/>
      <c r="G67" s="216"/>
      <c r="H67" s="216"/>
      <c r="I67" s="216"/>
      <c r="J67" s="175">
        <f t="array" aca="1" ref="J67" ca="1">INDEX(INDIRECT("'"&amp;$B67&amp;"'!$F$23:$AJ$39"),MATCH($C67,INDIRECT("'"&amp;$B67&amp;"'!$F$23:$F$39"),0),MATCH($B$44&amp;$C$44&amp;J$44&amp;"Cost",INDIRECT("'"&amp;$B67&amp;"'!$F$23:$AJ$23")&amp;INDIRECT("'"&amp;$B67&amp;"'!$F$24:$AJ$24")&amp;INDIRECT("'"&amp;$B67&amp;"'!$F$25:$AJ$25")&amp;INDIRECT("'"&amp;$B67&amp;"'!$F$30:$AJ$30"),0))</f>
        <v>660.59630996288627</v>
      </c>
      <c r="K67" s="217">
        <f ca="1">J67-D67</f>
        <v>33.676609962886346</v>
      </c>
      <c r="M67" s="106"/>
    </row>
    <row r="68" spans="1:13" x14ac:dyDescent="0.25">
      <c r="A68" s="67"/>
      <c r="B68" s="99" t="str">
        <f>B67</f>
        <v>Energex</v>
      </c>
      <c r="C68" s="3" t="s">
        <v>69</v>
      </c>
      <c r="D68" s="175">
        <f t="array" aca="1" ref="D68" ca="1">INDEX(INDIRECT("'"&amp;$B68&amp;"'!$F$23:$AJ$39"),MATCH($C68,INDIRECT("'"&amp;$B68&amp;"'!$F$23:$F$39"),0),MATCH($B$44&amp;$C$44&amp;D$44&amp;"Cost",INDIRECT("'"&amp;$B68&amp;"'!$F$23:$AJ$23")&amp;INDIRECT("'"&amp;$B68&amp;"'!$F$24:$AJ$24")&amp;INDIRECT("'"&amp;$B68&amp;"'!$F$25:$AJ$25")&amp;INDIRECT("'"&amp;$B68&amp;"'!$F$30:$AJ$30"),0))</f>
        <v>559.28179999999998</v>
      </c>
      <c r="E68" s="216"/>
      <c r="F68" s="216">
        <f ca="1">ABS($J68-$D68)</f>
        <v>276.17480000000012</v>
      </c>
      <c r="G68" s="216"/>
      <c r="H68" s="216"/>
      <c r="I68" s="216"/>
      <c r="J68" s="175">
        <f t="array" aca="1" ref="J68" ca="1">INDEX(INDIRECT("'"&amp;$B68&amp;"'!$F$23:$AJ$39"),MATCH($C68,INDIRECT("'"&amp;$B68&amp;"'!$F$23:$F$39"),0),MATCH($B$44&amp;$C$44&amp;J$44&amp;"Cost",INDIRECT("'"&amp;$B68&amp;"'!$F$23:$AJ$23")&amp;INDIRECT("'"&amp;$B68&amp;"'!$F$24:$AJ$24")&amp;INDIRECT("'"&amp;$B68&amp;"'!$F$25:$AJ$25")&amp;INDIRECT("'"&amp;$B68&amp;"'!$F$30:$AJ$30"),0))</f>
        <v>835.45660000000009</v>
      </c>
      <c r="K68" s="217">
        <f ca="1">J68-D68</f>
        <v>276.17480000000012</v>
      </c>
      <c r="M68" s="106"/>
    </row>
    <row r="69" spans="1:13" x14ac:dyDescent="0.25">
      <c r="A69" s="67"/>
      <c r="B69" s="99" t="str">
        <f>B68</f>
        <v>Energex</v>
      </c>
      <c r="C69" s="3" t="s">
        <v>70</v>
      </c>
      <c r="D69" s="175">
        <f t="array" aca="1" ref="D69" ca="1">INDEX(INDIRECT("'"&amp;$B69&amp;"'!$F$23:$AJ$39"),MATCH($C69,INDIRECT("'"&amp;$B69&amp;"'!$F$23:$F$39"),0),MATCH($B$44&amp;$C$44&amp;D$44&amp;"Cost",INDIRECT("'"&amp;$B69&amp;"'!$F$23:$AJ$23")&amp;INDIRECT("'"&amp;$B69&amp;"'!$F$24:$AJ$24")&amp;INDIRECT("'"&amp;$B69&amp;"'!$F$25:$AJ$25")&amp;INDIRECT("'"&amp;$B69&amp;"'!$F$30:$AJ$30"),0))</f>
        <v>86.525999999999996</v>
      </c>
      <c r="E69" s="216"/>
      <c r="F69" s="216"/>
      <c r="G69" s="216">
        <f ca="1">ABS($J69-$D69)</f>
        <v>10.120000000000005</v>
      </c>
      <c r="H69" s="216"/>
      <c r="I69" s="216"/>
      <c r="J69" s="175">
        <f t="array" aca="1" ref="J69" ca="1">INDEX(INDIRECT("'"&amp;$B69&amp;"'!$F$23:$AJ$39"),MATCH($C69,INDIRECT("'"&amp;$B69&amp;"'!$F$23:$F$39"),0),MATCH($B$44&amp;$C$44&amp;J$44&amp;"Cost",INDIRECT("'"&amp;$B69&amp;"'!$F$23:$AJ$23")&amp;INDIRECT("'"&amp;$B69&amp;"'!$F$24:$AJ$24")&amp;INDIRECT("'"&amp;$B69&amp;"'!$F$25:$AJ$25")&amp;INDIRECT("'"&amp;$B69&amp;"'!$F$30:$AJ$30"),0))</f>
        <v>76.405999999999992</v>
      </c>
      <c r="K69" s="217">
        <f ca="1">J69-D69</f>
        <v>-10.120000000000005</v>
      </c>
      <c r="M69" s="106"/>
    </row>
    <row r="70" spans="1:13" x14ac:dyDescent="0.25">
      <c r="A70" s="67"/>
      <c r="B70" s="99" t="str">
        <f t="shared" ref="B70:B71" si="3">B69</f>
        <v>Energex</v>
      </c>
      <c r="C70" s="3" t="s">
        <v>204</v>
      </c>
      <c r="D70" s="175">
        <f t="array" aca="1" ref="D70" ca="1">INDEX(INDIRECT("'"&amp;$B70&amp;"'!$F$23:$AJ$39"),MATCH($C70,INDIRECT("'"&amp;$B70&amp;"'!$F$23:$F$39"),0),MATCH($B$44&amp;$C$44&amp;D$44&amp;"Cost",INDIRECT("'"&amp;$B70&amp;"'!$F$23:$AJ$23")&amp;INDIRECT("'"&amp;$B70&amp;"'!$F$24:$AJ$24")&amp;INDIRECT("'"&amp;$B70&amp;"'!$F$25:$AJ$25")&amp;INDIRECT("'"&amp;$B70&amp;"'!$F$30:$AJ$30"),0))</f>
        <v>211.38587787770896</v>
      </c>
      <c r="E70" s="216"/>
      <c r="F70" s="216"/>
      <c r="G70" s="216"/>
      <c r="H70" s="216">
        <f ca="1">ABS($J70-$D70)</f>
        <v>5.608356499024552</v>
      </c>
      <c r="I70" s="216"/>
      <c r="J70" s="175">
        <f t="array" aca="1" ref="J70" ca="1">INDEX(INDIRECT("'"&amp;$B70&amp;"'!$F$23:$AJ$39"),MATCH($C70,INDIRECT("'"&amp;$B70&amp;"'!$F$23:$F$39"),0),MATCH($B$44&amp;$C$44&amp;J$44&amp;"Cost",INDIRECT("'"&amp;$B70&amp;"'!$F$23:$AJ$23")&amp;INDIRECT("'"&amp;$B70&amp;"'!$F$24:$AJ$24")&amp;INDIRECT("'"&amp;$B70&amp;"'!$F$25:$AJ$25")&amp;INDIRECT("'"&amp;$B70&amp;"'!$F$30:$AJ$30"),0))</f>
        <v>205.77752137868441</v>
      </c>
      <c r="K70" s="217">
        <f ca="1">J70-D70</f>
        <v>-5.608356499024552</v>
      </c>
      <c r="M70" s="106"/>
    </row>
    <row r="71" spans="1:13" x14ac:dyDescent="0.25">
      <c r="A71" s="67"/>
      <c r="B71" s="99" t="str">
        <f t="shared" si="3"/>
        <v>Energex</v>
      </c>
      <c r="C71" s="3" t="s">
        <v>206</v>
      </c>
      <c r="D71" s="175">
        <f t="array" aca="1" ref="D71" ca="1">INDEX(INDIRECT("'"&amp;$B71&amp;"'!$F$23:$AJ$39"),MATCH($C71,INDIRECT("'"&amp;$B71&amp;"'!$F$23:$F$39"),0),MATCH($B$44&amp;$C$44&amp;D$44&amp;"Cost",INDIRECT("'"&amp;$B71&amp;"'!$F$23:$AJ$23")&amp;INDIRECT("'"&amp;$B71&amp;"'!$F$24:$AJ$24")&amp;INDIRECT("'"&amp;$B71&amp;"'!$F$25:$AJ$25")&amp;INDIRECT("'"&amp;$B71&amp;"'!$F$30:$AJ$30"),0))</f>
        <v>136.09773334249735</v>
      </c>
      <c r="E71" s="216"/>
      <c r="F71" s="216"/>
      <c r="G71" s="216"/>
      <c r="H71" s="216"/>
      <c r="I71" s="216">
        <f ca="1">ABS($J71-$D71)</f>
        <v>26.971983068738382</v>
      </c>
      <c r="J71" s="175">
        <f t="array" aca="1" ref="J71" ca="1">INDEX(INDIRECT("'"&amp;$B71&amp;"'!$F$23:$AJ$39"),MATCH($C71,INDIRECT("'"&amp;$B71&amp;"'!$F$23:$F$39"),0),MATCH($B$44&amp;$C$44&amp;J$44&amp;"Cost",INDIRECT("'"&amp;$B71&amp;"'!$F$23:$AJ$23")&amp;INDIRECT("'"&amp;$B71&amp;"'!$F$24:$AJ$24")&amp;INDIRECT("'"&amp;$B71&amp;"'!$F$25:$AJ$25")&amp;INDIRECT("'"&amp;$B71&amp;"'!$F$30:$AJ$30"),0))</f>
        <v>163.06971641123573</v>
      </c>
      <c r="K71" s="217">
        <f ca="1">J71-D71</f>
        <v>26.971983068738382</v>
      </c>
      <c r="M71" s="106"/>
    </row>
    <row r="72" spans="1:13" x14ac:dyDescent="0.25">
      <c r="A72" s="67"/>
      <c r="B72" s="100" t="str">
        <f>B70</f>
        <v>Energex</v>
      </c>
      <c r="C72" s="101" t="s">
        <v>134</v>
      </c>
      <c r="D72" s="218">
        <f ca="1">SUM(D66:D71)</f>
        <v>1620.2111112202062</v>
      </c>
      <c r="E72" s="218"/>
      <c r="F72" s="218"/>
      <c r="G72" s="218"/>
      <c r="H72" s="218"/>
      <c r="I72" s="218"/>
      <c r="J72" s="218">
        <f ca="1">SUM(J66:J71)</f>
        <v>1941.3061477528065</v>
      </c>
      <c r="K72" s="217">
        <f ca="1">+J72-D72</f>
        <v>321.09503653260026</v>
      </c>
      <c r="L72" s="234"/>
      <c r="M72" s="110"/>
    </row>
    <row r="73" spans="1:13" x14ac:dyDescent="0.25">
      <c r="A73" s="67" t="str">
        <f>B73&amp;" "&amp;$B$44&amp;" "&amp;$C$44&amp;" $"</f>
        <v>SAPN Residential without CL $</v>
      </c>
      <c r="B73" s="97" t="s">
        <v>5</v>
      </c>
      <c r="C73" s="98" t="s">
        <v>183</v>
      </c>
      <c r="D73" s="214">
        <v>0</v>
      </c>
      <c r="E73" s="214">
        <f ca="1">IF($K74&lt;0,SUM(D73:D78)+$K74,SUM(D73:D78))</f>
        <v>1840.1638293778822</v>
      </c>
      <c r="F73" s="214">
        <f ca="1">IF($K75&lt;0,IF($K74&lt;0,E73+$K75,E73+$K74+$K75),IF($K74&lt;0,E73,E73+$K74))</f>
        <v>1843.5221733778817</v>
      </c>
      <c r="G73" s="214">
        <f ca="1">IF($K76&lt;0,IF($K75&lt;0,F73+$K76,F73+$K75+$K76),IF($K75&lt;0,F73,F73+$K75))</f>
        <v>2224.9581733778818</v>
      </c>
      <c r="H73" s="214">
        <f ca="1">IF($K77&lt;0,IF($K76&lt;0,G73+$K77,G73+$K76+$K77),IF($K76&lt;0,G73,G73+$K76))</f>
        <v>2217.0626171192116</v>
      </c>
      <c r="I73" s="214">
        <f ca="1">IF($K78&lt;0,IF($K77&lt;0,H73+$K78,H73+$K77+$K78),IF($K77&lt;0,H73,H73+$K77))</f>
        <v>2217.0626171192116</v>
      </c>
      <c r="J73" s="214">
        <v>0</v>
      </c>
      <c r="K73" s="215"/>
      <c r="M73" s="106"/>
    </row>
    <row r="74" spans="1:13" x14ac:dyDescent="0.25">
      <c r="A74" s="67"/>
      <c r="B74" s="99" t="str">
        <f>B73</f>
        <v>SAPN</v>
      </c>
      <c r="C74" s="3" t="s">
        <v>68</v>
      </c>
      <c r="D74" s="175">
        <f t="array" aca="1" ref="D74" ca="1">INDEX(INDIRECT("'"&amp;$B74&amp;"'!$F$23:$AJ$39"),MATCH($C74,INDIRECT("'"&amp;$B74&amp;"'!$F$23:$F$39"),0),MATCH($B$44&amp;$C$44&amp;D$44&amp;"Cost",INDIRECT("'"&amp;$B74&amp;"'!$F$23:$AJ$23")&amp;INDIRECT("'"&amp;$B74&amp;"'!$F$24:$AJ$24")&amp;INDIRECT("'"&amp;$B74&amp;"'!$F$25:$AJ$25")&amp;INDIRECT("'"&amp;$B74&amp;"'!$F$30:$AJ$30"),0))</f>
        <v>826.75890000000004</v>
      </c>
      <c r="E74" s="216">
        <f ca="1">ABS($J74-$D74)</f>
        <v>3.3583439999996472</v>
      </c>
      <c r="F74" s="216"/>
      <c r="G74" s="216"/>
      <c r="H74" s="216"/>
      <c r="I74" s="216"/>
      <c r="J74" s="175">
        <f t="array" aca="1" ref="J74" ca="1">INDEX(INDIRECT("'"&amp;$B74&amp;"'!$F$23:$AJ$39"),MATCH($C74,INDIRECT("'"&amp;$B74&amp;"'!$F$23:$F$39"),0),MATCH($B$44&amp;$C$44&amp;J$44&amp;"Cost",INDIRECT("'"&amp;$B74&amp;"'!$F$23:$AJ$23")&amp;INDIRECT("'"&amp;$B74&amp;"'!$F$24:$AJ$24")&amp;INDIRECT("'"&amp;$B74&amp;"'!$F$25:$AJ$25")&amp;INDIRECT("'"&amp;$B74&amp;"'!$F$30:$AJ$30"),0))</f>
        <v>830.11724399999969</v>
      </c>
      <c r="K74" s="217">
        <f ca="1">J74-D74</f>
        <v>3.3583439999996472</v>
      </c>
      <c r="M74" s="106"/>
    </row>
    <row r="75" spans="1:13" x14ac:dyDescent="0.25">
      <c r="A75" s="67"/>
      <c r="B75" s="99" t="str">
        <f>B74</f>
        <v>SAPN</v>
      </c>
      <c r="C75" s="3" t="s">
        <v>69</v>
      </c>
      <c r="D75" s="175">
        <f t="array" aca="1" ref="D75" ca="1">INDEX(INDIRECT("'"&amp;$B75&amp;"'!$F$23:$AJ$39"),MATCH($C75,INDIRECT("'"&amp;$B75&amp;"'!$F$23:$F$39"),0),MATCH($B$44&amp;$C$44&amp;D$44&amp;"Cost",INDIRECT("'"&amp;$B75&amp;"'!$F$23:$AJ$23")&amp;INDIRECT("'"&amp;$B75&amp;"'!$F$24:$AJ$24")&amp;INDIRECT("'"&amp;$B75&amp;"'!$F$25:$AJ$25")&amp;INDIRECT("'"&amp;$B75&amp;"'!$F$30:$AJ$30"),0))</f>
        <v>591.93200000000002</v>
      </c>
      <c r="E75" s="216"/>
      <c r="F75" s="216">
        <f ca="1">ABS($J75-$D75)</f>
        <v>390.67599999999993</v>
      </c>
      <c r="G75" s="216"/>
      <c r="H75" s="216"/>
      <c r="I75" s="216"/>
      <c r="J75" s="175">
        <f t="array" aca="1" ref="J75" ca="1">INDEX(INDIRECT("'"&amp;$B75&amp;"'!$F$23:$AJ$39"),MATCH($C75,INDIRECT("'"&amp;$B75&amp;"'!$F$23:$F$39"),0),MATCH($B$44&amp;$C$44&amp;J$44&amp;"Cost",INDIRECT("'"&amp;$B75&amp;"'!$F$23:$AJ$23")&amp;INDIRECT("'"&amp;$B75&amp;"'!$F$24:$AJ$24")&amp;INDIRECT("'"&amp;$B75&amp;"'!$F$25:$AJ$25")&amp;INDIRECT("'"&amp;$B75&amp;"'!$F$30:$AJ$30"),0))</f>
        <v>982.60799999999995</v>
      </c>
      <c r="K75" s="217">
        <f ca="1">J75-D75</f>
        <v>390.67599999999993</v>
      </c>
      <c r="M75" s="106"/>
    </row>
    <row r="76" spans="1:13" x14ac:dyDescent="0.25">
      <c r="A76" s="67"/>
      <c r="B76" s="99" t="str">
        <f>B75</f>
        <v>SAPN</v>
      </c>
      <c r="C76" s="3" t="s">
        <v>70</v>
      </c>
      <c r="D76" s="175">
        <f t="array" aca="1" ref="D76" ca="1">INDEX(INDIRECT("'"&amp;$B76&amp;"'!$F$23:$AJ$39"),MATCH($C76,INDIRECT("'"&amp;$B76&amp;"'!$F$23:$F$39"),0),MATCH($B$44&amp;$C$44&amp;D$44&amp;"Cost",INDIRECT("'"&amp;$B76&amp;"'!$F$23:$AJ$23")&amp;INDIRECT("'"&amp;$B76&amp;"'!$F$24:$AJ$24")&amp;INDIRECT("'"&amp;$B76&amp;"'!$F$25:$AJ$25")&amp;INDIRECT("'"&amp;$B76&amp;"'!$F$30:$AJ$30"),0))</f>
        <v>89.671999999999997</v>
      </c>
      <c r="E76" s="216"/>
      <c r="F76" s="216"/>
      <c r="G76" s="216">
        <f ca="1">ABS($J76-$D76)</f>
        <v>9.2399999999999949</v>
      </c>
      <c r="H76" s="216"/>
      <c r="I76" s="216"/>
      <c r="J76" s="175">
        <f t="array" aca="1" ref="J76" ca="1">INDEX(INDIRECT("'"&amp;$B76&amp;"'!$F$23:$AJ$39"),MATCH($C76,INDIRECT("'"&amp;$B76&amp;"'!$F$23:$F$39"),0),MATCH($B$44&amp;$C$44&amp;J$44&amp;"Cost",INDIRECT("'"&amp;$B76&amp;"'!$F$23:$AJ$23")&amp;INDIRECT("'"&amp;$B76&amp;"'!$F$24:$AJ$24")&amp;INDIRECT("'"&amp;$B76&amp;"'!$F$25:$AJ$25")&amp;INDIRECT("'"&amp;$B76&amp;"'!$F$30:$AJ$30"),0))</f>
        <v>80.432000000000002</v>
      </c>
      <c r="K76" s="217">
        <f ca="1">J76-D76</f>
        <v>-9.2399999999999949</v>
      </c>
      <c r="M76" s="106"/>
    </row>
    <row r="77" spans="1:13" x14ac:dyDescent="0.25">
      <c r="A77" s="67"/>
      <c r="B77" s="99" t="str">
        <f t="shared" ref="B77:B78" si="4">B76</f>
        <v>SAPN</v>
      </c>
      <c r="C77" s="3" t="s">
        <v>204</v>
      </c>
      <c r="D77" s="175">
        <f t="array" aca="1" ref="D77" ca="1">INDEX(INDIRECT("'"&amp;$B77&amp;"'!$F$23:$AJ$39"),MATCH($C77,INDIRECT("'"&amp;$B77&amp;"'!$F$23:$F$39"),0),MATCH($B$44&amp;$C$44&amp;D$44&amp;"Cost",INDIRECT("'"&amp;$B77&amp;"'!$F$23:$AJ$23")&amp;INDIRECT("'"&amp;$B77&amp;"'!$F$24:$AJ$24")&amp;INDIRECT("'"&amp;$B77&amp;"'!$F$25:$AJ$25")&amp;INDIRECT("'"&amp;$B77&amp;"'!$F$30:$AJ$30"),0))</f>
        <v>221.39109961520896</v>
      </c>
      <c r="E77" s="216"/>
      <c r="F77" s="216"/>
      <c r="G77" s="216"/>
      <c r="H77" s="216">
        <f ca="1">ABS($J77-$D77)</f>
        <v>7.8955562586701546</v>
      </c>
      <c r="I77" s="216"/>
      <c r="J77" s="175">
        <f t="array" aca="1" ref="J77" ca="1">INDEX(INDIRECT("'"&amp;$B77&amp;"'!$F$23:$AJ$39"),MATCH($C77,INDIRECT("'"&amp;$B77&amp;"'!$F$23:$F$39"),0),MATCH($B$44&amp;$C$44&amp;J$44&amp;"Cost",INDIRECT("'"&amp;$B77&amp;"'!$F$23:$AJ$23")&amp;INDIRECT("'"&amp;$B77&amp;"'!$F$24:$AJ$24")&amp;INDIRECT("'"&amp;$B77&amp;"'!$F$25:$AJ$25")&amp;INDIRECT("'"&amp;$B77&amp;"'!$F$30:$AJ$30"),0))</f>
        <v>213.4955433565388</v>
      </c>
      <c r="K77" s="217">
        <f ca="1">J77-D77</f>
        <v>-7.8955562586701546</v>
      </c>
      <c r="M77" s="106"/>
    </row>
    <row r="78" spans="1:13" x14ac:dyDescent="0.25">
      <c r="A78" s="67"/>
      <c r="B78" s="99" t="str">
        <f t="shared" si="4"/>
        <v>SAPN</v>
      </c>
      <c r="C78" s="3" t="s">
        <v>206</v>
      </c>
      <c r="D78" s="175">
        <f t="array" aca="1" ref="D78" ca="1">INDEX(INDIRECT("'"&amp;$B78&amp;"'!$F$23:$AJ$39"),MATCH($C78,INDIRECT("'"&amp;$B78&amp;"'!$F$23:$F$39"),0),MATCH($B$44&amp;$C$44&amp;D$44&amp;"Cost",INDIRECT("'"&amp;$B78&amp;"'!$F$23:$AJ$23")&amp;INDIRECT("'"&amp;$B78&amp;"'!$F$24:$AJ$24")&amp;INDIRECT("'"&amp;$B78&amp;"'!$F$25:$AJ$25")&amp;INDIRECT("'"&amp;$B78&amp;"'!$F$30:$AJ$30"),0))</f>
        <v>110.4098297626731</v>
      </c>
      <c r="E78" s="216"/>
      <c r="F78" s="216"/>
      <c r="G78" s="216"/>
      <c r="H78" s="216"/>
      <c r="I78" s="216">
        <f ca="1">ABS($J78-$D78)</f>
        <v>24.05736943029774</v>
      </c>
      <c r="J78" s="175">
        <f t="array" aca="1" ref="J78" ca="1">INDEX(INDIRECT("'"&amp;$B78&amp;"'!$F$23:$AJ$39"),MATCH($C78,INDIRECT("'"&amp;$B78&amp;"'!$F$23:$F$39"),0),MATCH($B$44&amp;$C$44&amp;J$44&amp;"Cost",INDIRECT("'"&amp;$B78&amp;"'!$F$23:$AJ$23")&amp;INDIRECT("'"&amp;$B78&amp;"'!$F$24:$AJ$24")&amp;INDIRECT("'"&amp;$B78&amp;"'!$F$25:$AJ$25")&amp;INDIRECT("'"&amp;$B78&amp;"'!$F$30:$AJ$30"),0))</f>
        <v>134.46719919297084</v>
      </c>
      <c r="K78" s="217">
        <f ca="1">J78-D78</f>
        <v>24.05736943029774</v>
      </c>
      <c r="M78" s="106"/>
    </row>
    <row r="79" spans="1:13" x14ac:dyDescent="0.25">
      <c r="A79" s="67"/>
      <c r="B79" s="100" t="str">
        <f>B77</f>
        <v>SAPN</v>
      </c>
      <c r="C79" s="101" t="s">
        <v>134</v>
      </c>
      <c r="D79" s="218">
        <f ca="1">SUM(D73:D78)</f>
        <v>1840.1638293778822</v>
      </c>
      <c r="E79" s="218"/>
      <c r="F79" s="218"/>
      <c r="G79" s="218"/>
      <c r="H79" s="218"/>
      <c r="I79" s="218"/>
      <c r="J79" s="218">
        <f ca="1">SUM(J73:J78)</f>
        <v>2241.1199865495096</v>
      </c>
      <c r="K79" s="235">
        <f ca="1">+J79-D79</f>
        <v>400.95615717162741</v>
      </c>
      <c r="L79" s="234"/>
      <c r="M79" s="110"/>
    </row>
  </sheetData>
  <mergeCells count="1">
    <mergeCell ref="A1:B1"/>
  </mergeCells>
  <conditionalFormatting sqref="B45:K79">
    <cfRule type="expression" dxfId="1320" priority="13">
      <formula>MOD(ROW(),2)=0</formula>
    </cfRule>
  </conditionalFormatting>
  <conditionalFormatting sqref="M52:M57 M59:M64 M66:M71 M73:M78">
    <cfRule type="cellIs" dxfId="1319" priority="11" operator="equal">
      <formula>FALSE</formula>
    </cfRule>
    <cfRule type="cellIs" dxfId="1318" priority="12" operator="equal">
      <formula>TRUE</formula>
    </cfRule>
  </conditionalFormatting>
  <conditionalFormatting sqref="M51">
    <cfRule type="cellIs" dxfId="1317" priority="9" operator="equal">
      <formula>FALSE</formula>
    </cfRule>
    <cfRule type="cellIs" dxfId="1316" priority="10" operator="equal">
      <formula>TRUE</formula>
    </cfRule>
  </conditionalFormatting>
  <conditionalFormatting sqref="M58">
    <cfRule type="cellIs" dxfId="1315" priority="7" operator="equal">
      <formula>FALSE</formula>
    </cfRule>
    <cfRule type="cellIs" dxfId="1314" priority="8" operator="equal">
      <formula>TRUE</formula>
    </cfRule>
  </conditionalFormatting>
  <conditionalFormatting sqref="M65">
    <cfRule type="cellIs" dxfId="1313" priority="5" operator="equal">
      <formula>FALSE</formula>
    </cfRule>
    <cfRule type="cellIs" dxfId="1312" priority="6" operator="equal">
      <formula>TRUE</formula>
    </cfRule>
  </conditionalFormatting>
  <conditionalFormatting sqref="M72">
    <cfRule type="cellIs" dxfId="1311" priority="3" operator="equal">
      <formula>FALSE</formula>
    </cfRule>
    <cfRule type="cellIs" dxfId="1310" priority="4" operator="equal">
      <formula>TRUE</formula>
    </cfRule>
  </conditionalFormatting>
  <conditionalFormatting sqref="M79">
    <cfRule type="cellIs" dxfId="1309" priority="1" operator="equal">
      <formula>FALSE</formula>
    </cfRule>
    <cfRule type="cellIs" dxfId="1308" priority="2" operator="equal">
      <formula>TRUE</formula>
    </cfRule>
  </conditionalFormatting>
  <hyperlinks>
    <hyperlink ref="A1" location="Index!A1" display="&lt;&lt;Back to Index" xr:uid="{00000000-0004-0000-0700-00000000000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565F-99F7-424D-BA06-3B3A31201898}">
  <sheetPr>
    <tabColor rgb="FFC06C7C"/>
  </sheetPr>
  <dimension ref="A1:S79"/>
  <sheetViews>
    <sheetView zoomScale="80" zoomScaleNormal="80" workbookViewId="0">
      <selection activeCell="L44" sqref="L44"/>
    </sheetView>
  </sheetViews>
  <sheetFormatPr defaultColWidth="8.85546875" defaultRowHeight="15" x14ac:dyDescent="0.25"/>
  <cols>
    <col min="1" max="1" width="3.140625" style="3" customWidth="1"/>
    <col min="2" max="2" width="10.140625" style="3" bestFit="1" customWidth="1"/>
    <col min="3" max="3" width="17.42578125" style="3" bestFit="1" customWidth="1"/>
    <col min="4" max="4" width="9" style="3" bestFit="1" customWidth="1"/>
    <col min="5" max="5" width="14.140625" style="3" bestFit="1" customWidth="1"/>
    <col min="6" max="6" width="16" style="3" bestFit="1" customWidth="1"/>
    <col min="7" max="7" width="19.5703125" style="3" bestFit="1" customWidth="1"/>
    <col min="8" max="8" width="11.42578125" style="3" bestFit="1" customWidth="1"/>
    <col min="9" max="9" width="16.42578125" style="3" bestFit="1" customWidth="1"/>
    <col min="10" max="10" width="9" style="3" bestFit="1" customWidth="1"/>
    <col min="11" max="11" width="8.85546875" style="3" bestFit="1" customWidth="1"/>
    <col min="12" max="24" width="10.85546875" style="3" customWidth="1"/>
    <col min="25" max="25" width="12" style="3" customWidth="1"/>
    <col min="26" max="16384" width="8.85546875" style="3"/>
  </cols>
  <sheetData>
    <row r="1" spans="1:2" ht="10.35" customHeight="1" x14ac:dyDescent="0.25">
      <c r="A1" s="286" t="s">
        <v>21</v>
      </c>
      <c r="B1" s="291"/>
    </row>
    <row r="2" spans="1:2" s="14" customFormat="1" ht="22.5" customHeight="1" x14ac:dyDescent="0.25">
      <c r="A2" s="15" t="s">
        <v>163</v>
      </c>
      <c r="B2" s="15"/>
    </row>
    <row r="3" spans="1:2" x14ac:dyDescent="0.25">
      <c r="B3" s="94" t="s">
        <v>148</v>
      </c>
    </row>
    <row r="41" spans="1:19" x14ac:dyDescent="0.25">
      <c r="B41" s="104" t="s">
        <v>145</v>
      </c>
    </row>
    <row r="44" spans="1:19" s="5" customFormat="1" x14ac:dyDescent="0.25">
      <c r="B44" s="102" t="s">
        <v>6</v>
      </c>
      <c r="C44" s="103" t="s">
        <v>147</v>
      </c>
      <c r="D44" s="212" t="str">
        <f>PY</f>
        <v>2022-23</v>
      </c>
      <c r="E44" s="212" t="s">
        <v>68</v>
      </c>
      <c r="F44" s="212" t="s">
        <v>69</v>
      </c>
      <c r="G44" s="212" t="s">
        <v>70</v>
      </c>
      <c r="H44" s="212" t="s">
        <v>204</v>
      </c>
      <c r="I44" s="212" t="s">
        <v>206</v>
      </c>
      <c r="J44" s="212" t="str">
        <f>FY</f>
        <v>2023-24</v>
      </c>
      <c r="K44" s="213" t="s">
        <v>23</v>
      </c>
      <c r="M44" s="109"/>
    </row>
    <row r="45" spans="1:19" x14ac:dyDescent="0.25">
      <c r="A45" s="67" t="str">
        <f>B45&amp;" "&amp;$B$44&amp;" "&amp;$C$44&amp;" $"</f>
        <v>Ausgrid Residential with CL $</v>
      </c>
      <c r="B45" s="97" t="s">
        <v>2</v>
      </c>
      <c r="C45" s="98" t="s">
        <v>183</v>
      </c>
      <c r="D45" s="214">
        <v>0</v>
      </c>
      <c r="E45" s="214">
        <f ca="1">IF($K46&lt;0,SUM(D45:D50)+$K46,SUM(D45:D50))</f>
        <v>2122.2937266835652</v>
      </c>
      <c r="F45" s="214">
        <f ca="1">IF($K47&lt;0,IF($K46&lt;0,E45+$K47,E45+$K46+$K47),IF($K46&lt;0,E45,E45+$K46))</f>
        <v>2159.2149529719582</v>
      </c>
      <c r="G45" s="214">
        <f ca="1">IF($K48&lt;0,IF($K47&lt;0,F45+$K48,F45+$K47+$K48),IF($K47&lt;0,F45,F45+$K47))</f>
        <v>2532.9861529719583</v>
      </c>
      <c r="H45" s="214">
        <f ca="1">IF($K49&lt;0,IF($K48&lt;0,G45+$K49,G45+$K48+$K49),IF($K48&lt;0,G45,G45+$K48))</f>
        <v>2532.1885740143389</v>
      </c>
      <c r="I45" s="214">
        <f ca="1">IF($K50&lt;0,IF($K49&lt;0,H45+$K50,H45+$K49+$K50),IF($K49&lt;0,H45,H45+$K49))</f>
        <v>2532.1885740143389</v>
      </c>
      <c r="J45" s="214">
        <v>0</v>
      </c>
      <c r="K45" s="215"/>
      <c r="M45" s="13"/>
      <c r="N45" s="13"/>
      <c r="O45" s="13"/>
      <c r="P45" s="13"/>
      <c r="Q45" s="13"/>
      <c r="R45" s="13"/>
      <c r="S45" s="13"/>
    </row>
    <row r="46" spans="1:19" x14ac:dyDescent="0.25">
      <c r="A46" s="67"/>
      <c r="B46" s="99" t="str">
        <f>B45</f>
        <v>Ausgrid</v>
      </c>
      <c r="C46" s="3" t="s">
        <v>68</v>
      </c>
      <c r="D46" s="175" cm="1">
        <f t="array" aca="1" ref="D46" ca="1">INDEX(INDIRECT("'"&amp;$B46&amp;"'!$F$23:$AJ$39"),MATCH($C46,INDIRECT("'"&amp;$B46&amp;"'!$F$23:$F$39"),0),MATCH($B$44&amp;$C$44&amp;D$44&amp;"Cost",INDIRECT("'"&amp;$B46&amp;"'!$F$23:$AJ$23")&amp;INDIRECT("'"&amp;$B46&amp;"'!$F$24:$AJ$24")&amp;INDIRECT("'"&amp;$B46&amp;"'!$F$25:$AJ$25")&amp;INDIRECT("'"&amp;$B46&amp;"'!$F$30:$AJ$30"),0))</f>
        <v>706.79559829999994</v>
      </c>
      <c r="E46" s="216">
        <f ca="1">ABS($J46-$D46)</f>
        <v>36.9212262883932</v>
      </c>
      <c r="F46" s="216"/>
      <c r="G46" s="216"/>
      <c r="H46" s="216"/>
      <c r="I46" s="216"/>
      <c r="J46" s="175">
        <f t="array" aca="1" ref="J46" ca="1">INDEX(INDIRECT("'"&amp;$B46&amp;"'!$F$23:$AJ$39"),MATCH($C46,INDIRECT("'"&amp;$B46&amp;"'!$F$23:$F$39"),0),MATCH($B$44&amp;$C$44&amp;J$44&amp;"Cost",INDIRECT("'"&amp;$B46&amp;"'!$F$23:$AJ$23")&amp;INDIRECT("'"&amp;$B46&amp;"'!$F$24:$AJ$24")&amp;INDIRECT("'"&amp;$B46&amp;"'!$F$25:$AJ$25")&amp;INDIRECT("'"&amp;$B46&amp;"'!$F$30:$AJ$30"),0))</f>
        <v>743.71682458839314</v>
      </c>
      <c r="K46" s="217">
        <f ca="1">J46-D46</f>
        <v>36.9212262883932</v>
      </c>
      <c r="L46" s="96"/>
      <c r="M46" s="13"/>
      <c r="N46" s="13"/>
      <c r="O46" s="13"/>
      <c r="P46" s="13"/>
      <c r="Q46" s="13"/>
      <c r="R46" s="13"/>
      <c r="S46" s="13"/>
    </row>
    <row r="47" spans="1:19" x14ac:dyDescent="0.25">
      <c r="A47" s="67"/>
      <c r="B47" s="99" t="str">
        <f>B46</f>
        <v>Ausgrid</v>
      </c>
      <c r="C47" s="3" t="s">
        <v>69</v>
      </c>
      <c r="D47" s="175" cm="1">
        <f t="array" aca="1" ref="D47" ca="1">INDEX(INDIRECT("'"&amp;$B47&amp;"'!$F$23:$AJ$39"),MATCH($C47,INDIRECT("'"&amp;$B47&amp;"'!$F$23:$F$39"),0),MATCH($B$44&amp;$C$44&amp;D$44&amp;"Cost",INDIRECT("'"&amp;$B47&amp;"'!$F$23:$AJ$23")&amp;INDIRECT("'"&amp;$B47&amp;"'!$F$24:$AJ$24")&amp;INDIRECT("'"&amp;$B47&amp;"'!$F$25:$AJ$25")&amp;INDIRECT("'"&amp;$B47&amp;"'!$F$30:$AJ$30"),0))</f>
        <v>839.3510399999999</v>
      </c>
      <c r="E47" s="216"/>
      <c r="F47" s="216">
        <f ca="1">ABS($J47-$D47)</f>
        <v>388.45400000000006</v>
      </c>
      <c r="G47" s="216"/>
      <c r="H47" s="216"/>
      <c r="I47" s="216"/>
      <c r="J47" s="175">
        <f t="array" aca="1" ref="J47" ca="1">INDEX(INDIRECT("'"&amp;$B47&amp;"'!$F$23:$AJ$39"),MATCH($C47,INDIRECT("'"&amp;$B47&amp;"'!$F$23:$F$39"),0),MATCH($B$44&amp;$C$44&amp;J$44&amp;"Cost",INDIRECT("'"&amp;$B47&amp;"'!$F$23:$AJ$23")&amp;INDIRECT("'"&amp;$B47&amp;"'!$F$24:$AJ$24")&amp;INDIRECT("'"&amp;$B47&amp;"'!$F$25:$AJ$25")&amp;INDIRECT("'"&amp;$B47&amp;"'!$F$30:$AJ$30"),0))</f>
        <v>1227.80504</v>
      </c>
      <c r="K47" s="217">
        <f ca="1">J47-D47</f>
        <v>388.45400000000006</v>
      </c>
      <c r="M47" s="13"/>
      <c r="N47" s="13"/>
      <c r="O47" s="13"/>
      <c r="P47" s="13"/>
      <c r="Q47" s="13"/>
      <c r="R47" s="13"/>
      <c r="S47" s="13"/>
    </row>
    <row r="48" spans="1:19" x14ac:dyDescent="0.25">
      <c r="A48" s="67"/>
      <c r="B48" s="99" t="str">
        <f>B47</f>
        <v>Ausgrid</v>
      </c>
      <c r="C48" s="3" t="s">
        <v>70</v>
      </c>
      <c r="D48" s="175">
        <f t="array" aca="1" ref="D48" ca="1">INDEX(INDIRECT("'"&amp;$B48&amp;"'!$F$23:$AJ$39"),MATCH($C48,INDIRECT("'"&amp;$B48&amp;"'!$F$23:$F$39"),0),MATCH($B$44&amp;$C$44&amp;D$44&amp;"Cost",INDIRECT("'"&amp;$B48&amp;"'!$F$23:$AJ$23")&amp;INDIRECT("'"&amp;$B48&amp;"'!$F$24:$AJ$24")&amp;INDIRECT("'"&amp;$B48&amp;"'!$F$25:$AJ$25")&amp;INDIRECT("'"&amp;$B48&amp;"'!$F$30:$AJ$30"),0))</f>
        <v>154.8184</v>
      </c>
      <c r="E48" s="216"/>
      <c r="F48" s="216"/>
      <c r="G48" s="216">
        <f ca="1">ABS($J48-$D48)</f>
        <v>14.682800000000015</v>
      </c>
      <c r="H48" s="216"/>
      <c r="I48" s="216"/>
      <c r="J48" s="175">
        <f t="array" aca="1" ref="J48" ca="1">INDEX(INDIRECT("'"&amp;$B48&amp;"'!$F$23:$AJ$39"),MATCH($C48,INDIRECT("'"&amp;$B48&amp;"'!$F$23:$F$39"),0),MATCH($B$44&amp;$C$44&amp;J$44&amp;"Cost",INDIRECT("'"&amp;$B48&amp;"'!$F$23:$AJ$23")&amp;INDIRECT("'"&amp;$B48&amp;"'!$F$24:$AJ$24")&amp;INDIRECT("'"&amp;$B48&amp;"'!$F$25:$AJ$25")&amp;INDIRECT("'"&amp;$B48&amp;"'!$F$30:$AJ$30"),0))</f>
        <v>140.13559999999998</v>
      </c>
      <c r="K48" s="217">
        <f ca="1">J48-D48</f>
        <v>-14.682800000000015</v>
      </c>
      <c r="M48" s="13"/>
      <c r="N48" s="13"/>
      <c r="O48" s="13"/>
      <c r="P48" s="13"/>
      <c r="Q48" s="13"/>
      <c r="R48" s="13"/>
      <c r="S48" s="13"/>
    </row>
    <row r="49" spans="1:19" x14ac:dyDescent="0.25">
      <c r="A49" s="67"/>
      <c r="B49" s="99" t="str">
        <f t="shared" ref="B49:B50" si="0">B48</f>
        <v>Ausgrid</v>
      </c>
      <c r="C49" s="3" t="s">
        <v>204</v>
      </c>
      <c r="D49" s="175">
        <f t="array" aca="1" ref="D49" ca="1">INDEX(INDIRECT("'"&amp;$B49&amp;"'!$F$23:$AJ$39"),MATCH($C49,INDIRECT("'"&amp;$B49&amp;"'!$F$23:$F$39"),0),MATCH($B$44&amp;$C$44&amp;D$44&amp;"Cost",INDIRECT("'"&amp;$B49&amp;"'!$F$23:$AJ$23")&amp;INDIRECT("'"&amp;$B49&amp;"'!$F$24:$AJ$24")&amp;INDIRECT("'"&amp;$B49&amp;"'!$F$25:$AJ$25")&amp;INDIRECT("'"&amp;$B49&amp;"'!$F$30:$AJ$30"),0))</f>
        <v>209.099315715209</v>
      </c>
      <c r="E49" s="216"/>
      <c r="F49" s="216"/>
      <c r="G49" s="216"/>
      <c r="H49" s="216">
        <f ca="1">ABS($J49-$D49)</f>
        <v>0.79757895761946429</v>
      </c>
      <c r="I49" s="216"/>
      <c r="J49" s="175">
        <f t="array" aca="1" ref="J49" ca="1">INDEX(INDIRECT("'"&amp;$B49&amp;"'!$F$23:$AJ$39"),MATCH($C49,INDIRECT("'"&amp;$B49&amp;"'!$F$23:$F$39"),0),MATCH($B$44&amp;$C$44&amp;J$44&amp;"Cost",INDIRECT("'"&amp;$B49&amp;"'!$F$23:$AJ$23")&amp;INDIRECT("'"&amp;$B49&amp;"'!$F$24:$AJ$24")&amp;INDIRECT("'"&amp;$B49&amp;"'!$F$25:$AJ$25")&amp;INDIRECT("'"&amp;$B49&amp;"'!$F$30:$AJ$30"),0))</f>
        <v>208.30173675758954</v>
      </c>
      <c r="K49" s="217">
        <f ca="1">J49-D49</f>
        <v>-0.79757895761946429</v>
      </c>
      <c r="M49" s="13"/>
      <c r="N49" s="13"/>
      <c r="O49" s="13"/>
      <c r="P49" s="13"/>
      <c r="Q49" s="13"/>
      <c r="R49" s="13"/>
      <c r="S49" s="13"/>
    </row>
    <row r="50" spans="1:19" x14ac:dyDescent="0.25">
      <c r="A50" s="67"/>
      <c r="B50" s="99" t="str">
        <f t="shared" si="0"/>
        <v>Ausgrid</v>
      </c>
      <c r="C50" s="3" t="s">
        <v>206</v>
      </c>
      <c r="D50" s="175">
        <f t="array" aca="1" ref="D50" ca="1">INDEX(INDIRECT("'"&amp;$B50&amp;"'!$F$23:$AJ$39"),MATCH($C50,INDIRECT("'"&amp;$B50&amp;"'!$F$23:$F$39"),0),MATCH($B$44&amp;$C$44&amp;D$44&amp;"Cost",INDIRECT("'"&amp;$B50&amp;"'!$F$23:$AJ$23")&amp;INDIRECT("'"&amp;$B50&amp;"'!$F$24:$AJ$24")&amp;INDIRECT("'"&amp;$B50&amp;"'!$F$25:$AJ$25")&amp;INDIRECT("'"&amp;$B50&amp;"'!$F$30:$AJ$30"),0))</f>
        <v>212.22937266835629</v>
      </c>
      <c r="E50" s="216"/>
      <c r="F50" s="216"/>
      <c r="G50" s="216"/>
      <c r="H50" s="216"/>
      <c r="I50" s="216">
        <f ca="1">ABS($J50-$D50)</f>
        <v>45.543871925641497</v>
      </c>
      <c r="J50" s="175">
        <f t="array" aca="1" ref="J50" ca="1">INDEX(INDIRECT("'"&amp;$B50&amp;"'!$F$23:$AJ$39"),MATCH($C50,INDIRECT("'"&amp;$B50&amp;"'!$F$23:$F$39"),0),MATCH($B$44&amp;$C$44&amp;J$44&amp;"Cost",INDIRECT("'"&amp;$B50&amp;"'!$F$23:$AJ$23")&amp;INDIRECT("'"&amp;$B50&amp;"'!$F$24:$AJ$24")&amp;INDIRECT("'"&amp;$B50&amp;"'!$F$25:$AJ$25")&amp;INDIRECT("'"&amp;$B50&amp;"'!$F$30:$AJ$30"),0))</f>
        <v>257.77324459399779</v>
      </c>
      <c r="K50" s="217">
        <f ca="1">J50-D50</f>
        <v>45.543871925641497</v>
      </c>
      <c r="M50" s="13"/>
      <c r="N50" s="13"/>
      <c r="O50" s="13"/>
      <c r="P50" s="13"/>
      <c r="Q50" s="13"/>
      <c r="R50" s="13"/>
      <c r="S50" s="13"/>
    </row>
    <row r="51" spans="1:19" x14ac:dyDescent="0.25">
      <c r="A51" s="67"/>
      <c r="B51" s="100" t="str">
        <f>B49</f>
        <v>Ausgrid</v>
      </c>
      <c r="C51" s="101" t="s">
        <v>134</v>
      </c>
      <c r="D51" s="218">
        <f ca="1">SUM(D45:D50)</f>
        <v>2122.2937266835652</v>
      </c>
      <c r="E51" s="218"/>
      <c r="F51" s="218"/>
      <c r="G51" s="218"/>
      <c r="H51" s="218"/>
      <c r="I51" s="218"/>
      <c r="J51" s="218">
        <f ca="1">SUM(J45:J50)</f>
        <v>2577.7324459399802</v>
      </c>
      <c r="K51" s="217">
        <f ca="1">+J51-D51</f>
        <v>455.43871925641497</v>
      </c>
      <c r="L51" s="234"/>
      <c r="M51" s="110"/>
      <c r="N51" s="13"/>
      <c r="O51" s="13"/>
      <c r="P51" s="13"/>
      <c r="Q51" s="13"/>
      <c r="R51" s="13"/>
      <c r="S51" s="13"/>
    </row>
    <row r="52" spans="1:19" x14ac:dyDescent="0.25">
      <c r="A52" s="67" t="str">
        <f>B52&amp;" "&amp;$B$44&amp;" "&amp;$C$44&amp;" $"</f>
        <v>Endeavour Residential with CL $</v>
      </c>
      <c r="B52" s="97" t="s">
        <v>4</v>
      </c>
      <c r="C52" s="98" t="s">
        <v>183</v>
      </c>
      <c r="D52" s="214">
        <v>0</v>
      </c>
      <c r="E52" s="214">
        <f ca="1">IF($K53&lt;0,SUM(D52:D57)+$K53,SUM(D52:D57))</f>
        <v>2382.5298792946764</v>
      </c>
      <c r="F52" s="214">
        <f ca="1">IF($K54&lt;0,IF($K53&lt;0,E52+$K54,E52+$K53+$K54),IF($K53&lt;0,E52,E52+$K53))</f>
        <v>2395.6995325638127</v>
      </c>
      <c r="G52" s="214">
        <f ca="1">IF($K55&lt;0,IF($K54&lt;0,F52+$K55,F52+$K54+$K55),IF($K54&lt;0,F52,F52+$K54))</f>
        <v>2893.2823325638128</v>
      </c>
      <c r="H52" s="214">
        <f ca="1">IF($K56&lt;0,IF($K55&lt;0,G52+$K56,G52+$K55+$K56),IF($K55&lt;0,G52,G52+$K55))</f>
        <v>2890.2417903540468</v>
      </c>
      <c r="I52" s="214">
        <f ca="1">IF($K57&lt;0,IF($K56&lt;0,H52+$K57,H52+$K56+$K57),IF($K56&lt;0,H52,H52+$K56))</f>
        <v>2890.2417903540468</v>
      </c>
      <c r="J52" s="214">
        <v>0</v>
      </c>
      <c r="K52" s="215"/>
      <c r="M52" s="106"/>
    </row>
    <row r="53" spans="1:19" x14ac:dyDescent="0.25">
      <c r="A53" s="67"/>
      <c r="B53" s="99" t="str">
        <f>B52</f>
        <v>Endeavour</v>
      </c>
      <c r="C53" s="3" t="s">
        <v>68</v>
      </c>
      <c r="D53" s="175">
        <f t="array" aca="1" ref="D53" ca="1">INDEX(INDIRECT("'"&amp;$B53&amp;"'!$F$23:$AJ$39"),MATCH($C53,INDIRECT("'"&amp;$B53&amp;"'!$F$23:$F$39"),0),MATCH($B$44&amp;$C$44&amp;D$44&amp;"Cost",INDIRECT("'"&amp;$B53&amp;"'!$F$23:$AJ$23")&amp;INDIRECT("'"&amp;$B53&amp;"'!$F$24:$AJ$24")&amp;INDIRECT("'"&amp;$B53&amp;"'!$F$25:$AJ$25")&amp;INDIRECT("'"&amp;$B53&amp;"'!$F$30:$AJ$30"),0))</f>
        <v>770.30509819999997</v>
      </c>
      <c r="E53" s="216">
        <f ca="1">ABS($J53-$D53)</f>
        <v>13.16965326913612</v>
      </c>
      <c r="F53" s="216"/>
      <c r="G53" s="216"/>
      <c r="H53" s="216"/>
      <c r="I53" s="216"/>
      <c r="J53" s="175">
        <f t="array" aca="1" ref="J53" ca="1">INDEX(INDIRECT("'"&amp;$B53&amp;"'!$F$23:$AJ$39"),MATCH($C53,INDIRECT("'"&amp;$B53&amp;"'!$F$23:$F$39"),0),MATCH($B$44&amp;$C$44&amp;J$44&amp;"Cost",INDIRECT("'"&amp;$B53&amp;"'!$F$23:$AJ$23")&amp;INDIRECT("'"&amp;$B53&amp;"'!$F$24:$AJ$24")&amp;INDIRECT("'"&amp;$B53&amp;"'!$F$25:$AJ$25")&amp;INDIRECT("'"&amp;$B53&amp;"'!$F$30:$AJ$30"),0))</f>
        <v>783.47475146913609</v>
      </c>
      <c r="K53" s="217">
        <f ca="1">J53-D53</f>
        <v>13.16965326913612</v>
      </c>
      <c r="M53" s="106"/>
    </row>
    <row r="54" spans="1:19" x14ac:dyDescent="0.25">
      <c r="A54" s="67"/>
      <c r="B54" s="99" t="str">
        <f>B53</f>
        <v>Endeavour</v>
      </c>
      <c r="C54" s="3" t="s">
        <v>69</v>
      </c>
      <c r="D54" s="175">
        <f t="array" aca="1" ref="D54" ca="1">INDEX(INDIRECT("'"&amp;$B54&amp;"'!$F$23:$AJ$39"),MATCH($C54,INDIRECT("'"&amp;$B54&amp;"'!$F$23:$F$39"),0),MATCH($B$44&amp;$C$44&amp;D$44&amp;"Cost",INDIRECT("'"&amp;$B54&amp;"'!$F$23:$AJ$23")&amp;INDIRECT("'"&amp;$B54&amp;"'!$F$24:$AJ$24")&amp;INDIRECT("'"&amp;$B54&amp;"'!$F$25:$AJ$25")&amp;INDIRECT("'"&amp;$B54&amp;"'!$F$30:$AJ$30"),0))</f>
        <v>987.8</v>
      </c>
      <c r="E54" s="216"/>
      <c r="F54" s="216">
        <f ca="1">ABS($J54-$D54)</f>
        <v>513.37440000000015</v>
      </c>
      <c r="G54" s="216"/>
      <c r="H54" s="216"/>
      <c r="I54" s="216"/>
      <c r="J54" s="175">
        <f t="array" aca="1" ref="J54" ca="1">INDEX(INDIRECT("'"&amp;$B54&amp;"'!$F$23:$AJ$39"),MATCH($C54,INDIRECT("'"&amp;$B54&amp;"'!$F$23:$F$39"),0),MATCH($B$44&amp;$C$44&amp;J$44&amp;"Cost",INDIRECT("'"&amp;$B54&amp;"'!$F$23:$AJ$23")&amp;INDIRECT("'"&amp;$B54&amp;"'!$F$24:$AJ$24")&amp;INDIRECT("'"&amp;$B54&amp;"'!$F$25:$AJ$25")&amp;INDIRECT("'"&amp;$B54&amp;"'!$F$30:$AJ$30"),0))</f>
        <v>1501.1744000000001</v>
      </c>
      <c r="K54" s="217">
        <f ca="1">J54-D54</f>
        <v>513.37440000000015</v>
      </c>
      <c r="M54" s="106"/>
    </row>
    <row r="55" spans="1:19" x14ac:dyDescent="0.25">
      <c r="A55" s="67"/>
      <c r="B55" s="99" t="str">
        <f>B54</f>
        <v>Endeavour</v>
      </c>
      <c r="C55" s="3" t="s">
        <v>70</v>
      </c>
      <c r="D55" s="175">
        <f t="array" aca="1" ref="D55" ca="1">INDEX(INDIRECT("'"&amp;$B55&amp;"'!$F$23:$AJ$39"),MATCH($C55,INDIRECT("'"&amp;$B55&amp;"'!$F$23:$F$39"),0),MATCH($B$44&amp;$C$44&amp;D$44&amp;"Cost",INDIRECT("'"&amp;$B55&amp;"'!$F$23:$AJ$23")&amp;INDIRECT("'"&amp;$B55&amp;"'!$F$24:$AJ$24")&amp;INDIRECT("'"&amp;$B55&amp;"'!$F$25:$AJ$25")&amp;INDIRECT("'"&amp;$B55&amp;"'!$F$30:$AJ$30"),0))</f>
        <v>169.47479999999999</v>
      </c>
      <c r="E55" s="216"/>
      <c r="F55" s="216"/>
      <c r="G55" s="216">
        <f ca="1">ABS($J55-$D55)</f>
        <v>15.79159999999996</v>
      </c>
      <c r="H55" s="216"/>
      <c r="I55" s="216"/>
      <c r="J55" s="175">
        <f t="array" aca="1" ref="J55" ca="1">INDEX(INDIRECT("'"&amp;$B55&amp;"'!$F$23:$AJ$39"),MATCH($C55,INDIRECT("'"&amp;$B55&amp;"'!$F$23:$F$39"),0),MATCH($B$44&amp;$C$44&amp;J$44&amp;"Cost",INDIRECT("'"&amp;$B55&amp;"'!$F$23:$AJ$23")&amp;INDIRECT("'"&amp;$B55&amp;"'!$F$24:$AJ$24")&amp;INDIRECT("'"&amp;$B55&amp;"'!$F$25:$AJ$25")&amp;INDIRECT("'"&amp;$B55&amp;"'!$F$30:$AJ$30"),0))</f>
        <v>153.68320000000003</v>
      </c>
      <c r="K55" s="217">
        <f ca="1">J55-D55</f>
        <v>-15.79159999999996</v>
      </c>
      <c r="M55" s="106"/>
    </row>
    <row r="56" spans="1:19" x14ac:dyDescent="0.25">
      <c r="A56" s="67"/>
      <c r="B56" s="99" t="str">
        <f t="shared" ref="B56:B57" si="1">B55</f>
        <v>Endeavour</v>
      </c>
      <c r="C56" s="3" t="s">
        <v>204</v>
      </c>
      <c r="D56" s="175">
        <f t="array" aca="1" ref="D56" ca="1">INDEX(INDIRECT("'"&amp;$B56&amp;"'!$F$23:$AJ$39"),MATCH($C56,INDIRECT("'"&amp;$B56&amp;"'!$F$23:$F$39"),0),MATCH($B$44&amp;$C$44&amp;D$44&amp;"Cost",INDIRECT("'"&amp;$B56&amp;"'!$F$23:$AJ$23")&amp;INDIRECT("'"&amp;$B56&amp;"'!$F$24:$AJ$24")&amp;INDIRECT("'"&amp;$B56&amp;"'!$F$25:$AJ$25")&amp;INDIRECT("'"&amp;$B56&amp;"'!$F$30:$AJ$30"),0))</f>
        <v>216.69699316520897</v>
      </c>
      <c r="E56" s="216"/>
      <c r="F56" s="216"/>
      <c r="G56" s="216"/>
      <c r="H56" s="216">
        <f ca="1">ABS($J56-$D56)</f>
        <v>3.0405422097660733</v>
      </c>
      <c r="I56" s="216"/>
      <c r="J56" s="175">
        <f t="array" aca="1" ref="J56" ca="1">INDEX(INDIRECT("'"&amp;$B56&amp;"'!$F$23:$AJ$39"),MATCH($C56,INDIRECT("'"&amp;$B56&amp;"'!$F$23:$F$39"),0),MATCH($B$44&amp;$C$44&amp;J$44&amp;"Cost",INDIRECT("'"&amp;$B56&amp;"'!$F$23:$AJ$23")&amp;INDIRECT("'"&amp;$B56&amp;"'!$F$24:$AJ$24")&amp;INDIRECT("'"&amp;$B56&amp;"'!$F$25:$AJ$25")&amp;INDIRECT("'"&amp;$B56&amp;"'!$F$30:$AJ$30"),0))</f>
        <v>213.65645095544289</v>
      </c>
      <c r="K56" s="217">
        <f ca="1">J56-D56</f>
        <v>-3.0405422097660733</v>
      </c>
      <c r="M56" s="106"/>
    </row>
    <row r="57" spans="1:19" x14ac:dyDescent="0.25">
      <c r="A57" s="67"/>
      <c r="B57" s="99" t="str">
        <f t="shared" si="1"/>
        <v>Endeavour</v>
      </c>
      <c r="C57" s="3" t="s">
        <v>206</v>
      </c>
      <c r="D57" s="175">
        <f t="array" aca="1" ref="D57" ca="1">INDEX(INDIRECT("'"&amp;$B57&amp;"'!$F$23:$AJ$39"),MATCH($C57,INDIRECT("'"&amp;$B57&amp;"'!$F$23:$F$39"),0),MATCH($B$44&amp;$C$44&amp;D$44&amp;"Cost",INDIRECT("'"&amp;$B57&amp;"'!$F$23:$AJ$23")&amp;INDIRECT("'"&amp;$B57&amp;"'!$F$24:$AJ$24")&amp;INDIRECT("'"&amp;$B57&amp;"'!$F$25:$AJ$25")&amp;INDIRECT("'"&amp;$B57&amp;"'!$F$30:$AJ$30"),0))</f>
        <v>238.25298792946751</v>
      </c>
      <c r="E57" s="216"/>
      <c r="F57" s="216"/>
      <c r="G57" s="216"/>
      <c r="H57" s="216"/>
      <c r="I57" s="216">
        <f ca="1">ABS($J57-$D57)</f>
        <v>56.412434562152157</v>
      </c>
      <c r="J57" s="175">
        <f t="array" aca="1" ref="J57" ca="1">INDEX(INDIRECT("'"&amp;$B57&amp;"'!$F$23:$AJ$39"),MATCH($C57,INDIRECT("'"&amp;$B57&amp;"'!$F$23:$F$39"),0),MATCH($B$44&amp;$C$44&amp;J$44&amp;"Cost",INDIRECT("'"&amp;$B57&amp;"'!$F$23:$AJ$23")&amp;INDIRECT("'"&amp;$B57&amp;"'!$F$24:$AJ$24")&amp;INDIRECT("'"&amp;$B57&amp;"'!$F$25:$AJ$25")&amp;INDIRECT("'"&amp;$B57&amp;"'!$F$30:$AJ$30"),0))</f>
        <v>294.66542249161967</v>
      </c>
      <c r="K57" s="217">
        <f ca="1">J57-D57</f>
        <v>56.412434562152157</v>
      </c>
      <c r="M57" s="106"/>
    </row>
    <row r="58" spans="1:19" x14ac:dyDescent="0.25">
      <c r="A58" s="67"/>
      <c r="B58" s="100" t="str">
        <f>B56</f>
        <v>Endeavour</v>
      </c>
      <c r="C58" s="101" t="s">
        <v>134</v>
      </c>
      <c r="D58" s="218">
        <f ca="1">SUM(D52:D57)</f>
        <v>2382.5298792946764</v>
      </c>
      <c r="E58" s="218"/>
      <c r="F58" s="218"/>
      <c r="G58" s="218"/>
      <c r="H58" s="218"/>
      <c r="I58" s="218"/>
      <c r="J58" s="218">
        <f ca="1">SUM(J52:J57)</f>
        <v>2946.6542249161985</v>
      </c>
      <c r="K58" s="217">
        <f ca="1">+J58-D58</f>
        <v>564.12434562152202</v>
      </c>
      <c r="L58" s="234"/>
      <c r="M58" s="110"/>
    </row>
    <row r="59" spans="1:19" x14ac:dyDescent="0.25">
      <c r="A59" s="67" t="str">
        <f>B59&amp;" "&amp;$B$44&amp;" "&amp;$C$44&amp;" $"</f>
        <v>Essential Residential with CL $</v>
      </c>
      <c r="B59" s="97" t="s">
        <v>3</v>
      </c>
      <c r="C59" s="98" t="s">
        <v>183</v>
      </c>
      <c r="D59" s="214">
        <v>0</v>
      </c>
      <c r="E59" s="214">
        <f ca="1">IF($K60&lt;0,SUM(D59:D64)+$K60,SUM(D59:D64))</f>
        <v>2489.7721617252323</v>
      </c>
      <c r="F59" s="214">
        <f ca="1">IF($K61&lt;0,IF($K60&lt;0,E59+$K61,E59+$K60+$K61),IF($K60&lt;0,E59,E59+$K60))</f>
        <v>2620.4569125148391</v>
      </c>
      <c r="G59" s="214">
        <f ca="1">IF($K62&lt;0,IF($K61&lt;0,F59+$K62,F59+$K61+$K62),IF($K61&lt;0,F59,F59+$K61))</f>
        <v>2972.3711125148393</v>
      </c>
      <c r="H59" s="214">
        <f ca="1">IF($K63&lt;0,IF($K62&lt;0,G59+$K63,G59+$K62+$K63),IF($K62&lt;0,G59,G59+$K62))</f>
        <v>2969.1223809032658</v>
      </c>
      <c r="I59" s="214">
        <f ca="1">IF($K64&lt;0,IF($K63&lt;0,H59+$K64,H59+$K63+$K64),IF($K63&lt;0,H59,H59+$K63))</f>
        <v>2969.1223809032658</v>
      </c>
      <c r="J59" s="214">
        <v>0</v>
      </c>
      <c r="K59" s="215"/>
      <c r="M59" s="106"/>
    </row>
    <row r="60" spans="1:19" x14ac:dyDescent="0.25">
      <c r="A60" s="67"/>
      <c r="B60" s="99" t="str">
        <f>B59</f>
        <v>Essential</v>
      </c>
      <c r="C60" s="3" t="s">
        <v>68</v>
      </c>
      <c r="D60" s="175">
        <f t="array" aca="1" ref="D60" ca="1">INDEX(INDIRECT("'"&amp;$B60&amp;"'!$F$23:$AJ$39"),MATCH($C60,INDIRECT("'"&amp;$B60&amp;"'!$F$23:$F$39"),0),MATCH($B$44&amp;$C$44&amp;D$44&amp;"Cost",INDIRECT("'"&amp;$B60&amp;"'!$F$23:$AJ$23")&amp;INDIRECT("'"&amp;$B60&amp;"'!$F$24:$AJ$24")&amp;INDIRECT("'"&amp;$B60&amp;"'!$F$25:$AJ$25")&amp;INDIRECT("'"&amp;$B60&amp;"'!$F$30:$AJ$30"),0))</f>
        <v>1100.4438500000001</v>
      </c>
      <c r="E60" s="216">
        <f ca="1">ABS($J60-$D60)</f>
        <v>130.6847507896066</v>
      </c>
      <c r="F60" s="216"/>
      <c r="G60" s="216"/>
      <c r="H60" s="216"/>
      <c r="I60" s="216"/>
      <c r="J60" s="175">
        <f t="array" aca="1" ref="J60" ca="1">INDEX(INDIRECT("'"&amp;$B60&amp;"'!$F$23:$AJ$39"),MATCH($C60,INDIRECT("'"&amp;$B60&amp;"'!$F$23:$F$39"),0),MATCH($B$44&amp;$C$44&amp;J$44&amp;"Cost",INDIRECT("'"&amp;$B60&amp;"'!$F$23:$AJ$23")&amp;INDIRECT("'"&amp;$B60&amp;"'!$F$24:$AJ$24")&amp;INDIRECT("'"&amp;$B60&amp;"'!$F$25:$AJ$25")&amp;INDIRECT("'"&amp;$B60&amp;"'!$F$30:$AJ$30"),0))</f>
        <v>1231.1286007896067</v>
      </c>
      <c r="K60" s="217">
        <f ca="1">J60-D60</f>
        <v>130.6847507896066</v>
      </c>
      <c r="M60" s="106"/>
    </row>
    <row r="61" spans="1:19" x14ac:dyDescent="0.25">
      <c r="A61" s="67"/>
      <c r="B61" s="99" t="str">
        <f>B60</f>
        <v>Essential</v>
      </c>
      <c r="C61" s="3" t="s">
        <v>69</v>
      </c>
      <c r="D61" s="175">
        <f t="array" aca="1" ref="D61" ca="1">INDEX(INDIRECT("'"&amp;$B61&amp;"'!$F$23:$AJ$39"),MATCH($C61,INDIRECT("'"&amp;$B61&amp;"'!$F$23:$F$39"),0),MATCH($B$44&amp;$C$44&amp;D$44&amp;"Cost",INDIRECT("'"&amp;$B61&amp;"'!$F$23:$AJ$23")&amp;INDIRECT("'"&amp;$B61&amp;"'!$F$24:$AJ$24")&amp;INDIRECT("'"&amp;$B61&amp;"'!$F$25:$AJ$25")&amp;INDIRECT("'"&amp;$B61&amp;"'!$F$30:$AJ$30"),0))</f>
        <v>779.26420000000007</v>
      </c>
      <c r="E61" s="216"/>
      <c r="F61" s="216">
        <f ca="1">ABS($J61-$D61)</f>
        <v>366.65199999999982</v>
      </c>
      <c r="G61" s="216"/>
      <c r="H61" s="216"/>
      <c r="I61" s="216"/>
      <c r="J61" s="175">
        <f t="array" aca="1" ref="J61" ca="1">INDEX(INDIRECT("'"&amp;$B61&amp;"'!$F$23:$AJ$39"),MATCH($C61,INDIRECT("'"&amp;$B61&amp;"'!$F$23:$F$39"),0),MATCH($B$44&amp;$C$44&amp;J$44&amp;"Cost",INDIRECT("'"&amp;$B61&amp;"'!$F$23:$AJ$23")&amp;INDIRECT("'"&amp;$B61&amp;"'!$F$24:$AJ$24")&amp;INDIRECT("'"&amp;$B61&amp;"'!$F$25:$AJ$25")&amp;INDIRECT("'"&amp;$B61&amp;"'!$F$30:$AJ$30"),0))</f>
        <v>1145.9161999999999</v>
      </c>
      <c r="K61" s="217">
        <f ca="1">J61-D61</f>
        <v>366.65199999999982</v>
      </c>
      <c r="M61" s="106"/>
    </row>
    <row r="62" spans="1:19" x14ac:dyDescent="0.25">
      <c r="A62" s="67"/>
      <c r="B62" s="99" t="str">
        <f>B61</f>
        <v>Essential</v>
      </c>
      <c r="C62" s="3" t="s">
        <v>70</v>
      </c>
      <c r="D62" s="175">
        <f t="array" aca="1" ref="D62" ca="1">INDEX(INDIRECT("'"&amp;$B62&amp;"'!$F$23:$AJ$39"),MATCH($C62,INDIRECT("'"&amp;$B62&amp;"'!$F$23:$F$39"),0),MATCH($B$44&amp;$C$44&amp;D$44&amp;"Cost",INDIRECT("'"&amp;$B62&amp;"'!$F$23:$AJ$23")&amp;INDIRECT("'"&amp;$B62&amp;"'!$F$24:$AJ$24")&amp;INDIRECT("'"&amp;$B62&amp;"'!$F$25:$AJ$25")&amp;INDIRECT("'"&amp;$B62&amp;"'!$F$30:$AJ$30"),0))</f>
        <v>148.46699999999998</v>
      </c>
      <c r="E62" s="216"/>
      <c r="F62" s="216"/>
      <c r="G62" s="216">
        <f ca="1">ABS($J62-$D62)</f>
        <v>14.737799999999964</v>
      </c>
      <c r="H62" s="216"/>
      <c r="I62" s="216"/>
      <c r="J62" s="175">
        <f t="array" aca="1" ref="J62" ca="1">INDEX(INDIRECT("'"&amp;$B62&amp;"'!$F$23:$AJ$39"),MATCH($C62,INDIRECT("'"&amp;$B62&amp;"'!$F$23:$F$39"),0),MATCH($B$44&amp;$C$44&amp;J$44&amp;"Cost",INDIRECT("'"&amp;$B62&amp;"'!$F$23:$AJ$23")&amp;INDIRECT("'"&amp;$B62&amp;"'!$F$24:$AJ$24")&amp;INDIRECT("'"&amp;$B62&amp;"'!$F$25:$AJ$25")&amp;INDIRECT("'"&amp;$B62&amp;"'!$F$30:$AJ$30"),0))</f>
        <v>133.72920000000002</v>
      </c>
      <c r="K62" s="217">
        <f ca="1">J62-D62</f>
        <v>-14.737799999999964</v>
      </c>
      <c r="M62" s="106"/>
    </row>
    <row r="63" spans="1:19" x14ac:dyDescent="0.25">
      <c r="A63" s="67"/>
      <c r="B63" s="99" t="str">
        <f t="shared" ref="B63:B64" si="2">B62</f>
        <v>Essential</v>
      </c>
      <c r="C63" s="3" t="s">
        <v>204</v>
      </c>
      <c r="D63" s="175">
        <f t="array" aca="1" ref="D63" ca="1">INDEX(INDIRECT("'"&amp;$B63&amp;"'!$F$23:$AJ$39"),MATCH($C63,INDIRECT("'"&amp;$B63&amp;"'!$F$23:$F$39"),0),MATCH($B$44&amp;$C$44&amp;D$44&amp;"Cost",INDIRECT("'"&amp;$B63&amp;"'!$F$23:$AJ$23")&amp;INDIRECT("'"&amp;$B63&amp;"'!$F$24:$AJ$24")&amp;INDIRECT("'"&amp;$B63&amp;"'!$F$25:$AJ$25")&amp;INDIRECT("'"&amp;$B63&amp;"'!$F$30:$AJ$30"),0))</f>
        <v>212.61989555270895</v>
      </c>
      <c r="E63" s="216"/>
      <c r="F63" s="216"/>
      <c r="G63" s="216"/>
      <c r="H63" s="216">
        <f ca="1">ABS($J63-$D63)</f>
        <v>3.2487316115732767</v>
      </c>
      <c r="I63" s="216"/>
      <c r="J63" s="175">
        <f t="array" aca="1" ref="J63" ca="1">INDEX(INDIRECT("'"&amp;$B63&amp;"'!$F$23:$AJ$39"),MATCH($C63,INDIRECT("'"&amp;$B63&amp;"'!$F$23:$F$39"),0),MATCH($B$44&amp;$C$44&amp;J$44&amp;"Cost",INDIRECT("'"&amp;$B63&amp;"'!$F$23:$AJ$23")&amp;INDIRECT("'"&amp;$B63&amp;"'!$F$24:$AJ$24")&amp;INDIRECT("'"&amp;$B63&amp;"'!$F$25:$AJ$25")&amp;INDIRECT("'"&amp;$B63&amp;"'!$F$30:$AJ$30"),0))</f>
        <v>209.37116394113568</v>
      </c>
      <c r="K63" s="217">
        <f ca="1">J63-D63</f>
        <v>-3.2487316115732767</v>
      </c>
      <c r="M63" s="106"/>
    </row>
    <row r="64" spans="1:19" x14ac:dyDescent="0.25">
      <c r="A64" s="67"/>
      <c r="B64" s="99" t="str">
        <f t="shared" si="2"/>
        <v>Essential</v>
      </c>
      <c r="C64" s="3" t="s">
        <v>206</v>
      </c>
      <c r="D64" s="175">
        <f t="array" aca="1" ref="D64" ca="1">INDEX(INDIRECT("'"&amp;$B64&amp;"'!$F$23:$AJ$39"),MATCH($C64,INDIRECT("'"&amp;$B64&amp;"'!$F$23:$F$39"),0),MATCH($B$44&amp;$C$44&amp;D$44&amp;"Cost",INDIRECT("'"&amp;$B64&amp;"'!$F$23:$AJ$23")&amp;INDIRECT("'"&amp;$B64&amp;"'!$F$24:$AJ$24")&amp;INDIRECT("'"&amp;$B64&amp;"'!$F$25:$AJ$25")&amp;INDIRECT("'"&amp;$B64&amp;"'!$F$30:$AJ$30"),0))</f>
        <v>248.97721617252319</v>
      </c>
      <c r="E64" s="216"/>
      <c r="F64" s="216"/>
      <c r="G64" s="216"/>
      <c r="H64" s="216"/>
      <c r="I64" s="216">
        <f ca="1">ABS($J64-$D64)</f>
        <v>53.261135464225845</v>
      </c>
      <c r="J64" s="175">
        <f t="array" aca="1" ref="J64" ca="1">INDEX(INDIRECT("'"&amp;$B64&amp;"'!$F$23:$AJ$39"),MATCH($C64,INDIRECT("'"&amp;$B64&amp;"'!$F$23:$F$39"),0),MATCH($B$44&amp;$C$44&amp;J$44&amp;"Cost",INDIRECT("'"&amp;$B64&amp;"'!$F$23:$AJ$23")&amp;INDIRECT("'"&amp;$B64&amp;"'!$F$24:$AJ$24")&amp;INDIRECT("'"&amp;$B64&amp;"'!$F$25:$AJ$25")&amp;INDIRECT("'"&amp;$B64&amp;"'!$F$30:$AJ$30"),0))</f>
        <v>302.23835163674903</v>
      </c>
      <c r="K64" s="217">
        <f ca="1">J64-D64</f>
        <v>53.261135464225845</v>
      </c>
      <c r="M64" s="106"/>
    </row>
    <row r="65" spans="1:13" x14ac:dyDescent="0.25">
      <c r="A65" s="67"/>
      <c r="B65" s="100" t="str">
        <f>B63</f>
        <v>Essential</v>
      </c>
      <c r="C65" s="101" t="s">
        <v>134</v>
      </c>
      <c r="D65" s="218">
        <f ca="1">SUM(D59:D64)</f>
        <v>2489.7721617252323</v>
      </c>
      <c r="E65" s="218"/>
      <c r="F65" s="218"/>
      <c r="G65" s="218"/>
      <c r="H65" s="218"/>
      <c r="I65" s="218"/>
      <c r="J65" s="218">
        <f ca="1">SUM(J59:J64)</f>
        <v>3022.3835163674917</v>
      </c>
      <c r="K65" s="217">
        <f ca="1">+J65-D65</f>
        <v>532.61135464225936</v>
      </c>
      <c r="L65" s="234"/>
      <c r="M65" s="110"/>
    </row>
    <row r="66" spans="1:13" x14ac:dyDescent="0.25">
      <c r="A66" s="67" t="str">
        <f>B66&amp;" "&amp;$B$44&amp;" "&amp;$C$44&amp;" $"</f>
        <v>Energex Residential with CL $</v>
      </c>
      <c r="B66" s="97" t="s">
        <v>0</v>
      </c>
      <c r="C66" s="98" t="s">
        <v>183</v>
      </c>
      <c r="D66" s="214">
        <v>0</v>
      </c>
      <c r="E66" s="214">
        <f ca="1">IF($K67&lt;0,SUM(D66:D71)+$K67,SUM(D66:D71))</f>
        <v>1960.594973197454</v>
      </c>
      <c r="F66" s="214">
        <f ca="1">IF($K68&lt;0,IF($K67&lt;0,E66+$K68,E66+$K67+$K68),IF($K67&lt;0,E66,E66+$K67))</f>
        <v>2012.6264001232407</v>
      </c>
      <c r="G66" s="214">
        <f ca="1">IF($K69&lt;0,IF($K68&lt;0,F66+$K69,F66+$K68+$K69),IF($K68&lt;0,F66,F66+$K68))</f>
        <v>2310.8614801232411</v>
      </c>
      <c r="H66" s="214">
        <f ca="1">IF($K70&lt;0,IF($K69&lt;0,G66+$K70,G66+$K69+$K70),IF($K69&lt;0,G66,G66+$K69))</f>
        <v>2305.2531236242166</v>
      </c>
      <c r="I66" s="214">
        <f ca="1">IF($K71&lt;0,IF($K70&lt;0,H66+$K71,H66+$K70+$K71),IF($K70&lt;0,H66,H66+$K70))</f>
        <v>2305.2531236242166</v>
      </c>
      <c r="J66" s="214">
        <v>0</v>
      </c>
      <c r="K66" s="215"/>
      <c r="M66" s="106"/>
    </row>
    <row r="67" spans="1:13" x14ac:dyDescent="0.25">
      <c r="A67" s="67"/>
      <c r="B67" s="99" t="str">
        <f>B66</f>
        <v>Energex</v>
      </c>
      <c r="C67" s="3" t="s">
        <v>68</v>
      </c>
      <c r="D67" s="175">
        <f t="array" aca="1" ref="D67" ca="1">INDEX(INDIRECT("'"&amp;$B67&amp;"'!$F$23:$AJ$39"),MATCH($C67,INDIRECT("'"&amp;$B67&amp;"'!$F$23:$F$39"),0),MATCH($B$44&amp;$C$44&amp;D$44&amp;"Cost",INDIRECT("'"&amp;$B67&amp;"'!$F$23:$AJ$23")&amp;INDIRECT("'"&amp;$B67&amp;"'!$F$24:$AJ$24")&amp;INDIRECT("'"&amp;$B67&amp;"'!$F$25:$AJ$25")&amp;INDIRECT("'"&amp;$B67&amp;"'!$F$30:$AJ$30"),0))</f>
        <v>708.46269999999993</v>
      </c>
      <c r="E67" s="216">
        <f ca="1">ABS($J67-$D67)</f>
        <v>52.031426925786832</v>
      </c>
      <c r="F67" s="216"/>
      <c r="G67" s="216"/>
      <c r="H67" s="216"/>
      <c r="I67" s="216"/>
      <c r="J67" s="175">
        <f t="array" aca="1" ref="J67" ca="1">INDEX(INDIRECT("'"&amp;$B67&amp;"'!$F$23:$AJ$39"),MATCH($C67,INDIRECT("'"&amp;$B67&amp;"'!$F$23:$F$39"),0),MATCH($B$44&amp;$C$44&amp;J$44&amp;"Cost",INDIRECT("'"&amp;$B67&amp;"'!$F$23:$AJ$23")&amp;INDIRECT("'"&amp;$B67&amp;"'!$F$24:$AJ$24")&amp;INDIRECT("'"&amp;$B67&amp;"'!$F$25:$AJ$25")&amp;INDIRECT("'"&amp;$B67&amp;"'!$F$30:$AJ$30"),0))</f>
        <v>760.49412692578676</v>
      </c>
      <c r="K67" s="217">
        <f ca="1">J67-D67</f>
        <v>52.031426925786832</v>
      </c>
      <c r="M67" s="106"/>
    </row>
    <row r="68" spans="1:13" x14ac:dyDescent="0.25">
      <c r="A68" s="67"/>
      <c r="B68" s="99" t="str">
        <f>B67</f>
        <v>Energex</v>
      </c>
      <c r="C68" s="3" t="s">
        <v>69</v>
      </c>
      <c r="D68" s="175">
        <f t="array" aca="1" ref="D68" ca="1">INDEX(INDIRECT("'"&amp;$B68&amp;"'!$F$23:$AJ$39"),MATCH($C68,INDIRECT("'"&amp;$B68&amp;"'!$F$23:$F$39"),0),MATCH($B$44&amp;$C$44&amp;D$44&amp;"Cost",INDIRECT("'"&amp;$B68&amp;"'!$F$23:$AJ$23")&amp;INDIRECT("'"&amp;$B68&amp;"'!$F$24:$AJ$24")&amp;INDIRECT("'"&amp;$B68&amp;"'!$F$25:$AJ$25")&amp;INDIRECT("'"&amp;$B68&amp;"'!$F$30:$AJ$30"),0))</f>
        <v>726.183898</v>
      </c>
      <c r="E68" s="216"/>
      <c r="F68" s="216">
        <f ca="1">ABS($J68-$D68)</f>
        <v>312.09508000000028</v>
      </c>
      <c r="G68" s="216"/>
      <c r="H68" s="216"/>
      <c r="I68" s="216"/>
      <c r="J68" s="175">
        <f t="array" aca="1" ref="J68" ca="1">INDEX(INDIRECT("'"&amp;$B68&amp;"'!$F$23:$AJ$39"),MATCH($C68,INDIRECT("'"&amp;$B68&amp;"'!$F$23:$F$39"),0),MATCH($B$44&amp;$C$44&amp;J$44&amp;"Cost",INDIRECT("'"&amp;$B68&amp;"'!$F$23:$AJ$23")&amp;INDIRECT("'"&amp;$B68&amp;"'!$F$24:$AJ$24")&amp;INDIRECT("'"&amp;$B68&amp;"'!$F$25:$AJ$25")&amp;INDIRECT("'"&amp;$B68&amp;"'!$F$30:$AJ$30"),0))</f>
        <v>1038.2789780000003</v>
      </c>
      <c r="K68" s="217">
        <f ca="1">J68-D68</f>
        <v>312.09508000000028</v>
      </c>
      <c r="M68" s="106"/>
    </row>
    <row r="69" spans="1:13" x14ac:dyDescent="0.25">
      <c r="A69" s="67"/>
      <c r="B69" s="99" t="str">
        <f>B68</f>
        <v>Energex</v>
      </c>
      <c r="C69" s="3" t="s">
        <v>70</v>
      </c>
      <c r="D69" s="175">
        <f t="array" aca="1" ref="D69" ca="1">INDEX(INDIRECT("'"&amp;$B69&amp;"'!$F$23:$AJ$39"),MATCH($C69,INDIRECT("'"&amp;$B69&amp;"'!$F$23:$F$39"),0),MATCH($B$44&amp;$C$44&amp;D$44&amp;"Cost",INDIRECT("'"&amp;$B69&amp;"'!$F$23:$AJ$23")&amp;INDIRECT("'"&amp;$B69&amp;"'!$F$24:$AJ$24")&amp;INDIRECT("'"&amp;$B69&amp;"'!$F$25:$AJ$25")&amp;INDIRECT("'"&amp;$B69&amp;"'!$F$30:$AJ$30"),0))</f>
        <v>118.50299999999999</v>
      </c>
      <c r="E69" s="216"/>
      <c r="F69" s="216"/>
      <c r="G69" s="216">
        <f ca="1">ABS($J69-$D69)</f>
        <v>13.859999999999985</v>
      </c>
      <c r="H69" s="216"/>
      <c r="I69" s="216"/>
      <c r="J69" s="175">
        <f t="array" aca="1" ref="J69" ca="1">INDEX(INDIRECT("'"&amp;$B69&amp;"'!$F$23:$AJ$39"),MATCH($C69,INDIRECT("'"&amp;$B69&amp;"'!$F$23:$F$39"),0),MATCH($B$44&amp;$C$44&amp;J$44&amp;"Cost",INDIRECT("'"&amp;$B69&amp;"'!$F$23:$AJ$23")&amp;INDIRECT("'"&amp;$B69&amp;"'!$F$24:$AJ$24")&amp;INDIRECT("'"&amp;$B69&amp;"'!$F$25:$AJ$25")&amp;INDIRECT("'"&amp;$B69&amp;"'!$F$30:$AJ$30"),0))</f>
        <v>104.643</v>
      </c>
      <c r="K69" s="217">
        <f ca="1">J69-D69</f>
        <v>-13.859999999999985</v>
      </c>
      <c r="M69" s="106"/>
    </row>
    <row r="70" spans="1:13" x14ac:dyDescent="0.25">
      <c r="A70" s="67"/>
      <c r="B70" s="99" t="str">
        <f t="shared" ref="B70:B71" si="3">B69</f>
        <v>Energex</v>
      </c>
      <c r="C70" s="3" t="s">
        <v>204</v>
      </c>
      <c r="D70" s="175">
        <f t="array" aca="1" ref="D70" ca="1">INDEX(INDIRECT("'"&amp;$B70&amp;"'!$F$23:$AJ$39"),MATCH($C70,INDIRECT("'"&amp;$B70&amp;"'!$F$23:$F$39"),0),MATCH($B$44&amp;$C$44&amp;D$44&amp;"Cost",INDIRECT("'"&amp;$B70&amp;"'!$F$23:$AJ$23")&amp;INDIRECT("'"&amp;$B70&amp;"'!$F$24:$AJ$24")&amp;INDIRECT("'"&amp;$B70&amp;"'!$F$25:$AJ$25")&amp;INDIRECT("'"&amp;$B70&amp;"'!$F$30:$AJ$30"),0))</f>
        <v>211.38587787770896</v>
      </c>
      <c r="E70" s="216"/>
      <c r="F70" s="216"/>
      <c r="G70" s="216"/>
      <c r="H70" s="216">
        <f ca="1">ABS($J70-$D70)</f>
        <v>5.608356499024552</v>
      </c>
      <c r="I70" s="216"/>
      <c r="J70" s="175">
        <f t="array" aca="1" ref="J70" ca="1">INDEX(INDIRECT("'"&amp;$B70&amp;"'!$F$23:$AJ$39"),MATCH($C70,INDIRECT("'"&amp;$B70&amp;"'!$F$23:$F$39"),0),MATCH($B$44&amp;$C$44&amp;J$44&amp;"Cost",INDIRECT("'"&amp;$B70&amp;"'!$F$23:$AJ$23")&amp;INDIRECT("'"&amp;$B70&amp;"'!$F$24:$AJ$24")&amp;INDIRECT("'"&amp;$B70&amp;"'!$F$25:$AJ$25")&amp;INDIRECT("'"&amp;$B70&amp;"'!$F$30:$AJ$30"),0))</f>
        <v>205.77752137868441</v>
      </c>
      <c r="K70" s="217">
        <f ca="1">J70-D70</f>
        <v>-5.608356499024552</v>
      </c>
      <c r="M70" s="106"/>
    </row>
    <row r="71" spans="1:13" x14ac:dyDescent="0.25">
      <c r="A71" s="67"/>
      <c r="B71" s="99" t="str">
        <f t="shared" si="3"/>
        <v>Energex</v>
      </c>
      <c r="C71" s="3" t="s">
        <v>206</v>
      </c>
      <c r="D71" s="175">
        <f t="array" aca="1" ref="D71" ca="1">INDEX(INDIRECT("'"&amp;$B71&amp;"'!$F$23:$AJ$39"),MATCH($C71,INDIRECT("'"&amp;$B71&amp;"'!$F$23:$F$39"),0),MATCH($B$44&amp;$C$44&amp;D$44&amp;"Cost",INDIRECT("'"&amp;$B71&amp;"'!$F$23:$AJ$23")&amp;INDIRECT("'"&amp;$B71&amp;"'!$F$24:$AJ$24")&amp;INDIRECT("'"&amp;$B71&amp;"'!$F$25:$AJ$25")&amp;INDIRECT("'"&amp;$B71&amp;"'!$F$30:$AJ$30"),0))</f>
        <v>196.05949731974533</v>
      </c>
      <c r="E71" s="216"/>
      <c r="F71" s="216"/>
      <c r="G71" s="216"/>
      <c r="H71" s="216"/>
      <c r="I71" s="216">
        <f ca="1">ABS($J71-$D71)</f>
        <v>38.295350047418196</v>
      </c>
      <c r="J71" s="175">
        <f t="array" aca="1" ref="J71" ca="1">INDEX(INDIRECT("'"&amp;$B71&amp;"'!$F$23:$AJ$39"),MATCH($C71,INDIRECT("'"&amp;$B71&amp;"'!$F$23:$F$39"),0),MATCH($B$44&amp;$C$44&amp;J$44&amp;"Cost",INDIRECT("'"&amp;$B71&amp;"'!$F$23:$AJ$23")&amp;INDIRECT("'"&amp;$B71&amp;"'!$F$24:$AJ$24")&amp;INDIRECT("'"&amp;$B71&amp;"'!$F$25:$AJ$25")&amp;INDIRECT("'"&amp;$B71&amp;"'!$F$30:$AJ$30"),0))</f>
        <v>234.35484736716353</v>
      </c>
      <c r="K71" s="217">
        <f ca="1">J71-D71</f>
        <v>38.295350047418196</v>
      </c>
      <c r="M71" s="106"/>
    </row>
    <row r="72" spans="1:13" x14ac:dyDescent="0.25">
      <c r="A72" s="67"/>
      <c r="B72" s="100" t="str">
        <f>B70</f>
        <v>Energex</v>
      </c>
      <c r="C72" s="101" t="s">
        <v>134</v>
      </c>
      <c r="D72" s="218">
        <f ca="1">SUM(D66:D71)</f>
        <v>1960.594973197454</v>
      </c>
      <c r="E72" s="218"/>
      <c r="F72" s="218"/>
      <c r="G72" s="218"/>
      <c r="H72" s="218"/>
      <c r="I72" s="218"/>
      <c r="J72" s="218">
        <f ca="1">SUM(J66:J71)</f>
        <v>2343.5484736716348</v>
      </c>
      <c r="K72" s="217">
        <f ca="1">+J72-D72</f>
        <v>382.95350047418083</v>
      </c>
      <c r="L72" s="234"/>
      <c r="M72" s="110"/>
    </row>
    <row r="73" spans="1:13" x14ac:dyDescent="0.25">
      <c r="A73" s="67" t="str">
        <f>B73&amp;" "&amp;$B$44&amp;" "&amp;$C$44&amp;" $"</f>
        <v>SAPN Residential with CL $</v>
      </c>
      <c r="B73" s="97" t="s">
        <v>5</v>
      </c>
      <c r="C73" s="98" t="s">
        <v>183</v>
      </c>
      <c r="D73" s="214">
        <v>0</v>
      </c>
      <c r="E73" s="214">
        <f ca="1">IF($K74&lt;0,SUM(D73:D78)+$K74,SUM(D73:D78))</f>
        <v>2275.4853187395838</v>
      </c>
      <c r="F73" s="214">
        <f ca="1">IF($K75&lt;0,IF($K74&lt;0,E73+$K75,E73+$K74+$K75),IF($K74&lt;0,E73,E73+$K74))</f>
        <v>2279.1366851395833</v>
      </c>
      <c r="G73" s="214">
        <f ca="1">IF($K76&lt;0,IF($K75&lt;0,F73+$K76,F73+$K75+$K76),IF($K75&lt;0,F73,F73+$K75))</f>
        <v>2738.5692851395829</v>
      </c>
      <c r="H73" s="214">
        <f ca="1">IF($K77&lt;0,IF($K76&lt;0,G73+$K77,G73+$K76+$K77),IF($K76&lt;0,G73,G73+$K76))</f>
        <v>2730.6737288809127</v>
      </c>
      <c r="I73" s="214">
        <f ca="1">IF($K78&lt;0,IF($K77&lt;0,H73+$K78,H73+$K77+$K78),IF($K77&lt;0,H73,H73+$K77))</f>
        <v>2730.6737288809127</v>
      </c>
      <c r="J73" s="214">
        <v>0</v>
      </c>
      <c r="K73" s="215"/>
      <c r="M73" s="106"/>
    </row>
    <row r="74" spans="1:13" x14ac:dyDescent="0.25">
      <c r="A74" s="67"/>
      <c r="B74" s="99" t="str">
        <f>B73</f>
        <v>SAPN</v>
      </c>
      <c r="C74" s="3" t="s">
        <v>68</v>
      </c>
      <c r="D74" s="175">
        <f t="array" aca="1" ref="D74" ca="1">INDEX(INDIRECT("'"&amp;$B74&amp;"'!$F$23:$AJ$39"),MATCH($C74,INDIRECT("'"&amp;$B74&amp;"'!$F$23:$F$39"),0),MATCH($B$44&amp;$C$44&amp;D$44&amp;"Cost",INDIRECT("'"&amp;$B74&amp;"'!$F$23:$AJ$23")&amp;INDIRECT("'"&amp;$B74&amp;"'!$F$24:$AJ$24")&amp;INDIRECT("'"&amp;$B74&amp;"'!$F$25:$AJ$25")&amp;INDIRECT("'"&amp;$B74&amp;"'!$F$30:$AJ$30"),0))</f>
        <v>1015.9589000000001</v>
      </c>
      <c r="E74" s="216">
        <f ca="1">ABS($J74-$D74)</f>
        <v>3.6513663999996879</v>
      </c>
      <c r="F74" s="216"/>
      <c r="G74" s="216"/>
      <c r="H74" s="216"/>
      <c r="I74" s="216"/>
      <c r="J74" s="175">
        <f t="array" aca="1" ref="J74" ca="1">INDEX(INDIRECT("'"&amp;$B74&amp;"'!$F$23:$AJ$39"),MATCH($C74,INDIRECT("'"&amp;$B74&amp;"'!$F$23:$F$39"),0),MATCH($B$44&amp;$C$44&amp;J$44&amp;"Cost",INDIRECT("'"&amp;$B74&amp;"'!$F$23:$AJ$23")&amp;INDIRECT("'"&amp;$B74&amp;"'!$F$24:$AJ$24")&amp;INDIRECT("'"&amp;$B74&amp;"'!$F$25:$AJ$25")&amp;INDIRECT("'"&amp;$B74&amp;"'!$F$30:$AJ$30"),0))</f>
        <v>1019.6102663999998</v>
      </c>
      <c r="K74" s="217">
        <f ca="1">J74-D74</f>
        <v>3.6513663999996879</v>
      </c>
      <c r="M74" s="106"/>
    </row>
    <row r="75" spans="1:13" x14ac:dyDescent="0.25">
      <c r="A75" s="67"/>
      <c r="B75" s="99" t="str">
        <f>B74</f>
        <v>SAPN</v>
      </c>
      <c r="C75" s="3" t="s">
        <v>69</v>
      </c>
      <c r="D75" s="175">
        <f t="array" aca="1" ref="D75" ca="1">INDEX(INDIRECT("'"&amp;$B75&amp;"'!$F$23:$AJ$39"),MATCH($C75,INDIRECT("'"&amp;$B75&amp;"'!$F$23:$F$39"),0),MATCH($B$44&amp;$C$44&amp;D$44&amp;"Cost",INDIRECT("'"&amp;$B75&amp;"'!$F$23:$AJ$23")&amp;INDIRECT("'"&amp;$B75&amp;"'!$F$24:$AJ$24")&amp;INDIRECT("'"&amp;$B75&amp;"'!$F$25:$AJ$25")&amp;INDIRECT("'"&amp;$B75&amp;"'!$F$30:$AJ$30"),0))</f>
        <v>767.09819999999991</v>
      </c>
      <c r="E75" s="216"/>
      <c r="F75" s="216">
        <f ca="1">ABS($J75-$D75)</f>
        <v>473.29259999999999</v>
      </c>
      <c r="G75" s="216"/>
      <c r="H75" s="216"/>
      <c r="I75" s="216"/>
      <c r="J75" s="175">
        <f t="array" aca="1" ref="J75" ca="1">INDEX(INDIRECT("'"&amp;$B75&amp;"'!$F$23:$AJ$39"),MATCH($C75,INDIRECT("'"&amp;$B75&amp;"'!$F$23:$F$39"),0),MATCH($B$44&amp;$C$44&amp;J$44&amp;"Cost",INDIRECT("'"&amp;$B75&amp;"'!$F$23:$AJ$23")&amp;INDIRECT("'"&amp;$B75&amp;"'!$F$24:$AJ$24")&amp;INDIRECT("'"&amp;$B75&amp;"'!$F$25:$AJ$25")&amp;INDIRECT("'"&amp;$B75&amp;"'!$F$30:$AJ$30"),0))</f>
        <v>1240.3907999999999</v>
      </c>
      <c r="K75" s="217">
        <f ca="1">J75-D75</f>
        <v>473.29259999999999</v>
      </c>
      <c r="M75" s="106"/>
    </row>
    <row r="76" spans="1:13" x14ac:dyDescent="0.25">
      <c r="A76" s="67"/>
      <c r="B76" s="99" t="str">
        <f>B75</f>
        <v>SAPN</v>
      </c>
      <c r="C76" s="3" t="s">
        <v>70</v>
      </c>
      <c r="D76" s="175">
        <f t="array" aca="1" ref="D76" ca="1">INDEX(INDIRECT("'"&amp;$B76&amp;"'!$F$23:$AJ$39"),MATCH($C76,INDIRECT("'"&amp;$B76&amp;"'!$F$23:$F$39"),0),MATCH($B$44&amp;$C$44&amp;D$44&amp;"Cost",INDIRECT("'"&amp;$B76&amp;"'!$F$23:$AJ$23")&amp;INDIRECT("'"&amp;$B76&amp;"'!$F$24:$AJ$24")&amp;INDIRECT("'"&amp;$B76&amp;"'!$F$25:$AJ$25")&amp;INDIRECT("'"&amp;$B76&amp;"'!$F$30:$AJ$30"),0))</f>
        <v>134.50800000000001</v>
      </c>
      <c r="E76" s="216"/>
      <c r="F76" s="216"/>
      <c r="G76" s="216">
        <f ca="1">ABS($J76-$D76)</f>
        <v>13.86</v>
      </c>
      <c r="H76" s="216"/>
      <c r="I76" s="216"/>
      <c r="J76" s="175">
        <f t="array" aca="1" ref="J76" ca="1">INDEX(INDIRECT("'"&amp;$B76&amp;"'!$F$23:$AJ$39"),MATCH($C76,INDIRECT("'"&amp;$B76&amp;"'!$F$23:$F$39"),0),MATCH($B$44&amp;$C$44&amp;J$44&amp;"Cost",INDIRECT("'"&amp;$B76&amp;"'!$F$23:$AJ$23")&amp;INDIRECT("'"&amp;$B76&amp;"'!$F$24:$AJ$24")&amp;INDIRECT("'"&amp;$B76&amp;"'!$F$25:$AJ$25")&amp;INDIRECT("'"&amp;$B76&amp;"'!$F$30:$AJ$30"),0))</f>
        <v>120.64800000000001</v>
      </c>
      <c r="K76" s="217">
        <f ca="1">J76-D76</f>
        <v>-13.86</v>
      </c>
      <c r="M76" s="106"/>
    </row>
    <row r="77" spans="1:13" x14ac:dyDescent="0.25">
      <c r="A77" s="67"/>
      <c r="B77" s="99" t="str">
        <f t="shared" ref="B77:B78" si="4">B76</f>
        <v>SAPN</v>
      </c>
      <c r="C77" s="3" t="s">
        <v>204</v>
      </c>
      <c r="D77" s="175">
        <f t="array" aca="1" ref="D77" ca="1">INDEX(INDIRECT("'"&amp;$B77&amp;"'!$F$23:$AJ$39"),MATCH($C77,INDIRECT("'"&amp;$B77&amp;"'!$F$23:$F$39"),0),MATCH($B$44&amp;$C$44&amp;D$44&amp;"Cost",INDIRECT("'"&amp;$B77&amp;"'!$F$23:$AJ$23")&amp;INDIRECT("'"&amp;$B77&amp;"'!$F$24:$AJ$24")&amp;INDIRECT("'"&amp;$B77&amp;"'!$F$25:$AJ$25")&amp;INDIRECT("'"&amp;$B77&amp;"'!$F$30:$AJ$30"),0))</f>
        <v>221.39109961520896</v>
      </c>
      <c r="E77" s="216"/>
      <c r="F77" s="216"/>
      <c r="G77" s="216"/>
      <c r="H77" s="216">
        <f ca="1">ABS($J77-$D77)</f>
        <v>7.8955562586701546</v>
      </c>
      <c r="I77" s="216"/>
      <c r="J77" s="175">
        <f t="array" aca="1" ref="J77" ca="1">INDEX(INDIRECT("'"&amp;$B77&amp;"'!$F$23:$AJ$39"),MATCH($C77,INDIRECT("'"&amp;$B77&amp;"'!$F$23:$F$39"),0),MATCH($B$44&amp;$C$44&amp;J$44&amp;"Cost",INDIRECT("'"&amp;$B77&amp;"'!$F$23:$AJ$23")&amp;INDIRECT("'"&amp;$B77&amp;"'!$F$24:$AJ$24")&amp;INDIRECT("'"&amp;$B77&amp;"'!$F$25:$AJ$25")&amp;INDIRECT("'"&amp;$B77&amp;"'!$F$30:$AJ$30"),0))</f>
        <v>213.4955433565388</v>
      </c>
      <c r="K77" s="217">
        <f ca="1">J77-D77</f>
        <v>-7.8955562586701546</v>
      </c>
      <c r="M77" s="106"/>
    </row>
    <row r="78" spans="1:13" x14ac:dyDescent="0.25">
      <c r="A78" s="67"/>
      <c r="B78" s="99" t="str">
        <f t="shared" si="4"/>
        <v>SAPN</v>
      </c>
      <c r="C78" s="3" t="s">
        <v>206</v>
      </c>
      <c r="D78" s="175">
        <f t="array" aca="1" ref="D78" ca="1">INDEX(INDIRECT("'"&amp;$B78&amp;"'!$F$23:$AJ$39"),MATCH($C78,INDIRECT("'"&amp;$B78&amp;"'!$F$23:$F$39"),0),MATCH($B$44&amp;$C$44&amp;D$44&amp;"Cost",INDIRECT("'"&amp;$B78&amp;"'!$F$23:$AJ$23")&amp;INDIRECT("'"&amp;$B78&amp;"'!$F$24:$AJ$24")&amp;INDIRECT("'"&amp;$B78&amp;"'!$F$25:$AJ$25")&amp;INDIRECT("'"&amp;$B78&amp;"'!$F$30:$AJ$30"),0))</f>
        <v>136.52911912437503</v>
      </c>
      <c r="E78" s="216"/>
      <c r="F78" s="216"/>
      <c r="G78" s="216"/>
      <c r="H78" s="216"/>
      <c r="I78" s="216">
        <f ca="1">ABS($J78-$D78)</f>
        <v>29.054579370723332</v>
      </c>
      <c r="J78" s="175">
        <f t="array" aca="1" ref="J78" ca="1">INDEX(INDIRECT("'"&amp;$B78&amp;"'!$F$23:$AJ$39"),MATCH($C78,INDIRECT("'"&amp;$B78&amp;"'!$F$23:$F$39"),0),MATCH($B$44&amp;$C$44&amp;J$44&amp;"Cost",INDIRECT("'"&amp;$B78&amp;"'!$F$23:$AJ$23")&amp;INDIRECT("'"&amp;$B78&amp;"'!$F$24:$AJ$24")&amp;INDIRECT("'"&amp;$B78&amp;"'!$F$25:$AJ$25")&amp;INDIRECT("'"&amp;$B78&amp;"'!$F$30:$AJ$30"),0))</f>
        <v>165.58369849509836</v>
      </c>
      <c r="K78" s="217">
        <f ca="1">J78-D78</f>
        <v>29.054579370723332</v>
      </c>
      <c r="M78" s="106"/>
    </row>
    <row r="79" spans="1:13" x14ac:dyDescent="0.25">
      <c r="A79" s="67"/>
      <c r="B79" s="100" t="str">
        <f>B77</f>
        <v>SAPN</v>
      </c>
      <c r="C79" s="101" t="s">
        <v>134</v>
      </c>
      <c r="D79" s="218">
        <f ca="1">SUM(D73:D78)</f>
        <v>2275.4853187395838</v>
      </c>
      <c r="E79" s="218"/>
      <c r="F79" s="218"/>
      <c r="G79" s="218"/>
      <c r="H79" s="218"/>
      <c r="I79" s="218"/>
      <c r="J79" s="218">
        <f ca="1">SUM(J73:J78)</f>
        <v>2759.7283082516369</v>
      </c>
      <c r="K79" s="235">
        <f ca="1">+J79-D79</f>
        <v>484.2429895120531</v>
      </c>
      <c r="L79" s="234"/>
      <c r="M79" s="110"/>
    </row>
  </sheetData>
  <mergeCells count="1">
    <mergeCell ref="A1:B1"/>
  </mergeCells>
  <conditionalFormatting sqref="B45:K79">
    <cfRule type="expression" dxfId="1307" priority="13">
      <formula>MOD(ROW(),2)=0</formula>
    </cfRule>
  </conditionalFormatting>
  <conditionalFormatting sqref="M52:M57 M59:M64 M66:M71 M73:M78">
    <cfRule type="cellIs" dxfId="1306" priority="11" operator="equal">
      <formula>FALSE</formula>
    </cfRule>
    <cfRule type="cellIs" dxfId="1305" priority="12" operator="equal">
      <formula>TRUE</formula>
    </cfRule>
  </conditionalFormatting>
  <conditionalFormatting sqref="M51">
    <cfRule type="cellIs" dxfId="1304" priority="9" operator="equal">
      <formula>FALSE</formula>
    </cfRule>
    <cfRule type="cellIs" dxfId="1303" priority="10" operator="equal">
      <formula>TRUE</formula>
    </cfRule>
  </conditionalFormatting>
  <conditionalFormatting sqref="M58">
    <cfRule type="cellIs" dxfId="1302" priority="7" operator="equal">
      <formula>FALSE</formula>
    </cfRule>
    <cfRule type="cellIs" dxfId="1301" priority="8" operator="equal">
      <formula>TRUE</formula>
    </cfRule>
  </conditionalFormatting>
  <conditionalFormatting sqref="M65">
    <cfRule type="cellIs" dxfId="1300" priority="5" operator="equal">
      <formula>FALSE</formula>
    </cfRule>
    <cfRule type="cellIs" dxfId="1299" priority="6" operator="equal">
      <formula>TRUE</formula>
    </cfRule>
  </conditionalFormatting>
  <conditionalFormatting sqref="M72">
    <cfRule type="cellIs" dxfId="1298" priority="3" operator="equal">
      <formula>FALSE</formula>
    </cfRule>
    <cfRule type="cellIs" dxfId="1297" priority="4" operator="equal">
      <formula>TRUE</formula>
    </cfRule>
  </conditionalFormatting>
  <conditionalFormatting sqref="M79">
    <cfRule type="cellIs" dxfId="1296" priority="1" operator="equal">
      <formula>FALSE</formula>
    </cfRule>
    <cfRule type="cellIs" dxfId="1295" priority="2" operator="equal">
      <formula>TRUE</formula>
    </cfRule>
  </conditionalFormatting>
  <hyperlinks>
    <hyperlink ref="A1" location="Index!A1" display="&lt;&lt;Back to Index" xr:uid="{A681BB26-242E-4A29-A012-595523F25216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1AF22-FB34-41B8-B03F-08376903D704}">
  <sheetPr>
    <tabColor rgb="FFC06C7C"/>
  </sheetPr>
  <dimension ref="A1:S79"/>
  <sheetViews>
    <sheetView zoomScale="80" zoomScaleNormal="80" workbookViewId="0">
      <selection activeCell="B29" sqref="B29"/>
    </sheetView>
  </sheetViews>
  <sheetFormatPr defaultColWidth="8.85546875" defaultRowHeight="15" x14ac:dyDescent="0.25"/>
  <cols>
    <col min="1" max="1" width="3.140625" style="3" customWidth="1"/>
    <col min="2" max="2" width="10.140625" style="3" bestFit="1" customWidth="1"/>
    <col min="3" max="3" width="17.42578125" style="3" bestFit="1" customWidth="1"/>
    <col min="4" max="4" width="9" style="3" bestFit="1" customWidth="1"/>
    <col min="5" max="5" width="14.140625" style="3" bestFit="1" customWidth="1"/>
    <col min="6" max="6" width="16" style="3" bestFit="1" customWidth="1"/>
    <col min="7" max="7" width="19.5703125" style="3" bestFit="1" customWidth="1"/>
    <col min="8" max="8" width="11.42578125" style="3" bestFit="1" customWidth="1"/>
    <col min="9" max="9" width="16.42578125" style="3" bestFit="1" customWidth="1"/>
    <col min="10" max="10" width="9" style="3" bestFit="1" customWidth="1"/>
    <col min="11" max="11" width="9.85546875" style="3" customWidth="1"/>
    <col min="12" max="24" width="10.85546875" style="3" customWidth="1"/>
    <col min="25" max="25" width="12" style="3" customWidth="1"/>
    <col min="26" max="16384" width="8.85546875" style="3"/>
  </cols>
  <sheetData>
    <row r="1" spans="1:2" ht="10.35" customHeight="1" x14ac:dyDescent="0.25">
      <c r="A1" s="286" t="s">
        <v>21</v>
      </c>
      <c r="B1" s="291"/>
    </row>
    <row r="2" spans="1:2" s="14" customFormat="1" ht="22.5" customHeight="1" x14ac:dyDescent="0.25">
      <c r="A2" s="15" t="s">
        <v>163</v>
      </c>
      <c r="B2" s="15"/>
    </row>
    <row r="3" spans="1:2" x14ac:dyDescent="0.25">
      <c r="B3" s="94" t="s">
        <v>148</v>
      </c>
    </row>
    <row r="41" spans="1:19" x14ac:dyDescent="0.25">
      <c r="B41" s="104" t="s">
        <v>145</v>
      </c>
    </row>
    <row r="44" spans="1:19" s="5" customFormat="1" x14ac:dyDescent="0.25">
      <c r="B44" s="102" t="s">
        <v>83</v>
      </c>
      <c r="C44" s="103" t="s">
        <v>146</v>
      </c>
      <c r="D44" s="212" t="str">
        <f>PY</f>
        <v>2022-23</v>
      </c>
      <c r="E44" s="212" t="s">
        <v>68</v>
      </c>
      <c r="F44" s="212" t="s">
        <v>69</v>
      </c>
      <c r="G44" s="212" t="s">
        <v>70</v>
      </c>
      <c r="H44" s="212" t="s">
        <v>204</v>
      </c>
      <c r="I44" s="212" t="s">
        <v>206</v>
      </c>
      <c r="J44" s="212" t="str">
        <f>FY</f>
        <v>2023-24</v>
      </c>
      <c r="K44" s="213" t="s">
        <v>23</v>
      </c>
      <c r="M44" s="109"/>
    </row>
    <row r="45" spans="1:19" x14ac:dyDescent="0.25">
      <c r="A45" s="67" t="str">
        <f>B45&amp;" "&amp;$B$44&amp;" "&amp;$C$44&amp;" $"</f>
        <v>Ausgrid Small Business without CL $</v>
      </c>
      <c r="B45" s="97" t="s">
        <v>2</v>
      </c>
      <c r="C45" s="98" t="s">
        <v>183</v>
      </c>
      <c r="D45" s="214">
        <v>0</v>
      </c>
      <c r="E45" s="214">
        <f ca="1">IF($K46&lt;0,SUM(D45:D50)+$K46,SUM(D45:D50))</f>
        <v>4359.5307004536126</v>
      </c>
      <c r="F45" s="214">
        <f ca="1">IF($K47&lt;0,IF($K46&lt;0,E45+$K47,E45+$K46+$K47),IF($K46&lt;0,E45,E45+$K46))</f>
        <v>4463.6299034421036</v>
      </c>
      <c r="G45" s="214">
        <f ca="1">IF($K48&lt;0,IF($K47&lt;0,F45+$K48,F45+$K47+$K48),IF($K47&lt;0,F45,F45+$K47))</f>
        <v>5135.6199034421034</v>
      </c>
      <c r="H45" s="214">
        <f ca="1">IF($K49&lt;0,IF($K48&lt;0,G45+$K49,G45+$K48+$K49),IF($K48&lt;0,G45,G45+$K48))</f>
        <v>5089.7168859873336</v>
      </c>
      <c r="I45" s="214">
        <f ca="1">IF($K50&lt;0,IF($K49&lt;0,H45+$K50,H45+$K49+$K50),IF($K49&lt;0,H45,H45+$K49))</f>
        <v>4999.7927635924134</v>
      </c>
      <c r="J45" s="214">
        <v>0</v>
      </c>
      <c r="K45" s="215"/>
      <c r="M45" s="13"/>
      <c r="N45" s="13"/>
      <c r="O45" s="13"/>
      <c r="P45" s="13"/>
      <c r="Q45" s="13"/>
      <c r="R45" s="13"/>
      <c r="S45" s="13"/>
    </row>
    <row r="46" spans="1:19" x14ac:dyDescent="0.25">
      <c r="A46" s="67"/>
      <c r="B46" s="99" t="str">
        <f>B45</f>
        <v>Ausgrid</v>
      </c>
      <c r="C46" s="3" t="s">
        <v>68</v>
      </c>
      <c r="D46" s="175" cm="1">
        <f t="array" aca="1" ref="D46" ca="1">INDEX(INDIRECT("'"&amp;$B46&amp;"'!$F$23:$AJ$39"),MATCH($C46,INDIRECT("'"&amp;$B46&amp;"'!$F$23:$F$39"),0),MATCH($B$44&amp;$C$44&amp;D$44&amp;"Cost",INDIRECT("'"&amp;$B46&amp;"'!$F$23:$AJ$23")&amp;INDIRECT("'"&amp;$B46&amp;"'!$F$24:$AJ$24")&amp;INDIRECT("'"&amp;$B46&amp;"'!$F$25:$AJ$25")&amp;INDIRECT("'"&amp;$B46&amp;"'!$F$30:$AJ$30"),0))</f>
        <v>1408.5695250000003</v>
      </c>
      <c r="E46" s="216">
        <f ca="1">ABS($J46-$D46)</f>
        <v>104.09920298849079</v>
      </c>
      <c r="F46" s="216"/>
      <c r="G46" s="216"/>
      <c r="H46" s="216"/>
      <c r="I46" s="216"/>
      <c r="J46" s="175">
        <f t="array" aca="1" ref="J46" ca="1">INDEX(INDIRECT("'"&amp;$B46&amp;"'!$F$23:$AJ$39"),MATCH($C46,INDIRECT("'"&amp;$B46&amp;"'!$F$23:$F$39"),0),MATCH($B$44&amp;$C$44&amp;J$44&amp;"Cost",INDIRECT("'"&amp;$B46&amp;"'!$F$23:$AJ$23")&amp;INDIRECT("'"&amp;$B46&amp;"'!$F$24:$AJ$24")&amp;INDIRECT("'"&amp;$B46&amp;"'!$F$25:$AJ$25")&amp;INDIRECT("'"&amp;$B46&amp;"'!$F$30:$AJ$30"),0))</f>
        <v>1512.6687279884911</v>
      </c>
      <c r="K46" s="217">
        <f ca="1">J46-D46</f>
        <v>104.09920298849079</v>
      </c>
      <c r="L46" s="96"/>
      <c r="M46" s="13"/>
      <c r="N46" s="13"/>
      <c r="O46" s="13"/>
      <c r="P46" s="13"/>
      <c r="Q46" s="13"/>
      <c r="R46" s="13"/>
      <c r="S46" s="13"/>
    </row>
    <row r="47" spans="1:19" x14ac:dyDescent="0.25">
      <c r="A47" s="67"/>
      <c r="B47" s="99" t="str">
        <f>B46</f>
        <v>Ausgrid</v>
      </c>
      <c r="C47" s="3" t="s">
        <v>69</v>
      </c>
      <c r="D47" s="175" cm="1">
        <f t="array" aca="1" ref="D47" ca="1">INDEX(INDIRECT("'"&amp;$B47&amp;"'!$F$23:$AJ$39"),MATCH($C47,INDIRECT("'"&amp;$B47&amp;"'!$F$23:$F$39"),0),MATCH($B$44&amp;$C$44&amp;D$44&amp;"Cost",INDIRECT("'"&amp;$B47&amp;"'!$F$23:$AJ$23")&amp;INDIRECT("'"&amp;$B47&amp;"'!$F$24:$AJ$24")&amp;INDIRECT("'"&amp;$B47&amp;"'!$F$25:$AJ$25")&amp;INDIRECT("'"&amp;$B47&amp;"'!$F$30:$AJ$30"),0))</f>
        <v>1344.53</v>
      </c>
      <c r="E47" s="216"/>
      <c r="F47" s="216">
        <f ca="1">ABS($J47-$D47)</f>
        <v>693.55</v>
      </c>
      <c r="G47" s="216"/>
      <c r="H47" s="216"/>
      <c r="I47" s="216"/>
      <c r="J47" s="175">
        <f t="array" aca="1" ref="J47" ca="1">INDEX(INDIRECT("'"&amp;$B47&amp;"'!$F$23:$AJ$39"),MATCH($C47,INDIRECT("'"&amp;$B47&amp;"'!$F$23:$F$39"),0),MATCH($B$44&amp;$C$44&amp;J$44&amp;"Cost",INDIRECT("'"&amp;$B47&amp;"'!$F$23:$AJ$23")&amp;INDIRECT("'"&amp;$B47&amp;"'!$F$24:$AJ$24")&amp;INDIRECT("'"&amp;$B47&amp;"'!$F$25:$AJ$25")&amp;INDIRECT("'"&amp;$B47&amp;"'!$F$30:$AJ$30"),0))</f>
        <v>2038.08</v>
      </c>
      <c r="K47" s="217">
        <f ca="1">J47-D47</f>
        <v>693.55</v>
      </c>
      <c r="M47" s="13"/>
      <c r="N47" s="13"/>
      <c r="O47" s="13"/>
      <c r="P47" s="13"/>
      <c r="Q47" s="13"/>
      <c r="R47" s="13"/>
      <c r="S47" s="13"/>
    </row>
    <row r="48" spans="1:19" x14ac:dyDescent="0.25">
      <c r="A48" s="67"/>
      <c r="B48" s="99" t="str">
        <f>B47</f>
        <v>Ausgrid</v>
      </c>
      <c r="C48" s="3" t="s">
        <v>70</v>
      </c>
      <c r="D48" s="175">
        <f t="array" aca="1" ref="D48" ca="1">INDEX(INDIRECT("'"&amp;$B48&amp;"'!$F$23:$AJ$39"),MATCH($C48,INDIRECT("'"&amp;$B48&amp;"'!$F$23:$F$39"),0),MATCH($B$44&amp;$C$44&amp;D$44&amp;"Cost",INDIRECT("'"&amp;$B48&amp;"'!$F$23:$AJ$23")&amp;INDIRECT("'"&amp;$B48&amp;"'!$F$24:$AJ$24")&amp;INDIRECT("'"&amp;$B48&amp;"'!$F$25:$AJ$25")&amp;INDIRECT("'"&amp;$B48&amp;"'!$F$30:$AJ$30"),0))</f>
        <v>227.48000000000002</v>
      </c>
      <c r="E48" s="216"/>
      <c r="F48" s="216"/>
      <c r="G48" s="216">
        <f ca="1">ABS($J48-$D48)</f>
        <v>21.560000000000031</v>
      </c>
      <c r="H48" s="216"/>
      <c r="I48" s="216"/>
      <c r="J48" s="175">
        <f t="array" aca="1" ref="J48" ca="1">INDEX(INDIRECT("'"&amp;$B48&amp;"'!$F$23:$AJ$39"),MATCH($C48,INDIRECT("'"&amp;$B48&amp;"'!$F$23:$F$39"),0),MATCH($B$44&amp;$C$44&amp;J$44&amp;"Cost",INDIRECT("'"&amp;$B48&amp;"'!$F$23:$AJ$23")&amp;INDIRECT("'"&amp;$B48&amp;"'!$F$24:$AJ$24")&amp;INDIRECT("'"&amp;$B48&amp;"'!$F$25:$AJ$25")&amp;INDIRECT("'"&amp;$B48&amp;"'!$F$30:$AJ$30"),0))</f>
        <v>205.92</v>
      </c>
      <c r="K48" s="217">
        <f ca="1">J48-D48</f>
        <v>-21.560000000000031</v>
      </c>
      <c r="M48" s="13"/>
      <c r="N48" s="13"/>
      <c r="O48" s="13"/>
      <c r="P48" s="13"/>
      <c r="Q48" s="13"/>
      <c r="R48" s="13"/>
      <c r="S48" s="13"/>
    </row>
    <row r="49" spans="1:19" x14ac:dyDescent="0.25">
      <c r="A49" s="67"/>
      <c r="B49" s="99" t="str">
        <f t="shared" ref="B49:B50" si="0">B48</f>
        <v>Ausgrid</v>
      </c>
      <c r="C49" s="3" t="s">
        <v>204</v>
      </c>
      <c r="D49" s="175">
        <f t="array" aca="1" ref="D49" ca="1">INDEX(INDIRECT("'"&amp;$B49&amp;"'!$F$23:$AJ$39"),MATCH($C49,INDIRECT("'"&amp;$B49&amp;"'!$F$23:$F$39"),0),MATCH($B$44&amp;$C$44&amp;D$44&amp;"Cost",INDIRECT("'"&amp;$B49&amp;"'!$F$23:$AJ$23")&amp;INDIRECT("'"&amp;$B49&amp;"'!$F$24:$AJ$24")&amp;INDIRECT("'"&amp;$B49&amp;"'!$F$25:$AJ$25")&amp;INDIRECT("'"&amp;$B49&amp;"'!$F$30:$AJ$30"),0))</f>
        <v>289.06850034020903</v>
      </c>
      <c r="E49" s="216"/>
      <c r="F49" s="216"/>
      <c r="G49" s="216"/>
      <c r="H49" s="216">
        <f ca="1">ABS($J49-$D49)</f>
        <v>45.903017454769667</v>
      </c>
      <c r="I49" s="216"/>
      <c r="J49" s="175">
        <f t="array" aca="1" ref="J49" ca="1">INDEX(INDIRECT("'"&amp;$B49&amp;"'!$F$23:$AJ$39"),MATCH($C49,INDIRECT("'"&amp;$B49&amp;"'!$F$23:$F$39"),0),MATCH($B$44&amp;$C$44&amp;J$44&amp;"Cost",INDIRECT("'"&amp;$B49&amp;"'!$F$23:$AJ$23")&amp;INDIRECT("'"&amp;$B49&amp;"'!$F$24:$AJ$24")&amp;INDIRECT("'"&amp;$B49&amp;"'!$F$25:$AJ$25")&amp;INDIRECT("'"&amp;$B49&amp;"'!$F$30:$AJ$30"),0))</f>
        <v>243.16548288543936</v>
      </c>
      <c r="K49" s="217">
        <f ca="1">J49-D49</f>
        <v>-45.903017454769667</v>
      </c>
      <c r="M49" s="13"/>
      <c r="N49" s="13"/>
      <c r="O49" s="13"/>
      <c r="P49" s="13"/>
      <c r="Q49" s="13"/>
      <c r="R49" s="13"/>
      <c r="S49" s="13"/>
    </row>
    <row r="50" spans="1:19" x14ac:dyDescent="0.25">
      <c r="A50" s="67"/>
      <c r="B50" s="99" t="str">
        <f t="shared" si="0"/>
        <v>Ausgrid</v>
      </c>
      <c r="C50" s="3" t="s">
        <v>206</v>
      </c>
      <c r="D50" s="175">
        <f t="array" aca="1" ref="D50" ca="1">INDEX(INDIRECT("'"&amp;$B50&amp;"'!$F$23:$AJ$39"),MATCH($C50,INDIRECT("'"&amp;$B50&amp;"'!$F$23:$F$39"),0),MATCH($B$44&amp;$C$44&amp;D$44&amp;"Cost",INDIRECT("'"&amp;$B50&amp;"'!$F$23:$AJ$23")&amp;INDIRECT("'"&amp;$B50&amp;"'!$F$24:$AJ$24")&amp;INDIRECT("'"&amp;$B50&amp;"'!$F$25:$AJ$25")&amp;INDIRECT("'"&amp;$B50&amp;"'!$F$30:$AJ$30"),0))</f>
        <v>1089.8826751134029</v>
      </c>
      <c r="E50" s="216"/>
      <c r="F50" s="216"/>
      <c r="G50" s="216"/>
      <c r="H50" s="216"/>
      <c r="I50" s="216">
        <f ca="1">ABS($J50-$D50)</f>
        <v>89.924122394920687</v>
      </c>
      <c r="J50" s="175">
        <f t="array" aca="1" ref="J50" ca="1">INDEX(INDIRECT("'"&amp;$B50&amp;"'!$F$23:$AJ$39"),MATCH($C50,INDIRECT("'"&amp;$B50&amp;"'!$F$23:$F$39"),0),MATCH($B$44&amp;$C$44&amp;J$44&amp;"Cost",INDIRECT("'"&amp;$B50&amp;"'!$F$23:$AJ$23")&amp;INDIRECT("'"&amp;$B50&amp;"'!$F$24:$AJ$24")&amp;INDIRECT("'"&amp;$B50&amp;"'!$F$25:$AJ$25")&amp;INDIRECT("'"&amp;$B50&amp;"'!$F$30:$AJ$30"),0))</f>
        <v>999.95855271848222</v>
      </c>
      <c r="K50" s="217">
        <f ca="1">J50-D50</f>
        <v>-89.924122394920687</v>
      </c>
      <c r="M50" s="13"/>
      <c r="N50" s="13"/>
      <c r="O50" s="13"/>
      <c r="P50" s="13"/>
      <c r="Q50" s="13"/>
      <c r="R50" s="13"/>
      <c r="S50" s="13"/>
    </row>
    <row r="51" spans="1:19" x14ac:dyDescent="0.25">
      <c r="A51" s="67"/>
      <c r="B51" s="100" t="str">
        <f>B49</f>
        <v>Ausgrid</v>
      </c>
      <c r="C51" s="101" t="s">
        <v>134</v>
      </c>
      <c r="D51" s="218">
        <f ca="1">SUM(D45:D50)</f>
        <v>4359.5307004536126</v>
      </c>
      <c r="E51" s="218"/>
      <c r="F51" s="218"/>
      <c r="G51" s="218"/>
      <c r="H51" s="218"/>
      <c r="I51" s="218"/>
      <c r="J51" s="218">
        <f ca="1">SUM(J45:J50)</f>
        <v>4999.7927635924125</v>
      </c>
      <c r="K51" s="217">
        <f ca="1">+J51-D51</f>
        <v>640.26206313879993</v>
      </c>
      <c r="L51" s="234"/>
      <c r="M51" s="110"/>
      <c r="N51" s="13"/>
      <c r="O51" s="13"/>
      <c r="P51" s="13"/>
      <c r="Q51" s="13"/>
      <c r="R51" s="13"/>
      <c r="S51" s="13"/>
    </row>
    <row r="52" spans="1:19" x14ac:dyDescent="0.25">
      <c r="A52" s="67" t="str">
        <f>B52&amp;" "&amp;$B$44&amp;" "&amp;$C$44&amp;" $"</f>
        <v>Endeavour Small Business without CL $</v>
      </c>
      <c r="B52" s="97" t="s">
        <v>4</v>
      </c>
      <c r="C52" s="98" t="s">
        <v>183</v>
      </c>
      <c r="D52" s="214">
        <v>0</v>
      </c>
      <c r="E52" s="214">
        <f ca="1">IF($K53&lt;0,SUM(D52:D57)+$K53,SUM(D52:D57))</f>
        <v>3782.35148086356</v>
      </c>
      <c r="F52" s="214">
        <f ca="1">IF($K54&lt;0,IF($K53&lt;0,E52+$K54,E52+$K53+$K54),IF($K53&lt;0,E52,E52+$K53))</f>
        <v>3800.6928036596901</v>
      </c>
      <c r="G52" s="214">
        <f ca="1">IF($K55&lt;0,IF($K54&lt;0,F52+$K55,F52+$K54+$K55),IF($K54&lt;0,F52,F52+$K54))</f>
        <v>4491.3828036596897</v>
      </c>
      <c r="H52" s="214">
        <f ca="1">IF($K56&lt;0,IF($K55&lt;0,G52+$K56,G52+$K55+$K56),IF($K55&lt;0,G52,G52+$K55))</f>
        <v>4437.2560746609997</v>
      </c>
      <c r="I52" s="214">
        <f ca="1">IF($K57&lt;0,IF($K56&lt;0,H52+$K57,H52+$K56+$K57),IF($K56&lt;0,H52,H52+$K56))</f>
        <v>4437.2560746609997</v>
      </c>
      <c r="J52" s="214">
        <v>0</v>
      </c>
      <c r="K52" s="215"/>
      <c r="M52" s="106"/>
    </row>
    <row r="53" spans="1:19" x14ac:dyDescent="0.25">
      <c r="A53" s="67"/>
      <c r="B53" s="99" t="str">
        <f>B52</f>
        <v>Endeavour</v>
      </c>
      <c r="C53" s="3" t="s">
        <v>68</v>
      </c>
      <c r="D53" s="175">
        <f t="array" aca="1" ref="D53" ca="1">INDEX(INDIRECT("'"&amp;$B53&amp;"'!$F$23:$AJ$39"),MATCH($C53,INDIRECT("'"&amp;$B53&amp;"'!$F$23:$F$39"),0),MATCH($B$44&amp;$C$44&amp;D$44&amp;"Cost",INDIRECT("'"&amp;$B53&amp;"'!$F$23:$AJ$23")&amp;INDIRECT("'"&amp;$B53&amp;"'!$F$24:$AJ$24")&amp;INDIRECT("'"&amp;$B53&amp;"'!$F$25:$AJ$25")&amp;INDIRECT("'"&amp;$B53&amp;"'!$F$30:$AJ$30"),0))</f>
        <v>1262.7708500000001</v>
      </c>
      <c r="E53" s="216">
        <f ca="1">ABS($J53-$D53)</f>
        <v>18.341322796129816</v>
      </c>
      <c r="F53" s="216"/>
      <c r="G53" s="216"/>
      <c r="H53" s="216"/>
      <c r="I53" s="216"/>
      <c r="J53" s="175">
        <f t="array" aca="1" ref="J53" ca="1">INDEX(INDIRECT("'"&amp;$B53&amp;"'!$F$23:$AJ$39"),MATCH($C53,INDIRECT("'"&amp;$B53&amp;"'!$F$23:$F$39"),0),MATCH($B$44&amp;$C$44&amp;J$44&amp;"Cost",INDIRECT("'"&amp;$B53&amp;"'!$F$23:$AJ$23")&amp;INDIRECT("'"&amp;$B53&amp;"'!$F$24:$AJ$24")&amp;INDIRECT("'"&amp;$B53&amp;"'!$F$25:$AJ$25")&amp;INDIRECT("'"&amp;$B53&amp;"'!$F$30:$AJ$30"),0))</f>
        <v>1281.1121727961299</v>
      </c>
      <c r="K53" s="217">
        <f ca="1">J53-D53</f>
        <v>18.341322796129816</v>
      </c>
      <c r="M53" s="106"/>
    </row>
    <row r="54" spans="1:19" x14ac:dyDescent="0.25">
      <c r="A54" s="67"/>
      <c r="B54" s="99" t="str">
        <f>B53</f>
        <v>Endeavour</v>
      </c>
      <c r="C54" s="3" t="s">
        <v>69</v>
      </c>
      <c r="D54" s="175">
        <f t="array" aca="1" ref="D54" ca="1">INDEX(INDIRECT("'"&amp;$B54&amp;"'!$F$23:$AJ$39"),MATCH($C54,INDIRECT("'"&amp;$B54&amp;"'!$F$23:$F$39"),0),MATCH($B$44&amp;$C$44&amp;D$44&amp;"Cost",INDIRECT("'"&amp;$B54&amp;"'!$F$23:$AJ$23")&amp;INDIRECT("'"&amp;$B54&amp;"'!$F$24:$AJ$24")&amp;INDIRECT("'"&amp;$B54&amp;"'!$F$25:$AJ$25")&amp;INDIRECT("'"&amp;$B54&amp;"'!$F$30:$AJ$30"),0))</f>
        <v>1366.75</v>
      </c>
      <c r="E54" s="216"/>
      <c r="F54" s="216">
        <f ca="1">ABS($J54-$D54)</f>
        <v>712.02999999999975</v>
      </c>
      <c r="G54" s="216"/>
      <c r="H54" s="216"/>
      <c r="I54" s="216"/>
      <c r="J54" s="175">
        <f t="array" aca="1" ref="J54" ca="1">INDEX(INDIRECT("'"&amp;$B54&amp;"'!$F$23:$AJ$39"),MATCH($C54,INDIRECT("'"&amp;$B54&amp;"'!$F$23:$F$39"),0),MATCH($B$44&amp;$C$44&amp;J$44&amp;"Cost",INDIRECT("'"&amp;$B54&amp;"'!$F$23:$AJ$23")&amp;INDIRECT("'"&amp;$B54&amp;"'!$F$24:$AJ$24")&amp;INDIRECT("'"&amp;$B54&amp;"'!$F$25:$AJ$25")&amp;INDIRECT("'"&amp;$B54&amp;"'!$F$30:$AJ$30"),0))</f>
        <v>2078.7799999999997</v>
      </c>
      <c r="K54" s="217">
        <f ca="1">J54-D54</f>
        <v>712.02999999999975</v>
      </c>
      <c r="M54" s="106"/>
    </row>
    <row r="55" spans="1:19" x14ac:dyDescent="0.25">
      <c r="A55" s="67"/>
      <c r="B55" s="99" t="str">
        <f>B54</f>
        <v>Endeavour</v>
      </c>
      <c r="C55" s="3" t="s">
        <v>70</v>
      </c>
      <c r="D55" s="175">
        <f t="array" aca="1" ref="D55" ca="1">INDEX(INDIRECT("'"&amp;$B55&amp;"'!$F$23:$AJ$39"),MATCH($C55,INDIRECT("'"&amp;$B55&amp;"'!$F$23:$F$39"),0),MATCH($B$44&amp;$C$44&amp;D$44&amp;"Cost",INDIRECT("'"&amp;$B55&amp;"'!$F$23:$AJ$23")&amp;INDIRECT("'"&amp;$B55&amp;"'!$F$24:$AJ$24")&amp;INDIRECT("'"&amp;$B55&amp;"'!$F$25:$AJ$25")&amp;INDIRECT("'"&amp;$B55&amp;"'!$F$30:$AJ$30"),0))</f>
        <v>229.01999999999998</v>
      </c>
      <c r="E55" s="216"/>
      <c r="F55" s="216"/>
      <c r="G55" s="216">
        <f ca="1">ABS($J55-$D55)</f>
        <v>21.339999999999975</v>
      </c>
      <c r="H55" s="216"/>
      <c r="I55" s="216"/>
      <c r="J55" s="175">
        <f t="array" aca="1" ref="J55" ca="1">INDEX(INDIRECT("'"&amp;$B55&amp;"'!$F$23:$AJ$39"),MATCH($C55,INDIRECT("'"&amp;$B55&amp;"'!$F$23:$F$39"),0),MATCH($B$44&amp;$C$44&amp;J$44&amp;"Cost",INDIRECT("'"&amp;$B55&amp;"'!$F$23:$AJ$23")&amp;INDIRECT("'"&amp;$B55&amp;"'!$F$24:$AJ$24")&amp;INDIRECT("'"&amp;$B55&amp;"'!$F$25:$AJ$25")&amp;INDIRECT("'"&amp;$B55&amp;"'!$F$30:$AJ$30"),0))</f>
        <v>207.68</v>
      </c>
      <c r="K55" s="217">
        <f ca="1">J55-D55</f>
        <v>-21.339999999999975</v>
      </c>
      <c r="M55" s="106"/>
    </row>
    <row r="56" spans="1:19" x14ac:dyDescent="0.25">
      <c r="A56" s="67"/>
      <c r="B56" s="99" t="str">
        <f t="shared" ref="B56:B57" si="1">B55</f>
        <v>Endeavour</v>
      </c>
      <c r="C56" s="3" t="s">
        <v>204</v>
      </c>
      <c r="D56" s="175">
        <f t="array" aca="1" ref="D56" ca="1">INDEX(INDIRECT("'"&amp;$B56&amp;"'!$F$23:$AJ$39"),MATCH($C56,INDIRECT("'"&amp;$B56&amp;"'!$F$23:$F$39"),0),MATCH($B$44&amp;$C$44&amp;D$44&amp;"Cost",INDIRECT("'"&amp;$B56&amp;"'!$F$23:$AJ$23")&amp;INDIRECT("'"&amp;$B56&amp;"'!$F$24:$AJ$24")&amp;INDIRECT("'"&amp;$B56&amp;"'!$F$25:$AJ$25")&amp;INDIRECT("'"&amp;$B56&amp;"'!$F$30:$AJ$30"),0))</f>
        <v>295.94028504020901</v>
      </c>
      <c r="E56" s="216"/>
      <c r="F56" s="216"/>
      <c r="G56" s="216"/>
      <c r="H56" s="216">
        <f ca="1">ABS($J56-$D56)</f>
        <v>54.126728998689771</v>
      </c>
      <c r="I56" s="216"/>
      <c r="J56" s="175">
        <f t="array" aca="1" ref="J56" ca="1">INDEX(INDIRECT("'"&amp;$B56&amp;"'!$F$23:$AJ$39"),MATCH($C56,INDIRECT("'"&amp;$B56&amp;"'!$F$23:$F$39"),0),MATCH($B$44&amp;$C$44&amp;J$44&amp;"Cost",INDIRECT("'"&amp;$B56&amp;"'!$F$23:$AJ$23")&amp;INDIRECT("'"&amp;$B56&amp;"'!$F$24:$AJ$24")&amp;INDIRECT("'"&amp;$B56&amp;"'!$F$25:$AJ$25")&amp;INDIRECT("'"&amp;$B56&amp;"'!$F$30:$AJ$30"),0))</f>
        <v>241.81355604151923</v>
      </c>
      <c r="K56" s="217">
        <f ca="1">J56-D56</f>
        <v>-54.126728998689771</v>
      </c>
      <c r="M56" s="106"/>
    </row>
    <row r="57" spans="1:19" x14ac:dyDescent="0.25">
      <c r="A57" s="67"/>
      <c r="B57" s="99" t="str">
        <f t="shared" si="1"/>
        <v>Endeavour</v>
      </c>
      <c r="C57" s="3" t="s">
        <v>206</v>
      </c>
      <c r="D57" s="175">
        <f t="array" aca="1" ref="D57" ca="1">INDEX(INDIRECT("'"&amp;$B57&amp;"'!$F$23:$AJ$39"),MATCH($C57,INDIRECT("'"&amp;$B57&amp;"'!$F$23:$F$39"),0),MATCH($B$44&amp;$C$44&amp;D$44&amp;"Cost",INDIRECT("'"&amp;$B57&amp;"'!$F$23:$AJ$23")&amp;INDIRECT("'"&amp;$B57&amp;"'!$F$24:$AJ$24")&amp;INDIRECT("'"&amp;$B57&amp;"'!$F$25:$AJ$25")&amp;INDIRECT("'"&amp;$B57&amp;"'!$F$30:$AJ$30"),0))</f>
        <v>627.87034582335127</v>
      </c>
      <c r="E57" s="216"/>
      <c r="F57" s="216"/>
      <c r="G57" s="216"/>
      <c r="H57" s="216"/>
      <c r="I57" s="216">
        <f ca="1">ABS($J57-$D57)</f>
        <v>97.726935860010144</v>
      </c>
      <c r="J57" s="175">
        <f t="array" aca="1" ref="J57" ca="1">INDEX(INDIRECT("'"&amp;$B57&amp;"'!$F$23:$AJ$39"),MATCH($C57,INDIRECT("'"&amp;$B57&amp;"'!$F$23:$F$39"),0),MATCH($B$44&amp;$C$44&amp;J$44&amp;"Cost",INDIRECT("'"&amp;$B57&amp;"'!$F$23:$AJ$23")&amp;INDIRECT("'"&amp;$B57&amp;"'!$F$24:$AJ$24")&amp;INDIRECT("'"&amp;$B57&amp;"'!$F$25:$AJ$25")&amp;INDIRECT("'"&amp;$B57&amp;"'!$F$30:$AJ$30"),0))</f>
        <v>725.59728168336142</v>
      </c>
      <c r="K57" s="217">
        <f ca="1">J57-D57</f>
        <v>97.726935860010144</v>
      </c>
      <c r="M57" s="106"/>
    </row>
    <row r="58" spans="1:19" x14ac:dyDescent="0.25">
      <c r="A58" s="67"/>
      <c r="B58" s="100" t="str">
        <f>B56</f>
        <v>Endeavour</v>
      </c>
      <c r="C58" s="101" t="s">
        <v>134</v>
      </c>
      <c r="D58" s="218">
        <f ca="1">SUM(D52:D57)</f>
        <v>3782.35148086356</v>
      </c>
      <c r="E58" s="218"/>
      <c r="F58" s="218"/>
      <c r="G58" s="218"/>
      <c r="H58" s="218"/>
      <c r="I58" s="218"/>
      <c r="J58" s="218">
        <f ca="1">SUM(J52:J57)</f>
        <v>4534.9830105210103</v>
      </c>
      <c r="K58" s="217">
        <f ca="1">+J58-D58</f>
        <v>752.6315296574503</v>
      </c>
      <c r="L58" s="234"/>
      <c r="M58" s="110"/>
    </row>
    <row r="59" spans="1:19" x14ac:dyDescent="0.25">
      <c r="A59" s="67" t="str">
        <f>B59&amp;" "&amp;$B$44&amp;" "&amp;$C$44&amp;" $"</f>
        <v>Essential Small Business without CL $</v>
      </c>
      <c r="B59" s="97" t="s">
        <v>3</v>
      </c>
      <c r="C59" s="98" t="s">
        <v>183</v>
      </c>
      <c r="D59" s="214">
        <v>0</v>
      </c>
      <c r="E59" s="214">
        <f ca="1">IF($K60&lt;0,SUM(D59:D64)+$K60,SUM(D59:D64))</f>
        <v>4901.0203471175773</v>
      </c>
      <c r="F59" s="214">
        <f ca="1">IF($K61&lt;0,IF($K60&lt;0,E59+$K61,E59+$K60+$K61),IF($K60&lt;0,E59,E59+$K60))</f>
        <v>5126.6304416312796</v>
      </c>
      <c r="G59" s="214">
        <f ca="1">IF($K62&lt;0,IF($K61&lt;0,F59+$K62,F59+$K61+$K62),IF($K61&lt;0,F59,F59+$K61))</f>
        <v>5784.1004416312799</v>
      </c>
      <c r="H59" s="214">
        <f ca="1">IF($K63&lt;0,IF($K62&lt;0,G59+$K63,G59+$K62+$K63),IF($K62&lt;0,G59,G59+$K62))</f>
        <v>5745.9307441396186</v>
      </c>
      <c r="I59" s="214">
        <f ca="1">IF($K64&lt;0,IF($K63&lt;0,H59+$K64,H59+$K63+$K64),IF($K63&lt;0,H59,H59+$K63))</f>
        <v>5745.9307441396186</v>
      </c>
      <c r="J59" s="214">
        <v>0</v>
      </c>
      <c r="K59" s="215"/>
      <c r="M59" s="106"/>
    </row>
    <row r="60" spans="1:19" x14ac:dyDescent="0.25">
      <c r="A60" s="67"/>
      <c r="B60" s="99" t="str">
        <f>B59</f>
        <v>Essential</v>
      </c>
      <c r="C60" s="3" t="s">
        <v>68</v>
      </c>
      <c r="D60" s="175">
        <f t="array" aca="1" ref="D60" ca="1">INDEX(INDIRECT("'"&amp;$B60&amp;"'!$F$23:$AJ$39"),MATCH($C60,INDIRECT("'"&amp;$B60&amp;"'!$F$23:$F$39"),0),MATCH($B$44&amp;$C$44&amp;D$44&amp;"Cost",INDIRECT("'"&amp;$B60&amp;"'!$F$23:$AJ$23")&amp;INDIRECT("'"&amp;$B60&amp;"'!$F$24:$AJ$24")&amp;INDIRECT("'"&amp;$B60&amp;"'!$F$25:$AJ$25")&amp;INDIRECT("'"&amp;$B60&amp;"'!$F$30:$AJ$30"),0))</f>
        <v>2122.8972600000002</v>
      </c>
      <c r="E60" s="216">
        <f ca="1">ABS($J60-$D60)</f>
        <v>225.61009451370228</v>
      </c>
      <c r="F60" s="216"/>
      <c r="G60" s="216"/>
      <c r="H60" s="216"/>
      <c r="I60" s="216"/>
      <c r="J60" s="175">
        <f t="array" aca="1" ref="J60" ca="1">INDEX(INDIRECT("'"&amp;$B60&amp;"'!$F$23:$AJ$39"),MATCH($C60,INDIRECT("'"&amp;$B60&amp;"'!$F$23:$F$39"),0),MATCH($B$44&amp;$C$44&amp;J$44&amp;"Cost",INDIRECT("'"&amp;$B60&amp;"'!$F$23:$AJ$23")&amp;INDIRECT("'"&amp;$B60&amp;"'!$F$24:$AJ$24")&amp;INDIRECT("'"&amp;$B60&amp;"'!$F$25:$AJ$25")&amp;INDIRECT("'"&amp;$B60&amp;"'!$F$30:$AJ$30"),0))</f>
        <v>2348.5073545137025</v>
      </c>
      <c r="K60" s="217">
        <f ca="1">J60-D60</f>
        <v>225.61009451370228</v>
      </c>
      <c r="M60" s="106"/>
    </row>
    <row r="61" spans="1:19" x14ac:dyDescent="0.25">
      <c r="A61" s="67"/>
      <c r="B61" s="99" t="str">
        <f>B60</f>
        <v>Essential</v>
      </c>
      <c r="C61" s="3" t="s">
        <v>69</v>
      </c>
      <c r="D61" s="175">
        <f t="array" aca="1" ref="D61" ca="1">INDEX(INDIRECT("'"&amp;$B61&amp;"'!$F$23:$AJ$39"),MATCH($C61,INDIRECT("'"&amp;$B61&amp;"'!$F$23:$F$39"),0),MATCH($B$44&amp;$C$44&amp;D$44&amp;"Cost",INDIRECT("'"&amp;$B61&amp;"'!$F$23:$AJ$23")&amp;INDIRECT("'"&amp;$B61&amp;"'!$F$24:$AJ$24")&amp;INDIRECT("'"&amp;$B61&amp;"'!$F$25:$AJ$25")&amp;INDIRECT("'"&amp;$B61&amp;"'!$F$30:$AJ$30"),0))</f>
        <v>1275.67</v>
      </c>
      <c r="E61" s="216"/>
      <c r="F61" s="216">
        <f ca="1">ABS($J61-$D61)</f>
        <v>679.8</v>
      </c>
      <c r="G61" s="216"/>
      <c r="H61" s="216"/>
      <c r="I61" s="216"/>
      <c r="J61" s="175">
        <f t="array" aca="1" ref="J61" ca="1">INDEX(INDIRECT("'"&amp;$B61&amp;"'!$F$23:$AJ$39"),MATCH($C61,INDIRECT("'"&amp;$B61&amp;"'!$F$23:$F$39"),0),MATCH($B$44&amp;$C$44&amp;J$44&amp;"Cost",INDIRECT("'"&amp;$B61&amp;"'!$F$23:$AJ$23")&amp;INDIRECT("'"&amp;$B61&amp;"'!$F$24:$AJ$24")&amp;INDIRECT("'"&amp;$B61&amp;"'!$F$25:$AJ$25")&amp;INDIRECT("'"&amp;$B61&amp;"'!$F$30:$AJ$30"),0))</f>
        <v>1955.47</v>
      </c>
      <c r="K61" s="217">
        <f ca="1">J61-D61</f>
        <v>679.8</v>
      </c>
      <c r="M61" s="106"/>
    </row>
    <row r="62" spans="1:19" x14ac:dyDescent="0.25">
      <c r="A62" s="67"/>
      <c r="B62" s="99" t="str">
        <f>B61</f>
        <v>Essential</v>
      </c>
      <c r="C62" s="3" t="s">
        <v>70</v>
      </c>
      <c r="D62" s="175">
        <f t="array" aca="1" ref="D62" ca="1">INDEX(INDIRECT("'"&amp;$B62&amp;"'!$F$23:$AJ$39"),MATCH($C62,INDIRECT("'"&amp;$B62&amp;"'!$F$23:$F$39"),0),MATCH($B$44&amp;$C$44&amp;D$44&amp;"Cost",INDIRECT("'"&amp;$B62&amp;"'!$F$23:$AJ$23")&amp;INDIRECT("'"&amp;$B62&amp;"'!$F$24:$AJ$24")&amp;INDIRECT("'"&amp;$B62&amp;"'!$F$25:$AJ$25")&amp;INDIRECT("'"&amp;$B62&amp;"'!$F$30:$AJ$30"),0))</f>
        <v>224.95</v>
      </c>
      <c r="E62" s="216"/>
      <c r="F62" s="216"/>
      <c r="G62" s="216">
        <f ca="1">ABS($J62-$D62)</f>
        <v>22.329999999999984</v>
      </c>
      <c r="H62" s="216"/>
      <c r="I62" s="216"/>
      <c r="J62" s="175">
        <f t="array" aca="1" ref="J62" ca="1">INDEX(INDIRECT("'"&amp;$B62&amp;"'!$F$23:$AJ$39"),MATCH($C62,INDIRECT("'"&amp;$B62&amp;"'!$F$23:$F$39"),0),MATCH($B$44&amp;$C$44&amp;J$44&amp;"Cost",INDIRECT("'"&amp;$B62&amp;"'!$F$23:$AJ$23")&amp;INDIRECT("'"&amp;$B62&amp;"'!$F$24:$AJ$24")&amp;INDIRECT("'"&amp;$B62&amp;"'!$F$25:$AJ$25")&amp;INDIRECT("'"&amp;$B62&amp;"'!$F$30:$AJ$30"),0))</f>
        <v>202.62</v>
      </c>
      <c r="K62" s="217">
        <f ca="1">J62-D62</f>
        <v>-22.329999999999984</v>
      </c>
      <c r="M62" s="106"/>
    </row>
    <row r="63" spans="1:19" x14ac:dyDescent="0.25">
      <c r="A63" s="67"/>
      <c r="B63" s="99" t="str">
        <f t="shared" ref="B63:B64" si="2">B62</f>
        <v>Essential</v>
      </c>
      <c r="C63" s="3" t="s">
        <v>204</v>
      </c>
      <c r="D63" s="175">
        <f t="array" aca="1" ref="D63" ca="1">INDEX(INDIRECT("'"&amp;$B63&amp;"'!$F$23:$AJ$39"),MATCH($C63,INDIRECT("'"&amp;$B63&amp;"'!$F$23:$F$39"),0),MATCH($B$44&amp;$C$44&amp;D$44&amp;"Cost",INDIRECT("'"&amp;$B63&amp;"'!$F$23:$AJ$23")&amp;INDIRECT("'"&amp;$B63&amp;"'!$F$24:$AJ$24")&amp;INDIRECT("'"&amp;$B63&amp;"'!$F$25:$AJ$25")&amp;INDIRECT("'"&amp;$B63&amp;"'!$F$30:$AJ$30"),0))</f>
        <v>282.59595665270899</v>
      </c>
      <c r="E63" s="216"/>
      <c r="F63" s="216"/>
      <c r="G63" s="216"/>
      <c r="H63" s="216">
        <f ca="1">ABS($J63-$D63)</f>
        <v>38.169697491661452</v>
      </c>
      <c r="I63" s="216"/>
      <c r="J63" s="175">
        <f t="array" aca="1" ref="J63" ca="1">INDEX(INDIRECT("'"&amp;$B63&amp;"'!$F$23:$AJ$39"),MATCH($C63,INDIRECT("'"&amp;$B63&amp;"'!$F$23:$F$39"),0),MATCH($B$44&amp;$C$44&amp;J$44&amp;"Cost",INDIRECT("'"&amp;$B63&amp;"'!$F$23:$AJ$23")&amp;INDIRECT("'"&amp;$B63&amp;"'!$F$24:$AJ$24")&amp;INDIRECT("'"&amp;$B63&amp;"'!$F$25:$AJ$25")&amp;INDIRECT("'"&amp;$B63&amp;"'!$F$30:$AJ$30"),0))</f>
        <v>244.42625916104754</v>
      </c>
      <c r="K63" s="217">
        <f ca="1">J63-D63</f>
        <v>-38.169697491661452</v>
      </c>
      <c r="M63" s="106"/>
    </row>
    <row r="64" spans="1:19" x14ac:dyDescent="0.25">
      <c r="A64" s="67"/>
      <c r="B64" s="99" t="str">
        <f t="shared" si="2"/>
        <v>Essential</v>
      </c>
      <c r="C64" s="3" t="s">
        <v>206</v>
      </c>
      <c r="D64" s="175">
        <f t="array" aca="1" ref="D64" ca="1">INDEX(INDIRECT("'"&amp;$B64&amp;"'!$F$23:$AJ$39"),MATCH($C64,INDIRECT("'"&amp;$B64&amp;"'!$F$23:$F$39"),0),MATCH($B$44&amp;$C$44&amp;D$44&amp;"Cost",INDIRECT("'"&amp;$B64&amp;"'!$F$23:$AJ$23")&amp;INDIRECT("'"&amp;$B64&amp;"'!$F$24:$AJ$24")&amp;INDIRECT("'"&amp;$B64&amp;"'!$F$25:$AJ$25")&amp;INDIRECT("'"&amp;$B64&amp;"'!$F$30:$AJ$30"),0))</f>
        <v>994.90713046486826</v>
      </c>
      <c r="E64" s="216"/>
      <c r="F64" s="216"/>
      <c r="G64" s="216"/>
      <c r="H64" s="216"/>
      <c r="I64" s="216">
        <f ca="1">ABS($J64-$D64)</f>
        <v>12.885757284321244</v>
      </c>
      <c r="J64" s="175">
        <f t="array" aca="1" ref="J64" ca="1">INDEX(INDIRECT("'"&amp;$B64&amp;"'!$F$23:$AJ$39"),MATCH($C64,INDIRECT("'"&amp;$B64&amp;"'!$F$23:$F$39"),0),MATCH($B$44&amp;$C$44&amp;J$44&amp;"Cost",INDIRECT("'"&amp;$B64&amp;"'!$F$23:$AJ$23")&amp;INDIRECT("'"&amp;$B64&amp;"'!$F$24:$AJ$24")&amp;INDIRECT("'"&amp;$B64&amp;"'!$F$25:$AJ$25")&amp;INDIRECT("'"&amp;$B64&amp;"'!$F$30:$AJ$30"),0))</f>
        <v>1007.7928877491895</v>
      </c>
      <c r="K64" s="217">
        <f ca="1">J64-D64</f>
        <v>12.885757284321244</v>
      </c>
      <c r="M64" s="106"/>
    </row>
    <row r="65" spans="1:13" x14ac:dyDescent="0.25">
      <c r="A65" s="67"/>
      <c r="B65" s="100" t="str">
        <f>B63</f>
        <v>Essential</v>
      </c>
      <c r="C65" s="101" t="s">
        <v>134</v>
      </c>
      <c r="D65" s="218">
        <f ca="1">SUM(D59:D64)</f>
        <v>4901.0203471175773</v>
      </c>
      <c r="E65" s="218"/>
      <c r="F65" s="218"/>
      <c r="G65" s="218"/>
      <c r="H65" s="218"/>
      <c r="I65" s="218"/>
      <c r="J65" s="218">
        <f ca="1">SUM(J59:J64)</f>
        <v>5758.8165014239394</v>
      </c>
      <c r="K65" s="217">
        <f ca="1">+J65-D65</f>
        <v>857.79615430636204</v>
      </c>
      <c r="L65" s="234"/>
      <c r="M65" s="110"/>
    </row>
    <row r="66" spans="1:13" x14ac:dyDescent="0.25">
      <c r="A66" s="67" t="str">
        <f>B66&amp;" "&amp;$B$44&amp;" "&amp;$C$44&amp;" $"</f>
        <v>Energex Small Business without CL $</v>
      </c>
      <c r="B66" s="97" t="s">
        <v>0</v>
      </c>
      <c r="C66" s="98" t="s">
        <v>183</v>
      </c>
      <c r="D66" s="214">
        <v>0</v>
      </c>
      <c r="E66" s="214">
        <f ca="1">IF($K67&lt;0,SUM(D66:D71)+$K67,SUM(D66:D71))</f>
        <v>3445.9377744912158</v>
      </c>
      <c r="F66" s="214">
        <f ca="1">IF($K68&lt;0,IF($K67&lt;0,E66+$K68,E66+$K67+$K68),IF($K67&lt;0,E66,E66+$K67))</f>
        <v>3495.2198740545346</v>
      </c>
      <c r="G66" s="214">
        <f ca="1">IF($K69&lt;0,IF($K68&lt;0,F66+$K69,F66+$K68+$K69),IF($K68&lt;0,F66,F66+$K68))</f>
        <v>4073.5998740545347</v>
      </c>
      <c r="H66" s="214">
        <f ca="1">IF($K70&lt;0,IF($K69&lt;0,G66+$K70,G66+$K69+$K70),IF($K69&lt;0,G66,G66+$K69))</f>
        <v>4042.4576056917253</v>
      </c>
      <c r="I66" s="214">
        <f ca="1">IF($K71&lt;0,IF($K70&lt;0,H66+$K71,H66+$K70+$K71),IF($K70&lt;0,H66,H66+$K70))</f>
        <v>4042.4576056917253</v>
      </c>
      <c r="J66" s="214">
        <v>0</v>
      </c>
      <c r="K66" s="215"/>
      <c r="M66" s="106"/>
    </row>
    <row r="67" spans="1:13" x14ac:dyDescent="0.25">
      <c r="A67" s="67"/>
      <c r="B67" s="99" t="str">
        <f>B66</f>
        <v>Energex</v>
      </c>
      <c r="C67" s="3" t="s">
        <v>68</v>
      </c>
      <c r="D67" s="175">
        <f t="array" aca="1" ref="D67" ca="1">INDEX(INDIRECT("'"&amp;$B67&amp;"'!$F$23:$AJ$39"),MATCH($C67,INDIRECT("'"&amp;$B67&amp;"'!$F$23:$F$39"),0),MATCH($B$44&amp;$C$44&amp;D$44&amp;"Cost",INDIRECT("'"&amp;$B67&amp;"'!$F$23:$AJ$23")&amp;INDIRECT("'"&amp;$B67&amp;"'!$F$24:$AJ$24")&amp;INDIRECT("'"&amp;$B67&amp;"'!$F$25:$AJ$25")&amp;INDIRECT("'"&amp;$B67&amp;"'!$F$30:$AJ$30"),0))</f>
        <v>1220.2773000000002</v>
      </c>
      <c r="E67" s="216">
        <f ca="1">ABS($J67-$D67)</f>
        <v>49.282099563318752</v>
      </c>
      <c r="F67" s="216"/>
      <c r="G67" s="216"/>
      <c r="H67" s="216"/>
      <c r="I67" s="216"/>
      <c r="J67" s="175">
        <f t="array" aca="1" ref="J67" ca="1">INDEX(INDIRECT("'"&amp;$B67&amp;"'!$F$23:$AJ$39"),MATCH($C67,INDIRECT("'"&amp;$B67&amp;"'!$F$23:$F$39"),0),MATCH($B$44&amp;$C$44&amp;J$44&amp;"Cost",INDIRECT("'"&amp;$B67&amp;"'!$F$23:$AJ$23")&amp;INDIRECT("'"&amp;$B67&amp;"'!$F$24:$AJ$24")&amp;INDIRECT("'"&amp;$B67&amp;"'!$F$25:$AJ$25")&amp;INDIRECT("'"&amp;$B67&amp;"'!$F$30:$AJ$30"),0))</f>
        <v>1269.5593995633189</v>
      </c>
      <c r="K67" s="217">
        <f ca="1">J67-D67</f>
        <v>49.282099563318752</v>
      </c>
      <c r="M67" s="106"/>
    </row>
    <row r="68" spans="1:13" x14ac:dyDescent="0.25">
      <c r="A68" s="67"/>
      <c r="B68" s="99" t="str">
        <f>B67</f>
        <v>Energex</v>
      </c>
      <c r="C68" s="3" t="s">
        <v>69</v>
      </c>
      <c r="D68" s="175">
        <f t="array" aca="1" ref="D68" ca="1">INDEX(INDIRECT("'"&amp;$B68&amp;"'!$F$23:$AJ$39"),MATCH($C68,INDIRECT("'"&amp;$B68&amp;"'!$F$23:$F$39"),0),MATCH($B$44&amp;$C$44&amp;D$44&amp;"Cost",INDIRECT("'"&amp;$B68&amp;"'!$F$23:$AJ$23")&amp;INDIRECT("'"&amp;$B68&amp;"'!$F$24:$AJ$24")&amp;INDIRECT("'"&amp;$B68&amp;"'!$F$25:$AJ$25")&amp;INDIRECT("'"&amp;$B68&amp;"'!$F$30:$AJ$30"),0))</f>
        <v>1215.83</v>
      </c>
      <c r="E68" s="216"/>
      <c r="F68" s="216">
        <f ca="1">ABS($J68-$D68)</f>
        <v>600.38000000000011</v>
      </c>
      <c r="G68" s="216"/>
      <c r="H68" s="216"/>
      <c r="I68" s="216"/>
      <c r="J68" s="175">
        <f t="array" aca="1" ref="J68" ca="1">INDEX(INDIRECT("'"&amp;$B68&amp;"'!$F$23:$AJ$39"),MATCH($C68,INDIRECT("'"&amp;$B68&amp;"'!$F$23:$F$39"),0),MATCH($B$44&amp;$C$44&amp;J$44&amp;"Cost",INDIRECT("'"&amp;$B68&amp;"'!$F$23:$AJ$23")&amp;INDIRECT("'"&amp;$B68&amp;"'!$F$24:$AJ$24")&amp;INDIRECT("'"&amp;$B68&amp;"'!$F$25:$AJ$25")&amp;INDIRECT("'"&amp;$B68&amp;"'!$F$30:$AJ$30"),0))</f>
        <v>1816.21</v>
      </c>
      <c r="K68" s="217">
        <f ca="1">J68-D68</f>
        <v>600.38000000000011</v>
      </c>
      <c r="M68" s="106"/>
    </row>
    <row r="69" spans="1:13" x14ac:dyDescent="0.25">
      <c r="A69" s="67"/>
      <c r="B69" s="99" t="str">
        <f>B68</f>
        <v>Energex</v>
      </c>
      <c r="C69" s="3" t="s">
        <v>70</v>
      </c>
      <c r="D69" s="175">
        <f t="array" aca="1" ref="D69" ca="1">INDEX(INDIRECT("'"&amp;$B69&amp;"'!$F$23:$AJ$39"),MATCH($C69,INDIRECT("'"&amp;$B69&amp;"'!$F$23:$F$39"),0),MATCH($B$44&amp;$C$44&amp;D$44&amp;"Cost",INDIRECT("'"&amp;$B69&amp;"'!$F$23:$AJ$23")&amp;INDIRECT("'"&amp;$B69&amp;"'!$F$24:$AJ$24")&amp;INDIRECT("'"&amp;$B69&amp;"'!$F$25:$AJ$25")&amp;INDIRECT("'"&amp;$B69&amp;"'!$F$30:$AJ$30"),0))</f>
        <v>188.1</v>
      </c>
      <c r="E69" s="216"/>
      <c r="F69" s="216"/>
      <c r="G69" s="216">
        <f ca="1">ABS($J69-$D69)</f>
        <v>22</v>
      </c>
      <c r="H69" s="216"/>
      <c r="I69" s="216"/>
      <c r="J69" s="175">
        <f t="array" aca="1" ref="J69" ca="1">INDEX(INDIRECT("'"&amp;$B69&amp;"'!$F$23:$AJ$39"),MATCH($C69,INDIRECT("'"&amp;$B69&amp;"'!$F$23:$F$39"),0),MATCH($B$44&amp;$C$44&amp;J$44&amp;"Cost",INDIRECT("'"&amp;$B69&amp;"'!$F$23:$AJ$23")&amp;INDIRECT("'"&amp;$B69&amp;"'!$F$24:$AJ$24")&amp;INDIRECT("'"&amp;$B69&amp;"'!$F$25:$AJ$25")&amp;INDIRECT("'"&amp;$B69&amp;"'!$F$30:$AJ$30"),0))</f>
        <v>166.1</v>
      </c>
      <c r="K69" s="217">
        <f ca="1">J69-D69</f>
        <v>-22</v>
      </c>
      <c r="M69" s="106"/>
    </row>
    <row r="70" spans="1:13" x14ac:dyDescent="0.25">
      <c r="A70" s="67"/>
      <c r="B70" s="99" t="str">
        <f t="shared" ref="B70:B71" si="3">B69</f>
        <v>Energex</v>
      </c>
      <c r="C70" s="3" t="s">
        <v>204</v>
      </c>
      <c r="D70" s="175">
        <f t="array" aca="1" ref="D70" ca="1">INDEX(INDIRECT("'"&amp;$B70&amp;"'!$F$23:$AJ$39"),MATCH($C70,INDIRECT("'"&amp;$B70&amp;"'!$F$23:$F$39"),0),MATCH($B$44&amp;$C$44&amp;D$44&amp;"Cost",INDIRECT("'"&amp;$B70&amp;"'!$F$23:$AJ$23")&amp;INDIRECT("'"&amp;$B70&amp;"'!$F$24:$AJ$24")&amp;INDIRECT("'"&amp;$B70&amp;"'!$F$25:$AJ$25")&amp;INDIRECT("'"&amp;$B70&amp;"'!$F$30:$AJ$30"),0))</f>
        <v>235.92105282770893</v>
      </c>
      <c r="E70" s="216"/>
      <c r="F70" s="216"/>
      <c r="G70" s="216"/>
      <c r="H70" s="216">
        <f ca="1">ABS($J70-$D70)</f>
        <v>31.14226836280946</v>
      </c>
      <c r="I70" s="216"/>
      <c r="J70" s="175">
        <f t="array" aca="1" ref="J70" ca="1">INDEX(INDIRECT("'"&amp;$B70&amp;"'!$F$23:$AJ$39"),MATCH($C70,INDIRECT("'"&amp;$B70&amp;"'!$F$23:$F$39"),0),MATCH($B$44&amp;$C$44&amp;J$44&amp;"Cost",INDIRECT("'"&amp;$B70&amp;"'!$F$23:$AJ$23")&amp;INDIRECT("'"&amp;$B70&amp;"'!$F$24:$AJ$24")&amp;INDIRECT("'"&amp;$B70&amp;"'!$F$25:$AJ$25")&amp;INDIRECT("'"&amp;$B70&amp;"'!$F$30:$AJ$30"),0))</f>
        <v>204.77878446489947</v>
      </c>
      <c r="K70" s="217">
        <f ca="1">J70-D70</f>
        <v>-31.14226836280946</v>
      </c>
      <c r="M70" s="106"/>
    </row>
    <row r="71" spans="1:13" x14ac:dyDescent="0.25">
      <c r="A71" s="67"/>
      <c r="B71" s="99" t="str">
        <f t="shared" si="3"/>
        <v>Energex</v>
      </c>
      <c r="C71" s="3" t="s">
        <v>206</v>
      </c>
      <c r="D71" s="175">
        <f t="array" aca="1" ref="D71" ca="1">INDEX(INDIRECT("'"&amp;$B71&amp;"'!$F$23:$AJ$39"),MATCH($C71,INDIRECT("'"&amp;$B71&amp;"'!$F$23:$F$39"),0),MATCH($B$44&amp;$C$44&amp;D$44&amp;"Cost",INDIRECT("'"&amp;$B71&amp;"'!$F$23:$AJ$23")&amp;INDIRECT("'"&amp;$B71&amp;"'!$F$24:$AJ$24")&amp;INDIRECT("'"&amp;$B71&amp;"'!$F$25:$AJ$25")&amp;INDIRECT("'"&amp;$B71&amp;"'!$F$30:$AJ$30"),0))</f>
        <v>585.80942166350678</v>
      </c>
      <c r="E71" s="216"/>
      <c r="F71" s="216"/>
      <c r="G71" s="216"/>
      <c r="H71" s="216"/>
      <c r="I71" s="216">
        <f ca="1">ABS($J71-$D71)</f>
        <v>72.599756246630477</v>
      </c>
      <c r="J71" s="175">
        <f t="array" aca="1" ref="J71" ca="1">INDEX(INDIRECT("'"&amp;$B71&amp;"'!$F$23:$AJ$39"),MATCH($C71,INDIRECT("'"&amp;$B71&amp;"'!$F$23:$F$39"),0),MATCH($B$44&amp;$C$44&amp;J$44&amp;"Cost",INDIRECT("'"&amp;$B71&amp;"'!$F$23:$AJ$23")&amp;INDIRECT("'"&amp;$B71&amp;"'!$F$24:$AJ$24")&amp;INDIRECT("'"&amp;$B71&amp;"'!$F$25:$AJ$25")&amp;INDIRECT("'"&amp;$B71&amp;"'!$F$30:$AJ$30"),0))</f>
        <v>658.40917791013726</v>
      </c>
      <c r="K71" s="217">
        <f ca="1">J71-D71</f>
        <v>72.599756246630477</v>
      </c>
      <c r="M71" s="106"/>
    </row>
    <row r="72" spans="1:13" x14ac:dyDescent="0.25">
      <c r="A72" s="67"/>
      <c r="B72" s="100" t="str">
        <f>B70</f>
        <v>Energex</v>
      </c>
      <c r="C72" s="101" t="s">
        <v>134</v>
      </c>
      <c r="D72" s="218">
        <f ca="1">SUM(D66:D71)</f>
        <v>3445.9377744912158</v>
      </c>
      <c r="E72" s="218"/>
      <c r="F72" s="218"/>
      <c r="G72" s="218"/>
      <c r="H72" s="218"/>
      <c r="I72" s="218"/>
      <c r="J72" s="218">
        <f ca="1">SUM(J66:J71)</f>
        <v>4115.0573619383558</v>
      </c>
      <c r="K72" s="217">
        <f ca="1">+J72-D72</f>
        <v>669.11958744714002</v>
      </c>
      <c r="L72" s="234"/>
      <c r="M72" s="110"/>
    </row>
    <row r="73" spans="1:13" x14ac:dyDescent="0.25">
      <c r="A73" s="67" t="str">
        <f>B73&amp;" "&amp;$B$44&amp;" "&amp;$C$44&amp;" $"</f>
        <v>SAPN Small Business without CL $</v>
      </c>
      <c r="B73" s="97" t="s">
        <v>5</v>
      </c>
      <c r="C73" s="98" t="s">
        <v>183</v>
      </c>
      <c r="D73" s="214">
        <v>0</v>
      </c>
      <c r="E73" s="214">
        <f ca="1">IF($K74&lt;0,SUM(D73:D78)+$K74,SUM(D73:D78))</f>
        <v>4538.7298773414223</v>
      </c>
      <c r="F73" s="214">
        <f ca="1">IF($K75&lt;0,IF($K74&lt;0,E73+$K75,E73+$K74+$K75),IF($K74&lt;0,E73,E73+$K74))</f>
        <v>4567.4506582211789</v>
      </c>
      <c r="G73" s="214">
        <f ca="1">IF($K76&lt;0,IF($K75&lt;0,F73+$K76,F73+$K75+$K76),IF($K75&lt;0,F73,F73+$K75))</f>
        <v>5521.0406582211781</v>
      </c>
      <c r="H73" s="214">
        <f ca="1">IF($K77&lt;0,IF($K76&lt;0,G73+$K77,G73+$K76+$K77),IF($K76&lt;0,G73,G73+$K76))</f>
        <v>5517.2752308951658</v>
      </c>
      <c r="I73" s="214">
        <f ca="1">IF($K78&lt;0,IF($K77&lt;0,H73+$K78,H73+$K77+$K78),IF($K77&lt;0,H73,H73+$K77))</f>
        <v>5517.2752308951658</v>
      </c>
      <c r="J73" s="214">
        <v>0</v>
      </c>
      <c r="K73" s="215"/>
      <c r="M73" s="106"/>
    </row>
    <row r="74" spans="1:13" x14ac:dyDescent="0.25">
      <c r="A74" s="67"/>
      <c r="B74" s="99" t="str">
        <f>B73</f>
        <v>SAPN</v>
      </c>
      <c r="C74" s="3" t="s">
        <v>68</v>
      </c>
      <c r="D74" s="175">
        <f t="array" aca="1" ref="D74" ca="1">INDEX(INDIRECT("'"&amp;$B74&amp;"'!$F$23:$AJ$39"),MATCH($C74,INDIRECT("'"&amp;$B74&amp;"'!$F$23:$F$39"),0),MATCH($B$44&amp;$C$44&amp;D$44&amp;"Cost",INDIRECT("'"&amp;$B74&amp;"'!$F$23:$AJ$23")&amp;INDIRECT("'"&amp;$B74&amp;"'!$F$24:$AJ$24")&amp;INDIRECT("'"&amp;$B74&amp;"'!$F$25:$AJ$25")&amp;INDIRECT("'"&amp;$B74&amp;"'!$F$30:$AJ$30"),0))</f>
        <v>1930.4626000000003</v>
      </c>
      <c r="E74" s="216">
        <f ca="1">ABS($J74-$D74)</f>
        <v>28.72078087975683</v>
      </c>
      <c r="F74" s="216"/>
      <c r="G74" s="216"/>
      <c r="H74" s="216"/>
      <c r="I74" s="216"/>
      <c r="J74" s="175">
        <f t="array" aca="1" ref="J74" ca="1">INDEX(INDIRECT("'"&amp;$B74&amp;"'!$F$23:$AJ$39"),MATCH($C74,INDIRECT("'"&amp;$B74&amp;"'!$F$23:$F$39"),0),MATCH($B$44&amp;$C$44&amp;J$44&amp;"Cost",INDIRECT("'"&amp;$B74&amp;"'!$F$23:$AJ$23")&amp;INDIRECT("'"&amp;$B74&amp;"'!$F$24:$AJ$24")&amp;INDIRECT("'"&amp;$B74&amp;"'!$F$25:$AJ$25")&amp;INDIRECT("'"&amp;$B74&amp;"'!$F$30:$AJ$30"),0))</f>
        <v>1959.1833808797571</v>
      </c>
      <c r="K74" s="217">
        <f ca="1">J74-D74</f>
        <v>28.72078087975683</v>
      </c>
      <c r="M74" s="106"/>
    </row>
    <row r="75" spans="1:13" x14ac:dyDescent="0.25">
      <c r="A75" s="67"/>
      <c r="B75" s="99" t="str">
        <f>B74</f>
        <v>SAPN</v>
      </c>
      <c r="C75" s="3" t="s">
        <v>69</v>
      </c>
      <c r="D75" s="175">
        <f t="array" aca="1" ref="D75" ca="1">INDEX(INDIRECT("'"&amp;$B75&amp;"'!$F$23:$AJ$39"),MATCH($C75,INDIRECT("'"&amp;$B75&amp;"'!$F$23:$F$39"),0),MATCH($B$44&amp;$C$44&amp;D$44&amp;"Cost",INDIRECT("'"&amp;$B75&amp;"'!$F$23:$AJ$23")&amp;INDIRECT("'"&amp;$B75&amp;"'!$F$24:$AJ$24")&amp;INDIRECT("'"&amp;$B75&amp;"'!$F$25:$AJ$25")&amp;INDIRECT("'"&amp;$B75&amp;"'!$F$30:$AJ$30"),0))</f>
        <v>1479.83</v>
      </c>
      <c r="E75" s="216"/>
      <c r="F75" s="216">
        <f ca="1">ABS($J75-$D75)</f>
        <v>976.69</v>
      </c>
      <c r="G75" s="216"/>
      <c r="H75" s="216"/>
      <c r="I75" s="216"/>
      <c r="J75" s="175">
        <f t="array" aca="1" ref="J75" ca="1">INDEX(INDIRECT("'"&amp;$B75&amp;"'!$F$23:$AJ$39"),MATCH($C75,INDIRECT("'"&amp;$B75&amp;"'!$F$23:$F$39"),0),MATCH($B$44&amp;$C$44&amp;J$44&amp;"Cost",INDIRECT("'"&amp;$B75&amp;"'!$F$23:$AJ$23")&amp;INDIRECT("'"&amp;$B75&amp;"'!$F$24:$AJ$24")&amp;INDIRECT("'"&amp;$B75&amp;"'!$F$25:$AJ$25")&amp;INDIRECT("'"&amp;$B75&amp;"'!$F$30:$AJ$30"),0))</f>
        <v>2456.52</v>
      </c>
      <c r="K75" s="217">
        <f ca="1">J75-D75</f>
        <v>976.69</v>
      </c>
      <c r="M75" s="106"/>
    </row>
    <row r="76" spans="1:13" x14ac:dyDescent="0.25">
      <c r="A76" s="67"/>
      <c r="B76" s="99" t="str">
        <f>B75</f>
        <v>SAPN</v>
      </c>
      <c r="C76" s="3" t="s">
        <v>70</v>
      </c>
      <c r="D76" s="175">
        <f t="array" aca="1" ref="D76" ca="1">INDEX(INDIRECT("'"&amp;$B76&amp;"'!$F$23:$AJ$39"),MATCH($C76,INDIRECT("'"&amp;$B76&amp;"'!$F$23:$F$39"),0),MATCH($B$44&amp;$C$44&amp;D$44&amp;"Cost",INDIRECT("'"&amp;$B76&amp;"'!$F$23:$AJ$23")&amp;INDIRECT("'"&amp;$B76&amp;"'!$F$24:$AJ$24")&amp;INDIRECT("'"&amp;$B76&amp;"'!$F$25:$AJ$25")&amp;INDIRECT("'"&amp;$B76&amp;"'!$F$30:$AJ$30"),0))</f>
        <v>224.18</v>
      </c>
      <c r="E76" s="216"/>
      <c r="F76" s="216"/>
      <c r="G76" s="216">
        <f ca="1">ABS($J76-$D76)</f>
        <v>23.099999999999994</v>
      </c>
      <c r="H76" s="216"/>
      <c r="I76" s="216"/>
      <c r="J76" s="175">
        <f t="array" aca="1" ref="J76" ca="1">INDEX(INDIRECT("'"&amp;$B76&amp;"'!$F$23:$AJ$39"),MATCH($C76,INDIRECT("'"&amp;$B76&amp;"'!$F$23:$F$39"),0),MATCH($B$44&amp;$C$44&amp;J$44&amp;"Cost",INDIRECT("'"&amp;$B76&amp;"'!$F$23:$AJ$23")&amp;INDIRECT("'"&amp;$B76&amp;"'!$F$24:$AJ$24")&amp;INDIRECT("'"&amp;$B76&amp;"'!$F$25:$AJ$25")&amp;INDIRECT("'"&amp;$B76&amp;"'!$F$30:$AJ$30"),0))</f>
        <v>201.08</v>
      </c>
      <c r="K76" s="217">
        <f ca="1">J76-D76</f>
        <v>-23.099999999999994</v>
      </c>
      <c r="M76" s="106"/>
    </row>
    <row r="77" spans="1:13" x14ac:dyDescent="0.25">
      <c r="A77" s="67"/>
      <c r="B77" s="99" t="str">
        <f t="shared" ref="B77:B78" si="4">B76</f>
        <v>SAPN</v>
      </c>
      <c r="C77" s="3" t="s">
        <v>204</v>
      </c>
      <c r="D77" s="175">
        <f t="array" aca="1" ref="D77" ca="1">INDEX(INDIRECT("'"&amp;$B77&amp;"'!$F$23:$AJ$39"),MATCH($C77,INDIRECT("'"&amp;$B77&amp;"'!$F$23:$F$39"),0),MATCH($B$44&amp;$C$44&amp;D$44&amp;"Cost",INDIRECT("'"&amp;$B77&amp;"'!$F$23:$AJ$23")&amp;INDIRECT("'"&amp;$B77&amp;"'!$F$24:$AJ$24")&amp;INDIRECT("'"&amp;$B77&amp;"'!$F$25:$AJ$25")&amp;INDIRECT("'"&amp;$B77&amp;"'!$F$30:$AJ$30"),0))</f>
        <v>223.44779574020896</v>
      </c>
      <c r="E77" s="216"/>
      <c r="F77" s="216"/>
      <c r="G77" s="216"/>
      <c r="H77" s="216">
        <f ca="1">ABS($J77-$D77)</f>
        <v>3.765427326012599</v>
      </c>
      <c r="I77" s="216"/>
      <c r="J77" s="175">
        <f t="array" aca="1" ref="J77" ca="1">INDEX(INDIRECT("'"&amp;$B77&amp;"'!$F$23:$AJ$39"),MATCH($C77,INDIRECT("'"&amp;$B77&amp;"'!$F$23:$F$39"),0),MATCH($B$44&amp;$C$44&amp;J$44&amp;"Cost",INDIRECT("'"&amp;$B77&amp;"'!$F$23:$AJ$23")&amp;INDIRECT("'"&amp;$B77&amp;"'!$F$24:$AJ$24")&amp;INDIRECT("'"&amp;$B77&amp;"'!$F$25:$AJ$25")&amp;INDIRECT("'"&amp;$B77&amp;"'!$F$30:$AJ$30"),0))</f>
        <v>219.68236841419636</v>
      </c>
      <c r="K77" s="217">
        <f ca="1">J77-D77</f>
        <v>-3.765427326012599</v>
      </c>
      <c r="M77" s="106"/>
    </row>
    <row r="78" spans="1:13" x14ac:dyDescent="0.25">
      <c r="A78" s="67"/>
      <c r="B78" s="99" t="str">
        <f t="shared" si="4"/>
        <v>SAPN</v>
      </c>
      <c r="C78" s="3" t="s">
        <v>206</v>
      </c>
      <c r="D78" s="175">
        <f t="array" aca="1" ref="D78" ca="1">INDEX(INDIRECT("'"&amp;$B78&amp;"'!$F$23:$AJ$39"),MATCH($C78,INDIRECT("'"&amp;$B78&amp;"'!$F$23:$F$39"),0),MATCH($B$44&amp;$C$44&amp;D$44&amp;"Cost",INDIRECT("'"&amp;$B78&amp;"'!$F$23:$AJ$23")&amp;INDIRECT("'"&amp;$B78&amp;"'!$F$24:$AJ$24")&amp;INDIRECT("'"&amp;$B78&amp;"'!$F$25:$AJ$25")&amp;INDIRECT("'"&amp;$B78&amp;"'!$F$30:$AJ$30"),0))</f>
        <v>680.80948160121307</v>
      </c>
      <c r="E78" s="216"/>
      <c r="F78" s="216"/>
      <c r="G78" s="216"/>
      <c r="H78" s="216"/>
      <c r="I78" s="216">
        <f ca="1">ABS($J78-$D78)</f>
        <v>172.68447415654327</v>
      </c>
      <c r="J78" s="175">
        <f t="array" aca="1" ref="J78" ca="1">INDEX(INDIRECT("'"&amp;$B78&amp;"'!$F$23:$AJ$39"),MATCH($C78,INDIRECT("'"&amp;$B78&amp;"'!$F$23:$F$39"),0),MATCH($B$44&amp;$C$44&amp;J$44&amp;"Cost",INDIRECT("'"&amp;$B78&amp;"'!$F$23:$AJ$23")&amp;INDIRECT("'"&amp;$B78&amp;"'!$F$24:$AJ$24")&amp;INDIRECT("'"&amp;$B78&amp;"'!$F$25:$AJ$25")&amp;INDIRECT("'"&amp;$B78&amp;"'!$F$30:$AJ$30"),0))</f>
        <v>853.49395575775634</v>
      </c>
      <c r="K78" s="217">
        <f ca="1">J78-D78</f>
        <v>172.68447415654327</v>
      </c>
      <c r="M78" s="106"/>
    </row>
    <row r="79" spans="1:13" x14ac:dyDescent="0.25">
      <c r="A79" s="67"/>
      <c r="B79" s="100" t="str">
        <f>B77</f>
        <v>SAPN</v>
      </c>
      <c r="C79" s="101" t="s">
        <v>134</v>
      </c>
      <c r="D79" s="218">
        <f ca="1">SUM(D73:D78)</f>
        <v>4538.7298773414223</v>
      </c>
      <c r="E79" s="218"/>
      <c r="F79" s="218"/>
      <c r="G79" s="218"/>
      <c r="H79" s="218"/>
      <c r="I79" s="218"/>
      <c r="J79" s="218">
        <f ca="1">SUM(J73:J78)</f>
        <v>5689.9597050517095</v>
      </c>
      <c r="K79" s="235">
        <f ca="1">+J79-D79</f>
        <v>1151.2298277102873</v>
      </c>
      <c r="L79" s="234"/>
      <c r="M79" s="110"/>
    </row>
  </sheetData>
  <mergeCells count="1">
    <mergeCell ref="A1:B1"/>
  </mergeCells>
  <conditionalFormatting sqref="B45:K79">
    <cfRule type="expression" dxfId="1294" priority="13">
      <formula>MOD(ROW(),2)=0</formula>
    </cfRule>
  </conditionalFormatting>
  <conditionalFormatting sqref="M52:M57 M59:M64 M66:M71 M73:M78">
    <cfRule type="cellIs" dxfId="1293" priority="11" operator="equal">
      <formula>FALSE</formula>
    </cfRule>
    <cfRule type="cellIs" dxfId="1292" priority="12" operator="equal">
      <formula>TRUE</formula>
    </cfRule>
  </conditionalFormatting>
  <conditionalFormatting sqref="M51">
    <cfRule type="cellIs" dxfId="1291" priority="9" operator="equal">
      <formula>FALSE</formula>
    </cfRule>
    <cfRule type="cellIs" dxfId="1290" priority="10" operator="equal">
      <formula>TRUE</formula>
    </cfRule>
  </conditionalFormatting>
  <conditionalFormatting sqref="M58">
    <cfRule type="cellIs" dxfId="1289" priority="7" operator="equal">
      <formula>FALSE</formula>
    </cfRule>
    <cfRule type="cellIs" dxfId="1288" priority="8" operator="equal">
      <formula>TRUE</formula>
    </cfRule>
  </conditionalFormatting>
  <conditionalFormatting sqref="M65">
    <cfRule type="cellIs" dxfId="1287" priority="5" operator="equal">
      <formula>FALSE</formula>
    </cfRule>
    <cfRule type="cellIs" dxfId="1286" priority="6" operator="equal">
      <formula>TRUE</formula>
    </cfRule>
  </conditionalFormatting>
  <conditionalFormatting sqref="M72">
    <cfRule type="cellIs" dxfId="1285" priority="3" operator="equal">
      <formula>FALSE</formula>
    </cfRule>
    <cfRule type="cellIs" dxfId="1284" priority="4" operator="equal">
      <formula>TRUE</formula>
    </cfRule>
  </conditionalFormatting>
  <conditionalFormatting sqref="M79">
    <cfRule type="cellIs" dxfId="1283" priority="1" operator="equal">
      <formula>FALSE</formula>
    </cfRule>
    <cfRule type="cellIs" dxfId="1282" priority="2" operator="equal">
      <formula>TRUE</formula>
    </cfRule>
  </conditionalFormatting>
  <hyperlinks>
    <hyperlink ref="A1" location="Index!A1" display="&lt;&lt;Back to Index" xr:uid="{94DB4F01-6115-44D5-868E-C37ABDC98992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50"/>
  </sheetPr>
  <dimension ref="F9:F14"/>
  <sheetViews>
    <sheetView workbookViewId="0">
      <selection activeCell="P11" sqref="P11"/>
    </sheetView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210</v>
      </c>
    </row>
    <row r="10" spans="6:6" ht="36" x14ac:dyDescent="0.25">
      <c r="F10" s="2" t="str">
        <f>"DMO "&amp;FY</f>
        <v>DMO 2023-24</v>
      </c>
    </row>
    <row r="11" spans="6:6" ht="23.25" x14ac:dyDescent="0.25">
      <c r="F11" s="4" t="s">
        <v>178</v>
      </c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</sheetData>
  <pageMargins left="0.7" right="0.7" top="0.75" bottom="0.75" header="0.3" footer="0.3"/>
  <headerFooter>
    <oddHeader>&amp;C&amp;"Calibri"&amp;12&amp;KFF0000 OFFICIAL&amp;1#_x000D_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AD2C-5DDE-4407-900F-CAB9695DC440}">
  <sheetPr>
    <tabColor rgb="FF00B050"/>
  </sheetPr>
  <dimension ref="A1:AH47"/>
  <sheetViews>
    <sheetView zoomScaleNormal="100" workbookViewId="0">
      <selection sqref="A1:B1"/>
    </sheetView>
  </sheetViews>
  <sheetFormatPr defaultColWidth="8.85546875" defaultRowHeight="15" x14ac:dyDescent="0.25"/>
  <cols>
    <col min="1" max="1" width="1.85546875" style="3" customWidth="1"/>
    <col min="2" max="2" width="33.85546875" style="3" bestFit="1" customWidth="1"/>
    <col min="3" max="5" width="13.140625" style="3" customWidth="1"/>
    <col min="6" max="6" width="26.85546875" style="3" customWidth="1"/>
    <col min="7" max="7" width="5.85546875" style="3" customWidth="1"/>
    <col min="8" max="10" width="10.85546875" style="3" customWidth="1"/>
    <col min="11" max="11" width="1.85546875" style="3" customWidth="1"/>
    <col min="12" max="12" width="10.85546875" style="3" customWidth="1"/>
    <col min="13" max="13" width="12.140625" style="3" customWidth="1"/>
    <col min="14" max="14" width="13.140625" style="3" customWidth="1"/>
    <col min="15" max="15" width="10.85546875" style="3" customWidth="1"/>
    <col min="16" max="16" width="6.28515625" style="3" customWidth="1"/>
    <col min="17" max="19" width="10.85546875" style="3" customWidth="1"/>
    <col min="20" max="20" width="1.85546875" style="3" customWidth="1"/>
    <col min="21" max="21" width="10.85546875" style="3" customWidth="1"/>
    <col min="22" max="22" width="12.140625" style="3" customWidth="1"/>
    <col min="23" max="23" width="13.140625" style="3" customWidth="1"/>
    <col min="24" max="24" width="10.85546875" style="3" customWidth="1"/>
    <col min="25" max="25" width="5.85546875" style="3" customWidth="1"/>
    <col min="26" max="28" width="10.85546875" style="3" customWidth="1"/>
    <col min="29" max="29" width="1.85546875" style="3" customWidth="1"/>
    <col min="30" max="30" width="10.85546875" style="3" customWidth="1"/>
    <col min="31" max="31" width="12.140625" style="3" customWidth="1"/>
    <col min="32" max="32" width="9.85546875" style="3" customWidth="1"/>
    <col min="33" max="33" width="10.85546875" style="3" customWidth="1"/>
    <col min="34" max="16384" width="8.85546875" style="3"/>
  </cols>
  <sheetData>
    <row r="1" spans="1:34" ht="10.35" customHeight="1" x14ac:dyDescent="0.25">
      <c r="A1" s="286" t="s">
        <v>21</v>
      </c>
      <c r="B1" s="291"/>
    </row>
    <row r="2" spans="1:34" s="14" customFormat="1" ht="22.5" customHeight="1" x14ac:dyDescent="0.25">
      <c r="A2" s="15" t="s">
        <v>2</v>
      </c>
    </row>
    <row r="3" spans="1:34" s="67" customFormat="1" ht="15.75" thickBot="1" x14ac:dyDescent="0.3">
      <c r="C3" s="67" t="str">
        <f>$A$2&amp;" "&amp;C6&amp;" "&amp;C7</f>
        <v>Ausgrid Residential without CL</v>
      </c>
      <c r="D3" s="67" t="str">
        <f>$A$2&amp;" "&amp;D6&amp;" "&amp;D7</f>
        <v>Ausgrid Residential with CL</v>
      </c>
      <c r="E3" s="67" t="str">
        <f>$A$2&amp;" "&amp;E6&amp;" "&amp;E7</f>
        <v>Ausgrid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75" x14ac:dyDescent="0.25">
      <c r="B4" s="34" t="s">
        <v>20</v>
      </c>
      <c r="F4" s="34"/>
      <c r="G4" s="79" t="s">
        <v>98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1"/>
    </row>
    <row r="5" spans="1:34" ht="5.0999999999999996" customHeight="1" x14ac:dyDescent="0.25">
      <c r="B5" s="5"/>
      <c r="G5" s="82"/>
      <c r="H5" s="83"/>
      <c r="AH5" s="84"/>
    </row>
    <row r="6" spans="1:34" ht="20.100000000000001" customHeight="1" x14ac:dyDescent="0.25">
      <c r="B6" s="315" t="str">
        <f>A2</f>
        <v>Ausgrid</v>
      </c>
      <c r="C6" s="45" t="s">
        <v>6</v>
      </c>
      <c r="D6" s="45" t="s">
        <v>6</v>
      </c>
      <c r="E6" s="45" t="s">
        <v>83</v>
      </c>
      <c r="G6" s="82"/>
      <c r="H6" s="83"/>
      <c r="AH6" s="84"/>
    </row>
    <row r="7" spans="1:34" ht="20.100000000000001" customHeight="1" x14ac:dyDescent="0.25">
      <c r="B7" s="315"/>
      <c r="C7" s="46" t="s">
        <v>146</v>
      </c>
      <c r="D7" s="46" t="s">
        <v>147</v>
      </c>
      <c r="E7" s="46" t="s">
        <v>146</v>
      </c>
      <c r="G7" s="82"/>
      <c r="AH7" s="84"/>
    </row>
    <row r="8" spans="1:34" ht="2.1" customHeight="1" x14ac:dyDescent="0.25">
      <c r="C8" s="20"/>
      <c r="D8" s="20"/>
      <c r="E8" s="20"/>
      <c r="G8" s="82"/>
      <c r="AH8" s="84"/>
    </row>
    <row r="9" spans="1:34" s="43" customFormat="1" ht="30" customHeight="1" x14ac:dyDescent="0.25">
      <c r="B9" s="49" t="str">
        <f>"DMO "&amp;FY&amp;" price ($ pa, inc GST)"</f>
        <v>DMO 2023-24 price ($ pa, inc GST)</v>
      </c>
      <c r="C9" s="147">
        <f ca="1">ROUND(H38,0)</f>
        <v>1847</v>
      </c>
      <c r="D9" s="147">
        <f ca="1">ROUND(Q38,0)</f>
        <v>2578</v>
      </c>
      <c r="E9" s="147">
        <f ca="1">ROUND(Z38,0)</f>
        <v>5000</v>
      </c>
      <c r="F9" s="3"/>
      <c r="G9" s="8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85"/>
    </row>
    <row r="10" spans="1:34" ht="2.1" customHeight="1" x14ac:dyDescent="0.25">
      <c r="B10" s="50"/>
      <c r="C10" s="51"/>
      <c r="D10" s="51"/>
      <c r="E10" s="51"/>
      <c r="F10" s="43"/>
      <c r="G10" s="86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84"/>
    </row>
    <row r="11" spans="1:34" ht="20.100000000000001" customHeight="1" x14ac:dyDescent="0.25">
      <c r="B11" s="52" t="s">
        <v>51</v>
      </c>
      <c r="C11" s="53">
        <f>SUM(C12:C13)</f>
        <v>3900</v>
      </c>
      <c r="D11" s="53">
        <f>SUM(D12:D13)</f>
        <v>6800</v>
      </c>
      <c r="E11" s="53">
        <f>SUM(E12:E13)</f>
        <v>10000</v>
      </c>
      <c r="G11" s="82"/>
      <c r="AH11" s="84"/>
    </row>
    <row r="12" spans="1:34" ht="20.100000000000001" customHeight="1" x14ac:dyDescent="0.25">
      <c r="B12" s="54" t="s">
        <v>55</v>
      </c>
      <c r="C12" s="55">
        <f t="array" ref="C12">INDEX(Usage!$B$5:$M$18,MATCH($B6,Usage!$B$5:$B$18,0),MATCH(C$6&amp;C$7&amp;"Flat rate"&amp;"Total",Usage!$B$5:$M$5&amp;Usage!$B$6:$M$6&amp;Usage!$B$7:$M$7&amp;Usage!$B$13:$M$13,0))</f>
        <v>3900</v>
      </c>
      <c r="D12" s="55">
        <f t="array" ref="D12">INDEX(Usage!$B$5:$M$18,MATCH($B6,Usage!$B$5:$B$18,0),MATCH(D$6&amp;D$7&amp;"Flat rate"&amp;"Total",Usage!$B$5:$M$5&amp;Usage!$B$6:$M$6&amp;Usage!$B$7:$M$7&amp;Usage!$B$13:$M$13,0))</f>
        <v>4800</v>
      </c>
      <c r="E12" s="55">
        <f t="array" ref="E12">INDEX(Usage!$B$5:$M$18,MATCH($B6,Usage!$B$5:$B$18,0),MATCH(E$6&amp;E$7&amp;"Flat rate"&amp;"Total",Usage!$B$5:$M$5&amp;Usage!$B$6:$M$6&amp;Usage!$B$7:$M$7&amp;Usage!$B$13:$M$13,0))</f>
        <v>10000</v>
      </c>
      <c r="G12" s="82"/>
      <c r="AH12" s="84"/>
    </row>
    <row r="13" spans="1:34" ht="20.100000000000001" customHeight="1" x14ac:dyDescent="0.25">
      <c r="B13" s="54" t="s">
        <v>54</v>
      </c>
      <c r="C13" s="55"/>
      <c r="D13" s="55">
        <f t="array" ref="D13">INDEX(Usage!$B$5:$M$18,MATCH($B6,Usage!$B$5:$B$18,0),MATCH(D$6&amp;D$7&amp;"CL"&amp;"Total",Usage!$B$5:$M$5&amp;Usage!$B$6:$M$6&amp;Usage!$B$7:$M$7&amp;Usage!$B$13:$M$13,0))</f>
        <v>2000</v>
      </c>
      <c r="E13" s="55"/>
      <c r="G13" s="82"/>
      <c r="AH13" s="84"/>
    </row>
    <row r="14" spans="1:34" ht="2.1" customHeight="1" x14ac:dyDescent="0.25">
      <c r="B14" s="56"/>
      <c r="C14" s="56"/>
      <c r="D14" s="56"/>
      <c r="E14" s="56"/>
      <c r="G14" s="82"/>
      <c r="AH14" s="84"/>
    </row>
    <row r="15" spans="1:34" ht="20.100000000000001" customHeight="1" x14ac:dyDescent="0.25">
      <c r="B15" s="54" t="str">
        <f>"Change from DMO "&amp;PY&amp; " price ($)"</f>
        <v>Change from DMO 2022-23 price ($)</v>
      </c>
      <c r="C15" s="114">
        <f ca="1">C9-H32</f>
        <v>335</v>
      </c>
      <c r="D15" s="114">
        <f ca="1">D9-Q32</f>
        <v>456</v>
      </c>
      <c r="E15" s="114">
        <f ca="1">E9-Z32</f>
        <v>640</v>
      </c>
      <c r="G15" s="82"/>
      <c r="AH15" s="84"/>
    </row>
    <row r="16" spans="1:34" ht="20.100000000000001" customHeight="1" thickBot="1" x14ac:dyDescent="0.3">
      <c r="B16" s="57" t="str">
        <f>"Change from DMO "&amp;PY&amp; " price (%)"</f>
        <v>Change from DMO 2022-23 price (%)</v>
      </c>
      <c r="C16" s="95">
        <f ca="1">C9/H32-1</f>
        <v>0.22156084656084651</v>
      </c>
      <c r="D16" s="95">
        <f ca="1">D9/Q32-1</f>
        <v>0.21489161168708759</v>
      </c>
      <c r="E16" s="95">
        <f ca="1">E9/Z32-1</f>
        <v>0.14678899082568808</v>
      </c>
      <c r="G16" s="82"/>
      <c r="AH16" s="84"/>
    </row>
    <row r="17" spans="2:34" ht="15.75" thickTop="1" x14ac:dyDescent="0.25">
      <c r="B17" s="76" t="s">
        <v>97</v>
      </c>
      <c r="G17" s="82"/>
      <c r="AH17" s="84"/>
    </row>
    <row r="18" spans="2:34" x14ac:dyDescent="0.25">
      <c r="G18" s="82"/>
      <c r="AH18" s="84"/>
    </row>
    <row r="19" spans="2:34" x14ac:dyDescent="0.25">
      <c r="C19" s="74"/>
      <c r="D19" s="149"/>
      <c r="G19" s="82"/>
      <c r="AH19" s="84"/>
    </row>
    <row r="20" spans="2:34" ht="15.75" x14ac:dyDescent="0.25">
      <c r="B20" s="34"/>
      <c r="D20" s="149"/>
      <c r="G20" s="82"/>
      <c r="AH20" s="84"/>
    </row>
    <row r="21" spans="2:34" ht="15" customHeight="1" thickBot="1" x14ac:dyDescent="0.3">
      <c r="F21" s="34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9"/>
    </row>
    <row r="22" spans="2:34" s="35" customFormat="1" ht="15.75" x14ac:dyDescent="0.25">
      <c r="F22" s="3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5" customFormat="1" ht="15.75" hidden="1" x14ac:dyDescent="0.25">
      <c r="F23" s="34"/>
      <c r="G23" s="3"/>
      <c r="H23" s="3" t="str">
        <f>$H$27</f>
        <v>Residential</v>
      </c>
      <c r="I23" s="3" t="str">
        <f>$H$27</f>
        <v>Residential</v>
      </c>
      <c r="J23" s="3" t="str">
        <f>$H$27</f>
        <v>Residential</v>
      </c>
      <c r="K23" s="3"/>
      <c r="L23" s="3" t="str">
        <f>$H$27</f>
        <v>Residential</v>
      </c>
      <c r="M23" s="3" t="str">
        <f>$H$27</f>
        <v>Residential</v>
      </c>
      <c r="N23" s="3" t="str">
        <f>$H$27</f>
        <v>Residential</v>
      </c>
      <c r="O23" s="3" t="str">
        <f>$H$27</f>
        <v>Residential</v>
      </c>
      <c r="P23" s="3"/>
      <c r="Q23" s="3" t="str">
        <f>$Q$27</f>
        <v>Residential</v>
      </c>
      <c r="R23" s="3" t="str">
        <f>$Q$27</f>
        <v>Residential</v>
      </c>
      <c r="S23" s="3" t="str">
        <f>$Q$27</f>
        <v>Residential</v>
      </c>
      <c r="T23" s="3"/>
      <c r="U23" s="3" t="str">
        <f>$Q$27</f>
        <v>Residential</v>
      </c>
      <c r="V23" s="3" t="str">
        <f>$Q$27</f>
        <v>Residential</v>
      </c>
      <c r="W23" s="3" t="str">
        <f>$Q$27</f>
        <v>Residential</v>
      </c>
      <c r="X23" s="3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5" customFormat="1" ht="15.75" hidden="1" x14ac:dyDescent="0.25">
      <c r="F24" s="34"/>
      <c r="G24" s="3"/>
      <c r="H24" s="3" t="str">
        <f>$H$28</f>
        <v>without CL</v>
      </c>
      <c r="I24" s="3" t="str">
        <f>$H$28</f>
        <v>without CL</v>
      </c>
      <c r="J24" s="3" t="str">
        <f>$H$28</f>
        <v>without CL</v>
      </c>
      <c r="K24" s="3"/>
      <c r="L24" s="3" t="str">
        <f>$H$28</f>
        <v>without CL</v>
      </c>
      <c r="M24" s="3" t="str">
        <f>$H$28</f>
        <v>without CL</v>
      </c>
      <c r="N24" s="3" t="str">
        <f>$H$28</f>
        <v>without CL</v>
      </c>
      <c r="O24" s="3" t="str">
        <f>$H$28</f>
        <v>without CL</v>
      </c>
      <c r="P24" s="3"/>
      <c r="Q24" s="3" t="str">
        <f>$Q$28</f>
        <v>with CL</v>
      </c>
      <c r="R24" s="3" t="str">
        <f>$Q$28</f>
        <v>with CL</v>
      </c>
      <c r="S24" s="3" t="str">
        <f>$Q$28</f>
        <v>with CL</v>
      </c>
      <c r="T24" s="3"/>
      <c r="U24" s="3" t="str">
        <f>$Q$28</f>
        <v>with CL</v>
      </c>
      <c r="V24" s="3" t="str">
        <f>$Q$28</f>
        <v>with CL</v>
      </c>
      <c r="W24" s="3" t="str">
        <f>$Q$28</f>
        <v>with CL</v>
      </c>
      <c r="X24" s="3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5" customFormat="1" ht="15.75" hidden="1" x14ac:dyDescent="0.25">
      <c r="F25" s="34"/>
      <c r="G25" s="3"/>
      <c r="H25" s="3"/>
      <c r="I25" s="3" t="str">
        <f>$I$29</f>
        <v>2022-23</v>
      </c>
      <c r="J25" s="3" t="str">
        <f>$I$29</f>
        <v>2022-23</v>
      </c>
      <c r="K25" s="3"/>
      <c r="L25" s="3" t="str">
        <f>$L$29</f>
        <v>2023-24</v>
      </c>
      <c r="M25" s="3" t="str">
        <f>$L$29</f>
        <v>2023-24</v>
      </c>
      <c r="N25" s="3" t="str">
        <f>$L$29</f>
        <v>2023-24</v>
      </c>
      <c r="O25" s="3" t="str">
        <f>$L$29</f>
        <v>2023-24</v>
      </c>
      <c r="P25" s="3"/>
      <c r="Q25" s="3"/>
      <c r="R25" s="3" t="str">
        <f>$R$29</f>
        <v>2022-23</v>
      </c>
      <c r="S25" s="3" t="str">
        <f>$R$29</f>
        <v>2022-23</v>
      </c>
      <c r="T25" s="3"/>
      <c r="U25" s="3" t="str">
        <f>$U$29</f>
        <v>2023-24</v>
      </c>
      <c r="V25" s="3" t="str">
        <f>$U$29</f>
        <v>2023-24</v>
      </c>
      <c r="W25" s="3" t="str">
        <f>$U$29</f>
        <v>2023-24</v>
      </c>
      <c r="X25" s="3" t="str">
        <f>$U$29</f>
        <v>2023-24</v>
      </c>
      <c r="Y25" s="3"/>
      <c r="Z25" s="3"/>
      <c r="AA25" s="3" t="str">
        <f>$AA$29</f>
        <v>2022-23</v>
      </c>
      <c r="AB25" s="3" t="str">
        <f>$AA$29</f>
        <v>2022-23</v>
      </c>
      <c r="AC25" s="3"/>
      <c r="AD25" s="3" t="str">
        <f>$AD$29</f>
        <v>2023-24</v>
      </c>
      <c r="AE25" s="3" t="str">
        <f>$AD$29</f>
        <v>2023-24</v>
      </c>
      <c r="AF25" s="3" t="str">
        <f>$AD$29</f>
        <v>2023-24</v>
      </c>
      <c r="AG25" s="3" t="str">
        <f>$AD$29</f>
        <v>2023-24</v>
      </c>
    </row>
    <row r="26" spans="2:34" s="35" customFormat="1" ht="15.75" x14ac:dyDescent="0.25">
      <c r="F26" s="34" t="s">
        <v>46</v>
      </c>
      <c r="G26" s="94" t="s">
        <v>148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5" customFormat="1" x14ac:dyDescent="0.25">
      <c r="F27" s="316" t="s">
        <v>35</v>
      </c>
      <c r="G27" s="77"/>
      <c r="H27" s="317" t="s">
        <v>6</v>
      </c>
      <c r="I27" s="317"/>
      <c r="J27" s="317"/>
      <c r="K27" s="317"/>
      <c r="L27" s="317"/>
      <c r="M27" s="317"/>
      <c r="N27" s="317"/>
      <c r="O27" s="317"/>
      <c r="P27" s="42"/>
      <c r="Q27" s="317" t="s">
        <v>6</v>
      </c>
      <c r="R27" s="317"/>
      <c r="S27" s="317"/>
      <c r="T27" s="317"/>
      <c r="U27" s="317"/>
      <c r="V27" s="317"/>
      <c r="W27" s="317"/>
      <c r="X27" s="317"/>
      <c r="Y27" s="42"/>
      <c r="Z27" s="317" t="s">
        <v>83</v>
      </c>
      <c r="AA27" s="317"/>
      <c r="AB27" s="317"/>
      <c r="AC27" s="317"/>
      <c r="AD27" s="317"/>
      <c r="AE27" s="317"/>
      <c r="AF27" s="317"/>
      <c r="AG27" s="317"/>
    </row>
    <row r="28" spans="2:34" ht="15.75" thickBot="1" x14ac:dyDescent="0.3">
      <c r="F28" s="316"/>
      <c r="G28" s="77"/>
      <c r="H28" s="319" t="s">
        <v>146</v>
      </c>
      <c r="I28" s="319"/>
      <c r="J28" s="319"/>
      <c r="K28" s="319"/>
      <c r="L28" s="319"/>
      <c r="M28" s="319"/>
      <c r="N28" s="319"/>
      <c r="O28" s="319"/>
      <c r="P28" s="42"/>
      <c r="Q28" s="319" t="s">
        <v>147</v>
      </c>
      <c r="R28" s="319"/>
      <c r="S28" s="319"/>
      <c r="T28" s="319"/>
      <c r="U28" s="319"/>
      <c r="V28" s="319"/>
      <c r="W28" s="319"/>
      <c r="X28" s="319"/>
      <c r="Y28" s="42"/>
      <c r="Z28" s="319" t="s">
        <v>146</v>
      </c>
      <c r="AA28" s="319"/>
      <c r="AB28" s="319"/>
      <c r="AC28" s="319"/>
      <c r="AD28" s="319"/>
      <c r="AE28" s="319"/>
      <c r="AF28" s="319"/>
      <c r="AG28" s="319"/>
    </row>
    <row r="29" spans="2:34" ht="15" customHeight="1" thickTop="1" x14ac:dyDescent="0.25">
      <c r="F29" s="316"/>
      <c r="G29" s="78"/>
      <c r="H29" s="42" t="s">
        <v>73</v>
      </c>
      <c r="I29" s="318" t="str">
        <f>PY</f>
        <v>2022-23</v>
      </c>
      <c r="J29" s="318"/>
      <c r="K29" s="42"/>
      <c r="L29" s="318" t="str">
        <f>FY</f>
        <v>2023-24</v>
      </c>
      <c r="M29" s="318"/>
      <c r="N29" s="318"/>
      <c r="O29" s="318"/>
      <c r="P29" s="42"/>
      <c r="Q29" s="42" t="s">
        <v>73</v>
      </c>
      <c r="R29" s="318" t="str">
        <f>PY</f>
        <v>2022-23</v>
      </c>
      <c r="S29" s="318"/>
      <c r="T29" s="42"/>
      <c r="U29" s="318" t="str">
        <f>FY</f>
        <v>2023-24</v>
      </c>
      <c r="V29" s="318"/>
      <c r="W29" s="318"/>
      <c r="X29" s="318"/>
      <c r="Y29" s="42"/>
      <c r="Z29" s="42" t="s">
        <v>73</v>
      </c>
      <c r="AA29" s="318" t="str">
        <f>PY</f>
        <v>2022-23</v>
      </c>
      <c r="AB29" s="318"/>
      <c r="AC29" s="42"/>
      <c r="AD29" s="318" t="str">
        <f>FY</f>
        <v>2023-24</v>
      </c>
      <c r="AE29" s="318"/>
      <c r="AF29" s="318"/>
      <c r="AG29" s="318"/>
    </row>
    <row r="30" spans="2:34" ht="38.25" x14ac:dyDescent="0.25">
      <c r="F30" s="316"/>
      <c r="G30" s="78"/>
      <c r="H30" s="202"/>
      <c r="I30" s="203" t="s">
        <v>24</v>
      </c>
      <c r="J30" s="203" t="s">
        <v>26</v>
      </c>
      <c r="K30" s="203"/>
      <c r="L30" s="203" t="s">
        <v>23</v>
      </c>
      <c r="M30" s="204" t="s">
        <v>188</v>
      </c>
      <c r="N30" s="203" t="s">
        <v>24</v>
      </c>
      <c r="O30" s="203" t="s">
        <v>26</v>
      </c>
      <c r="P30" s="203"/>
      <c r="Q30" s="203"/>
      <c r="R30" s="203" t="s">
        <v>24</v>
      </c>
      <c r="S30" s="203" t="s">
        <v>26</v>
      </c>
      <c r="T30" s="203"/>
      <c r="U30" s="203" t="s">
        <v>23</v>
      </c>
      <c r="V30" s="204" t="s">
        <v>53</v>
      </c>
      <c r="W30" s="203" t="s">
        <v>24</v>
      </c>
      <c r="X30" s="203" t="s">
        <v>26</v>
      </c>
      <c r="Y30" s="203"/>
      <c r="Z30" s="203"/>
      <c r="AA30" s="203" t="s">
        <v>24</v>
      </c>
      <c r="AB30" s="203" t="s">
        <v>26</v>
      </c>
      <c r="AC30" s="203"/>
      <c r="AD30" s="203" t="s">
        <v>23</v>
      </c>
      <c r="AE30" s="204" t="s">
        <v>53</v>
      </c>
      <c r="AF30" s="203" t="s">
        <v>24</v>
      </c>
      <c r="AG30" s="203" t="s">
        <v>26</v>
      </c>
    </row>
    <row r="31" spans="2:34" ht="15" customHeight="1" x14ac:dyDescent="0.25">
      <c r="F31" s="316"/>
      <c r="G31" s="78"/>
      <c r="H31" s="203" t="s">
        <v>74</v>
      </c>
      <c r="I31" s="203" t="s">
        <v>48</v>
      </c>
      <c r="J31" s="203" t="s">
        <v>30</v>
      </c>
      <c r="K31" s="203"/>
      <c r="L31" s="203" t="s">
        <v>30</v>
      </c>
      <c r="M31" s="203" t="s">
        <v>30</v>
      </c>
      <c r="N31" s="203" t="s">
        <v>48</v>
      </c>
      <c r="O31" s="203" t="s">
        <v>30</v>
      </c>
      <c r="P31" s="203"/>
      <c r="Q31" s="203"/>
      <c r="R31" s="203" t="s">
        <v>48</v>
      </c>
      <c r="S31" s="203" t="s">
        <v>30</v>
      </c>
      <c r="T31" s="203"/>
      <c r="U31" s="203" t="s">
        <v>30</v>
      </c>
      <c r="V31" s="203" t="s">
        <v>30</v>
      </c>
      <c r="W31" s="203" t="s">
        <v>48</v>
      </c>
      <c r="X31" s="203" t="s">
        <v>30</v>
      </c>
      <c r="Y31" s="203"/>
      <c r="Z31" s="203"/>
      <c r="AA31" s="203" t="s">
        <v>48</v>
      </c>
      <c r="AB31" s="203" t="s">
        <v>30</v>
      </c>
      <c r="AC31" s="203"/>
      <c r="AD31" s="203" t="s">
        <v>30</v>
      </c>
      <c r="AE31" s="203" t="s">
        <v>30</v>
      </c>
      <c r="AF31" s="203" t="s">
        <v>48</v>
      </c>
      <c r="AG31" s="203" t="s">
        <v>30</v>
      </c>
    </row>
    <row r="32" spans="2:34" ht="15" customHeight="1" x14ac:dyDescent="0.25">
      <c r="F32" s="47" t="str">
        <f>"DMO "&amp;PY&amp;" price"</f>
        <v>DMO 2022-23 price</v>
      </c>
      <c r="G32" s="47"/>
      <c r="H32" s="205">
        <f t="array" ref="H32">INDEX('Detail inputs'!$B$3:$K$273,MATCH($B$6&amp;H$27&amp;H$28&amp;H$29,'Detail inputs'!$B$3:$B$273&amp;'Detail inputs'!$D$3:$D$273&amp;'Detail inputs'!$E$3:$E$273&amp;'Detail inputs'!$F$3:$F$273&amp;'Detail inputs'!$G$3:$G$273,0),MATCH(I$29,'Detail inputs'!$B$3:$K$3,0))</f>
        <v>1512</v>
      </c>
      <c r="I32" s="206"/>
      <c r="J32" s="206"/>
      <c r="K32" s="206"/>
      <c r="L32" s="206"/>
      <c r="M32" s="206"/>
      <c r="N32" s="206"/>
      <c r="O32" s="206"/>
      <c r="P32" s="206"/>
      <c r="Q32" s="205">
        <f t="array" ref="Q32">INDEX('Detail inputs'!$B$3:$K$273,MATCH($B$6&amp;Q$27&amp;Q$28&amp;Q$29,'Detail inputs'!$B$3:$B$273&amp;'Detail inputs'!$D$3:$D$273&amp;'Detail inputs'!$E$3:$E$273&amp;'Detail inputs'!$F$3:$F$273&amp;'Detail inputs'!$G$3:$G$273,0),MATCH(R$29,'Detail inputs'!$B$3:$K$3,0))</f>
        <v>2122</v>
      </c>
      <c r="R32" s="205"/>
      <c r="S32" s="206"/>
      <c r="T32" s="206"/>
      <c r="U32" s="206"/>
      <c r="V32" s="206"/>
      <c r="W32" s="207"/>
      <c r="X32" s="206"/>
      <c r="Y32" s="207"/>
      <c r="Z32" s="205">
        <f t="array" ref="Z32">INDEX('Detail inputs'!$B$3:$K$273,MATCH($B$6&amp;Z$27&amp;Z$28&amp;Z$29,'Detail inputs'!$B$3:$B$273&amp;'Detail inputs'!$D$3:$D$273&amp;'Detail inputs'!$E$3:$E$273&amp;'Detail inputs'!$F$3:$F$273&amp;'Detail inputs'!$G$3:$G$273,0),MATCH(AA$29,'Detail inputs'!$B$3:$K$3,0))</f>
        <v>4360</v>
      </c>
      <c r="AA32" s="205"/>
      <c r="AB32" s="206"/>
      <c r="AC32" s="206"/>
      <c r="AD32" s="206"/>
      <c r="AE32" s="206"/>
      <c r="AF32" s="206"/>
      <c r="AG32" s="206"/>
    </row>
    <row r="33" spans="2:33" ht="15" customHeight="1" x14ac:dyDescent="0.25">
      <c r="F33" s="48" t="s">
        <v>68</v>
      </c>
      <c r="G33" s="48"/>
      <c r="H33" s="207"/>
      <c r="I33" s="205" cm="1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538.42154299999993</v>
      </c>
      <c r="J33" s="206">
        <f t="shared" ref="J33:J37" ca="1" si="0">I33/H$32</f>
        <v>0.35609890410052908</v>
      </c>
      <c r="K33" s="206"/>
      <c r="L33" s="208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7.5422931908026625E-2</v>
      </c>
      <c r="M33" s="206">
        <f ca="1">J33*L33</f>
        <v>2.6858023396497108E-2</v>
      </c>
      <c r="N33" s="205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579.03087437550357</v>
      </c>
      <c r="O33" s="206">
        <f ca="1">N33/H$38</f>
        <v>0.31346171612923551</v>
      </c>
      <c r="P33" s="205"/>
      <c r="Q33" s="206"/>
      <c r="R33" s="205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706.79559829999994</v>
      </c>
      <c r="S33" s="206">
        <f t="shared" ref="S33:S37" ca="1" si="1">R33/Q$32</f>
        <v>0.33307992379830348</v>
      </c>
      <c r="T33" s="206"/>
      <c r="U33" s="208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5.2237487580846453E-2</v>
      </c>
      <c r="V33" s="206">
        <f ca="1">S33*U33</f>
        <v>1.7399258382843161E-2</v>
      </c>
      <c r="W33" s="205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743.71682458839314</v>
      </c>
      <c r="X33" s="206">
        <f ca="1">W33/Q$38</f>
        <v>0.28851591085792222</v>
      </c>
      <c r="Y33" s="207"/>
      <c r="Z33" s="207"/>
      <c r="AA33" s="205">
        <f t="array" aca="1" ref="AA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A$29&amp;AA$30,INDIRECT("'"&amp;$F33&amp;"'!$B$4:$T$4")&amp;INDIRECT("'"&amp;$F33&amp;"'!$B$5:$T$5"),0))</f>
        <v>1408.5695250000003</v>
      </c>
      <c r="AB33" s="206">
        <f t="shared" ref="AB33:AB37" ca="1" si="2">AA33/Z$32</f>
        <v>0.32306640481651383</v>
      </c>
      <c r="AC33" s="206"/>
      <c r="AD33" s="208">
        <f t="array" aca="1" ref="AD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D$30,INDIRECT("'"&amp;$F33&amp;"'!$B$4:$T$4")&amp;INDIRECT("'"&amp;$F33&amp;"'!$B$5:$T$5"),0))</f>
        <v>7.3904199360333767E-2</v>
      </c>
      <c r="AE33" s="206">
        <f ca="1">AB33*AD33</f>
        <v>2.3875963988185932E-2</v>
      </c>
      <c r="AF33" s="205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1512.6687279884911</v>
      </c>
      <c r="AG33" s="206">
        <f ca="1">AF33/Z$38</f>
        <v>0.30254628531875788</v>
      </c>
    </row>
    <row r="34" spans="2:33" ht="15" customHeight="1" x14ac:dyDescent="0.25">
      <c r="F34" s="48" t="s">
        <v>69</v>
      </c>
      <c r="G34" s="48"/>
      <c r="H34" s="207"/>
      <c r="I34" s="205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524.36670000000004</v>
      </c>
      <c r="J34" s="206">
        <f t="shared" ca="1" si="0"/>
        <v>0.34680337301587305</v>
      </c>
      <c r="K34" s="206"/>
      <c r="L34" s="208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0.51583081076658743</v>
      </c>
      <c r="M34" s="206">
        <f ca="1">J34*L34</f>
        <v>0.17889186507936505</v>
      </c>
      <c r="N34" s="205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794.85119999999995</v>
      </c>
      <c r="O34" s="206">
        <f ca="1">N34/H$38</f>
        <v>0.4302972988929154</v>
      </c>
      <c r="P34" s="206"/>
      <c r="Q34" s="206"/>
      <c r="R34" s="205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839.3510399999999</v>
      </c>
      <c r="S34" s="206">
        <f t="shared" ca="1" si="1"/>
        <v>0.3955471442035815</v>
      </c>
      <c r="T34" s="206"/>
      <c r="U34" s="208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0.46280278630500082</v>
      </c>
      <c r="V34" s="206">
        <f ca="1">S34*U34</f>
        <v>0.18306032045240347</v>
      </c>
      <c r="W34" s="205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1227.80504</v>
      </c>
      <c r="X34" s="206">
        <f ca="1">W34/Q$38</f>
        <v>0.47631205555636169</v>
      </c>
      <c r="Y34" s="207"/>
      <c r="Z34" s="207"/>
      <c r="AA34" s="205">
        <f t="array" aca="1" ref="AA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A$29&amp;AA$30,INDIRECT("'"&amp;$F34&amp;"'!$B$4:$T$4")&amp;INDIRECT("'"&amp;$F34&amp;"'!$B$5:$T$5"),0))</f>
        <v>1344.53</v>
      </c>
      <c r="AB34" s="206">
        <f t="shared" ca="1" si="2"/>
        <v>0.30837844036697248</v>
      </c>
      <c r="AC34" s="206"/>
      <c r="AD34" s="208">
        <f t="array" aca="1" ref="AD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D$30,INDIRECT("'"&amp;$F34&amp;"'!$B$4:$T$4")&amp;INDIRECT("'"&amp;$F34&amp;"'!$B$5:$T$5"),0))</f>
        <v>0.51583081076658766</v>
      </c>
      <c r="AE34" s="206">
        <f ca="1">AB34*AD34</f>
        <v>0.15907110091743121</v>
      </c>
      <c r="AF34" s="205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2038.08</v>
      </c>
      <c r="AG34" s="206">
        <f ca="1">AF34/Z$38</f>
        <v>0.40763289527536628</v>
      </c>
    </row>
    <row r="35" spans="2:33" ht="15" customHeight="1" x14ac:dyDescent="0.25">
      <c r="F35" s="48" t="s">
        <v>70</v>
      </c>
      <c r="G35" s="48"/>
      <c r="H35" s="207"/>
      <c r="I35" s="205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88.717200000000005</v>
      </c>
      <c r="J35" s="206">
        <f t="shared" ca="1" si="0"/>
        <v>5.8675396825396832E-2</v>
      </c>
      <c r="K35" s="206"/>
      <c r="L35" s="208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-9.4777562862669362E-2</v>
      </c>
      <c r="M35" s="206">
        <f ca="1">J35*L35</f>
        <v>-5.5611111111111182E-3</v>
      </c>
      <c r="N35" s="205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80.308799999999991</v>
      </c>
      <c r="O35" s="206">
        <f ca="1">N35/H$38</f>
        <v>4.3475633825968134E-2</v>
      </c>
      <c r="P35" s="206"/>
      <c r="Q35" s="206"/>
      <c r="R35" s="205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154.8184</v>
      </c>
      <c r="S35" s="206">
        <f t="shared" ca="1" si="1"/>
        <v>7.2958718190386421E-2</v>
      </c>
      <c r="T35" s="206"/>
      <c r="U35" s="208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-9.4838856363326451E-2</v>
      </c>
      <c r="V35" s="206">
        <f ca="1">S35*U35</f>
        <v>-6.9193213949104706E-3</v>
      </c>
      <c r="W35" s="205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140.13559999999998</v>
      </c>
      <c r="X35" s="206">
        <f ca="1">W35/Q$38</f>
        <v>5.4363904299190753E-2</v>
      </c>
      <c r="Y35" s="207"/>
      <c r="Z35" s="207"/>
      <c r="AA35" s="205">
        <f t="array" aca="1" ref="AA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A$29&amp;AA$30,INDIRECT("'"&amp;$F35&amp;"'!$B$4:$T$4")&amp;INDIRECT("'"&amp;$F35&amp;"'!$B$5:$T$5"),0))</f>
        <v>227.48000000000002</v>
      </c>
      <c r="AB35" s="206">
        <f t="shared" ca="1" si="2"/>
        <v>5.2174311926605509E-2</v>
      </c>
      <c r="AC35" s="206"/>
      <c r="AD35" s="208">
        <f t="array" aca="1" ref="AD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D$30,INDIRECT("'"&amp;$F35&amp;"'!$B$4:$T$4")&amp;INDIRECT("'"&amp;$F35&amp;"'!$B$5:$T$5"),0))</f>
        <v>-9.4777562862669362E-2</v>
      </c>
      <c r="AE35" s="206">
        <f ca="1">AB35*AD35</f>
        <v>-4.9449541284403735E-3</v>
      </c>
      <c r="AF35" s="205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205.92</v>
      </c>
      <c r="AG35" s="206">
        <f ca="1">AF35/Z$38</f>
        <v>4.1185707035594002E-2</v>
      </c>
    </row>
    <row r="36" spans="2:33" ht="15" customHeight="1" x14ac:dyDescent="0.25">
      <c r="F36" s="48" t="s">
        <v>204</v>
      </c>
      <c r="G36" s="48"/>
      <c r="H36" s="207"/>
      <c r="I36" s="205" cm="1">
        <f t="array" aca="1" ref="I36" ca="1">INDEX(INDIRECT("'"&amp;$F36&amp;"'!$B$3:$T$300"),MATCH($B$6&amp;H$27&amp;H$28&amp;"Total inc GST",INDIRECT("'"&amp;$F36&amp;"'!$B$3:$B$300")&amp;INDIRECT("'"&amp;$F36&amp;"'!$C$3:$C$300")&amp;INDIRECT("'"&amp;$F36&amp;"'!$D$3:$D$300")&amp;INDIRECT("'"&amp;$F36&amp;"'!$G$3:$G$300"),0),MATCH(I$29&amp;I$30,INDIRECT("'"&amp;$F36&amp;"'!$B$4:$T$4")&amp;INDIRECT("'"&amp;$F36&amp;"'!$B$5:$T$5"),0))</f>
        <v>209.099315715209</v>
      </c>
      <c r="J36" s="206">
        <f t="shared" ca="1" si="0"/>
        <v>0.13829319822434458</v>
      </c>
      <c r="K36" s="206"/>
      <c r="L36" s="208">
        <f ca="1">IFERROR((N36-I36)/I36,"New cost component")</f>
        <v>-3.8143546997817927E-3</v>
      </c>
      <c r="M36" s="208">
        <f ca="1">(N36-I36)/H32</f>
        <v>-5.2749931059488376E-4</v>
      </c>
      <c r="N36" s="205" cm="1">
        <f t="array" aca="1" ref="N36" ca="1">INDEX(INDIRECT("'"&amp;$F36&amp;"'!$B$3:$T$300"),MATCH($B$6&amp;H$27&amp;H$28&amp;"Total inc GST",INDIRECT("'"&amp;$F36&amp;"'!$B$3:$B$300")&amp;INDIRECT("'"&amp;$F36&amp;"'!$C$3:$C$300")&amp;INDIRECT("'"&amp;$F36&amp;"'!$D$3:$D$300")&amp;INDIRECT("'"&amp;$F36&amp;"'!$G$3:$G$300"),0),MATCH(L$29&amp;N$30,INDIRECT("'"&amp;$F36&amp;"'!$B$4:$T$4")&amp;INDIRECT("'"&amp;$F36&amp;"'!$B$5:$T$5"),0))</f>
        <v>208.30173675758954</v>
      </c>
      <c r="O36" s="206">
        <f ca="1">N36/H$38</f>
        <v>0.11276535115188087</v>
      </c>
      <c r="P36" s="206"/>
      <c r="Q36" s="206"/>
      <c r="R36" s="205" cm="1">
        <f t="array" aca="1" ref="R36" ca="1">INDEX(INDIRECT("'"&amp;$F36&amp;"'!$B$3:$T$300"),MATCH($B$6&amp;Q$27&amp;Q$28&amp;"Total inc GST",INDIRECT("'"&amp;$F36&amp;"'!$B$3:$B$300")&amp;INDIRECT("'"&amp;$F36&amp;"'!$C$3:$C$300")&amp;INDIRECT("'"&amp;$F36&amp;"'!$D$3:$D$300")&amp;INDIRECT("'"&amp;$F36&amp;"'!$G$3:$G$300"),0),MATCH(R$29&amp;R$30,INDIRECT("'"&amp;$F36&amp;"'!$B$4:$T$4")&amp;INDIRECT("'"&amp;$F36&amp;"'!$B$5:$T$5"),0))</f>
        <v>209.099315715209</v>
      </c>
      <c r="S36" s="206">
        <f t="shared" ca="1" si="1"/>
        <v>9.8538791571729026E-2</v>
      </c>
      <c r="T36" s="206"/>
      <c r="U36" s="208">
        <f ca="1">IFERROR((W36-R36)/R36,"New cost component")</f>
        <v>-3.8143546997817927E-3</v>
      </c>
      <c r="V36" s="208">
        <f ca="1">(W36-R36)/Q32</f>
        <v>-3.7586190274244309E-4</v>
      </c>
      <c r="W36" s="205" cm="1">
        <f t="array" aca="1" ref="W36" ca="1">INDEX(INDIRECT("'"&amp;$F36&amp;"'!$B$3:$T$300"),MATCH($B$6&amp;Q$27&amp;Q$28&amp;"Total inc GST",INDIRECT("'"&amp;$F36&amp;"'!$B$3:$B$300")&amp;INDIRECT("'"&amp;$F36&amp;"'!$C$3:$C$300")&amp;INDIRECT("'"&amp;$F36&amp;"'!$D$3:$D$300")&amp;INDIRECT("'"&amp;$F36&amp;"'!$G$3:$G$300"),0),MATCH(U$29&amp;W$30,INDIRECT("'"&amp;$F36&amp;"'!$B$4:$T$4")&amp;INDIRECT("'"&amp;$F36&amp;"'!$B$5:$T$5"),0))</f>
        <v>208.30173675758954</v>
      </c>
      <c r="X36" s="206">
        <f ca="1">W36/Q$38</f>
        <v>8.0808129286525504E-2</v>
      </c>
      <c r="Y36" s="207"/>
      <c r="Z36" s="207"/>
      <c r="AA36" s="205" cm="1">
        <f t="array" aca="1" ref="AA36" ca="1">INDEX(INDIRECT("'"&amp;$F36&amp;"'!$B$3:$T$300"),MATCH($B$6&amp;Z$27&amp;Z$28&amp;"Total inc GST",INDIRECT("'"&amp;$F36&amp;"'!$B$3:$B$300")&amp;INDIRECT("'"&amp;$F36&amp;"'!$C$3:$C$300")&amp;INDIRECT("'"&amp;$F36&amp;"'!$D$3:$D$300")&amp;INDIRECT("'"&amp;$F36&amp;"'!$G$3:$G$300"),0),MATCH(AA$29&amp;AA$30,INDIRECT("'"&amp;$F36&amp;"'!$B$4:$T$4")&amp;INDIRECT("'"&amp;$F36&amp;"'!$B$5:$T$5"),0))</f>
        <v>289.06850034020903</v>
      </c>
      <c r="AB36" s="206">
        <f t="shared" ca="1" si="2"/>
        <v>6.630011475692868E-2</v>
      </c>
      <c r="AC36" s="206"/>
      <c r="AD36" s="208">
        <f ca="1">IFERROR((AF36-AA36)/AA36,"New cost component")</f>
        <v>-0.15879633166791166</v>
      </c>
      <c r="AE36" s="208">
        <f ca="1">(AF36-AA36)/Z32</f>
        <v>-1.052821501256185E-2</v>
      </c>
      <c r="AF36" s="205" cm="1">
        <f t="array" aca="1" ref="AF36" ca="1">INDEX(INDIRECT("'"&amp;$F36&amp;"'!$B$3:$T$300"),MATCH($B$6&amp;Z$27&amp;Z$28&amp;"Total inc GST",INDIRECT("'"&amp;$F36&amp;"'!$B$3:$B$300")&amp;INDIRECT("'"&amp;$F36&amp;"'!$C$3:$C$300")&amp;INDIRECT("'"&amp;$F36&amp;"'!$D$3:$D$300")&amp;INDIRECT("'"&amp;$F36&amp;"'!$G$3:$G$300"),0),MATCH(AD$29&amp;AF$30,INDIRECT("'"&amp;$F36&amp;"'!$B$4:$T$4")&amp;INDIRECT("'"&amp;$F36&amp;"'!$B$5:$T$5"),0))</f>
        <v>243.16548288543936</v>
      </c>
      <c r="AG36" s="206">
        <f ca="1">AF36/Z$38</f>
        <v>4.8635112370281917E-2</v>
      </c>
    </row>
    <row r="37" spans="2:33" ht="15" customHeight="1" x14ac:dyDescent="0.25">
      <c r="F37" s="48" t="s">
        <v>206</v>
      </c>
      <c r="G37" s="48"/>
      <c r="H37" s="207"/>
      <c r="I37" s="205">
        <f ca="1">SUM(I33:I36)/(1-SUMIFS('Detail inputs'!$I:$I,'Detail inputs'!$B:$B,$B$6,'Detail inputs'!$G:$G,$F$37,'Detail inputs'!$D:$D,$H$27,'Detail inputs'!$E:$E,$H28))-SUM(I33:I36)</f>
        <v>151.17830652391217</v>
      </c>
      <c r="J37" s="206">
        <f t="shared" ca="1" si="0"/>
        <v>9.9985652462904875E-2</v>
      </c>
      <c r="K37" s="206"/>
      <c r="L37" s="208">
        <f ca="1">IFERROR((N37-I37)/I37,"New cost component")</f>
        <v>0.2218776984897135</v>
      </c>
      <c r="M37" s="208">
        <f ca="1">(N37-I37)/H32</f>
        <v>2.2184586450461688E-2</v>
      </c>
      <c r="N37" s="205">
        <f ca="1">SUM(N33:N36)/(1-SUMIFS('Detail inputs'!$J:$J,'Detail inputs'!$B:$B,$B$6,'Detail inputs'!$G:$G,$F$37,'Detail inputs'!$D:$D,$H$27,'Detail inputs'!$E:$E,$H28))-SUM(N33:N36)</f>
        <v>184.72140123701024</v>
      </c>
      <c r="O37" s="206">
        <f ca="1">N37/H$38</f>
        <v>9.9999999999999936E-2</v>
      </c>
      <c r="P37" s="206"/>
      <c r="Q37" s="206"/>
      <c r="R37" s="205">
        <f ca="1">SUM(R33:R36)/(1-SUMIFS('Detail inputs'!$I:$I,'Detail inputs'!$B:$B,$B$6,'Detail inputs'!$G:$G,$F$37,'Detail inputs'!$D:$D,$Q$27,'Detail inputs'!$E:$E,$Q28))-SUM(R33:R36)</f>
        <v>212.22937266835629</v>
      </c>
      <c r="S37" s="206">
        <f t="shared" ca="1" si="1"/>
        <v>0.1000138419737777</v>
      </c>
      <c r="T37" s="206"/>
      <c r="U37" s="208">
        <f ca="1">IFERROR((W37-R37)/R37,"New cost component")</f>
        <v>0.21459740163681951</v>
      </c>
      <c r="V37" s="208">
        <f ca="1">(W37-R37)/Q32</f>
        <v>2.1462710615288171E-2</v>
      </c>
      <c r="W37" s="205">
        <f ca="1">SUM(W33:W36)/(1-SUMIFS('Detail inputs'!$J:$J,'Detail inputs'!$B:$B,$B$6,'Detail inputs'!$G:$G,$F$37,'Detail inputs'!$D:$D,$Q$27,'Detail inputs'!$E:$E,$Q28))-SUM(W33:W36)</f>
        <v>257.77324459399779</v>
      </c>
      <c r="X37" s="206">
        <f ca="1">W37/Q$38</f>
        <v>9.9999999999999908E-2</v>
      </c>
      <c r="Y37" s="207"/>
      <c r="Z37" s="207"/>
      <c r="AA37" s="205">
        <f ca="1">SUM(AA33:AA36)/(1-SUMIFS('Detail inputs'!$I:$I,'Detail inputs'!$B:$B,$B$6,'Detail inputs'!$G:$G,$F$37,'Detail inputs'!$D:$D,$Z$27,'Detail inputs'!$E:$E,$Z28))-SUM(AA33:AA36)</f>
        <v>1089.8826751134029</v>
      </c>
      <c r="AB37" s="206">
        <f t="shared" ca="1" si="2"/>
        <v>0.24997309062234011</v>
      </c>
      <c r="AC37" s="206"/>
      <c r="AD37" s="208">
        <f ca="1">IFERROR((AF37-AA37)/AA37,"New cost component")</f>
        <v>-8.2508075821614499E-2</v>
      </c>
      <c r="AE37" s="208">
        <f ca="1">(AF37-AA37)/Z32</f>
        <v>-2.0624798714431351E-2</v>
      </c>
      <c r="AF37" s="205">
        <f ca="1">SUM(AF33:AF36)/(1-SUMIFS('Detail inputs'!$J:$J,'Detail inputs'!$B:$B,$B$6,'Detail inputs'!$G:$G,$F$37,'Detail inputs'!$D:$D,$Z$27,'Detail inputs'!$E:$E,$Z28))-SUM(AF33:AF36)</f>
        <v>999.95855271848222</v>
      </c>
      <c r="AG37" s="206">
        <f ca="1">AF37/Z$38</f>
        <v>0.19999999999999996</v>
      </c>
    </row>
    <row r="38" spans="2:33" ht="15.75" thickBot="1" x14ac:dyDescent="0.3">
      <c r="B38" s="76"/>
      <c r="F38" s="73" t="str">
        <f>"DMO "&amp;FY&amp;" price"</f>
        <v>DMO 2023-24 price</v>
      </c>
      <c r="G38" s="73"/>
      <c r="H38" s="209">
        <f ca="1">SUM(N33:N37)</f>
        <v>1847.2140123701035</v>
      </c>
      <c r="I38" s="210"/>
      <c r="J38" s="210"/>
      <c r="K38" s="210"/>
      <c r="L38" s="210">
        <f ca="1">H38/H32-1</f>
        <v>0.22170238913366647</v>
      </c>
      <c r="M38" s="210"/>
      <c r="N38" s="210"/>
      <c r="O38" s="210"/>
      <c r="P38" s="210"/>
      <c r="Q38" s="209">
        <f ca="1">SUM(W33:W37)</f>
        <v>2577.7324459399802</v>
      </c>
      <c r="R38" s="209"/>
      <c r="S38" s="210"/>
      <c r="T38" s="210"/>
      <c r="U38" s="210">
        <f ca="1">Q38/Q32-1</f>
        <v>0.21476552589065978</v>
      </c>
      <c r="V38" s="210"/>
      <c r="W38" s="211"/>
      <c r="X38" s="211"/>
      <c r="Y38" s="211"/>
      <c r="Z38" s="209">
        <f ca="1">SUM(AF33:AF37)</f>
        <v>4999.7927635924125</v>
      </c>
      <c r="AA38" s="209"/>
      <c r="AB38" s="210"/>
      <c r="AC38" s="210"/>
      <c r="AD38" s="210">
        <f ca="1">Z38/Z32-1</f>
        <v>0.14674145953954421</v>
      </c>
      <c r="AE38" s="210"/>
      <c r="AF38" s="210"/>
      <c r="AG38" s="210"/>
    </row>
    <row r="39" spans="2:33" ht="15.75" thickTop="1" x14ac:dyDescent="0.25">
      <c r="F39" s="107"/>
    </row>
    <row r="40" spans="2:33" x14ac:dyDescent="0.25">
      <c r="F40" s="94"/>
    </row>
    <row r="42" spans="2:33" x14ac:dyDescent="0.25">
      <c r="F42" s="107"/>
      <c r="O42" s="162"/>
    </row>
    <row r="43" spans="2:33" s="92" customFormat="1" ht="12" x14ac:dyDescent="0.25">
      <c r="H43" s="93"/>
    </row>
    <row r="47" spans="2:33" x14ac:dyDescent="0.25">
      <c r="H47" s="74"/>
    </row>
  </sheetData>
  <mergeCells count="15">
    <mergeCell ref="Z27:AG27"/>
    <mergeCell ref="H28:O28"/>
    <mergeCell ref="Q28:X28"/>
    <mergeCell ref="Z28:AG28"/>
    <mergeCell ref="I29:J29"/>
    <mergeCell ref="AA29:AB29"/>
    <mergeCell ref="AD29:AG29"/>
    <mergeCell ref="A1:B1"/>
    <mergeCell ref="B6:B7"/>
    <mergeCell ref="F27:F31"/>
    <mergeCell ref="H27:O27"/>
    <mergeCell ref="Q27:X27"/>
    <mergeCell ref="L29:O29"/>
    <mergeCell ref="R29:S29"/>
    <mergeCell ref="U29:X29"/>
  </mergeCells>
  <conditionalFormatting sqref="Y38:AE38 F38:M38 P38:V38 F32:AG37">
    <cfRule type="expression" dxfId="1281" priority="56">
      <formula>MOD(ROW(),2)=0</formula>
    </cfRule>
    <cfRule type="expression" dxfId="1280" priority="57">
      <formula>AND(MOD(ROW(),2)=0,F$30="Proportion",$F32="Overall change in costs (%)")</formula>
    </cfRule>
    <cfRule type="expression" dxfId="1279" priority="58">
      <formula>AND(MOD(ROW(),1)=0,F$30="Proportion",$F32="Overall change in costs (%)")</formula>
    </cfRule>
  </conditionalFormatting>
  <conditionalFormatting sqref="P43:R43 G43:J43 Y43:AA43 M43:N43">
    <cfRule type="cellIs" dxfId="1278" priority="54" operator="equal">
      <formula>FALSE</formula>
    </cfRule>
    <cfRule type="cellIs" dxfId="1277" priority="55" operator="equal">
      <formula>TRUE</formula>
    </cfRule>
  </conditionalFormatting>
  <conditionalFormatting sqref="O38 X38 AG38">
    <cfRule type="expression" dxfId="1276" priority="59">
      <formula>MOD(ROW(),2)=0</formula>
    </cfRule>
    <cfRule type="expression" dxfId="1275" priority="60">
      <formula>AND(MOD(ROW(),2)=0,N$30="Proportion",$F38="Overall change in costs (%)")</formula>
    </cfRule>
    <cfRule type="expression" dxfId="1274" priority="61">
      <formula>AND(MOD(ROW(),1)=0,N$30="Proportion",$F38="Overall change in costs (%)")</formula>
    </cfRule>
  </conditionalFormatting>
  <conditionalFormatting sqref="N38 W38 AF38">
    <cfRule type="expression" dxfId="1273" priority="62">
      <formula>MOD(ROW(),2)=0</formula>
    </cfRule>
    <cfRule type="expression" dxfId="1272" priority="63">
      <formula>AND(MOD(ROW(),2)=0,#REF!="Proportion",$F38="Overall change in costs (%)")</formula>
    </cfRule>
    <cfRule type="expression" dxfId="1271" priority="64">
      <formula>AND(MOD(ROW(),1)=0,#REF!="Proportion",$F38="Overall change in costs (%)")</formula>
    </cfRule>
  </conditionalFormatting>
  <conditionalFormatting sqref="O43">
    <cfRule type="cellIs" dxfId="1270" priority="52" operator="equal">
      <formula>FALSE</formula>
    </cfRule>
    <cfRule type="cellIs" dxfId="1269" priority="53" operator="equal">
      <formula>TRUE</formula>
    </cfRule>
  </conditionalFormatting>
  <conditionalFormatting sqref="S43:T43">
    <cfRule type="cellIs" dxfId="1268" priority="50" operator="equal">
      <formula>FALSE</formula>
    </cfRule>
    <cfRule type="cellIs" dxfId="1267" priority="51" operator="equal">
      <formula>TRUE</formula>
    </cfRule>
  </conditionalFormatting>
  <conditionalFormatting sqref="X43">
    <cfRule type="cellIs" dxfId="1266" priority="48" operator="equal">
      <formula>FALSE</formula>
    </cfRule>
    <cfRule type="cellIs" dxfId="1265" priority="49" operator="equal">
      <formula>TRUE</formula>
    </cfRule>
  </conditionalFormatting>
  <conditionalFormatting sqref="W43">
    <cfRule type="cellIs" dxfId="1264" priority="46" operator="equal">
      <formula>FALSE</formula>
    </cfRule>
    <cfRule type="cellIs" dxfId="1263" priority="47" operator="equal">
      <formula>TRUE</formula>
    </cfRule>
  </conditionalFormatting>
  <conditionalFormatting sqref="AB43:AC43">
    <cfRule type="cellIs" dxfId="1262" priority="44" operator="equal">
      <formula>FALSE</formula>
    </cfRule>
    <cfRule type="cellIs" dxfId="1261" priority="45" operator="equal">
      <formula>TRUE</formula>
    </cfRule>
  </conditionalFormatting>
  <conditionalFormatting sqref="AG43">
    <cfRule type="cellIs" dxfId="1260" priority="42" operator="equal">
      <formula>FALSE</formula>
    </cfRule>
    <cfRule type="cellIs" dxfId="1259" priority="43" operator="equal">
      <formula>TRUE</formula>
    </cfRule>
  </conditionalFormatting>
  <conditionalFormatting sqref="AF43">
    <cfRule type="cellIs" dxfId="1258" priority="40" operator="equal">
      <formula>FALSE</formula>
    </cfRule>
    <cfRule type="cellIs" dxfId="1257" priority="41" operator="equal">
      <formula>TRUE</formula>
    </cfRule>
  </conditionalFormatting>
  <conditionalFormatting sqref="V43">
    <cfRule type="cellIs" dxfId="1256" priority="38" operator="equal">
      <formula>FALSE</formula>
    </cfRule>
    <cfRule type="cellIs" dxfId="1255" priority="39" operator="equal">
      <formula>TRUE</formula>
    </cfRule>
  </conditionalFormatting>
  <conditionalFormatting sqref="AE43">
    <cfRule type="cellIs" dxfId="1254" priority="36" operator="equal">
      <formula>FALSE</formula>
    </cfRule>
    <cfRule type="cellIs" dxfId="1253" priority="37" operator="equal">
      <formula>TRUE</formula>
    </cfRule>
  </conditionalFormatting>
  <conditionalFormatting sqref="AD43">
    <cfRule type="cellIs" dxfId="1252" priority="34" operator="equal">
      <formula>FALSE</formula>
    </cfRule>
    <cfRule type="cellIs" dxfId="1251" priority="35" operator="equal">
      <formula>TRUE</formula>
    </cfRule>
  </conditionalFormatting>
  <conditionalFormatting sqref="U43">
    <cfRule type="cellIs" dxfId="1250" priority="32" operator="equal">
      <formula>FALSE</formula>
    </cfRule>
    <cfRule type="cellIs" dxfId="1249" priority="33" operator="equal">
      <formula>TRUE</formula>
    </cfRule>
  </conditionalFormatting>
  <conditionalFormatting sqref="K43">
    <cfRule type="cellIs" dxfId="1248" priority="30" operator="equal">
      <formula>FALSE</formula>
    </cfRule>
    <cfRule type="cellIs" dxfId="1247" priority="31" operator="equal">
      <formula>TRUE</formula>
    </cfRule>
  </conditionalFormatting>
  <conditionalFormatting sqref="L43">
    <cfRule type="cellIs" dxfId="1246" priority="28" operator="equal">
      <formula>FALSE</formula>
    </cfRule>
    <cfRule type="cellIs" dxfId="1245" priority="29" operator="equal">
      <formula>TRUE</formula>
    </cfRule>
  </conditionalFormatting>
  <hyperlinks>
    <hyperlink ref="A1" location="Index!A1" display="&lt;&lt;Back to Index" xr:uid="{A77B2390-B657-4C0B-9D89-BAD63160264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B9372-9F79-401C-A6CA-3210670EDA99}">
  <sheetPr>
    <tabColor rgb="FF00B050"/>
  </sheetPr>
  <dimension ref="A1:AH47"/>
  <sheetViews>
    <sheetView zoomScaleNormal="100" workbookViewId="0">
      <selection activeCell="A4" sqref="A4"/>
    </sheetView>
  </sheetViews>
  <sheetFormatPr defaultColWidth="8.85546875" defaultRowHeight="15" x14ac:dyDescent="0.25"/>
  <cols>
    <col min="1" max="1" width="1.85546875" style="3" customWidth="1"/>
    <col min="2" max="2" width="33.85546875" style="3" bestFit="1" customWidth="1"/>
    <col min="3" max="5" width="13.140625" style="3" customWidth="1"/>
    <col min="6" max="6" width="26.85546875" style="3" customWidth="1"/>
    <col min="7" max="7" width="5.85546875" style="3" customWidth="1"/>
    <col min="8" max="10" width="10.85546875" style="3" customWidth="1"/>
    <col min="11" max="11" width="1.85546875" style="3" customWidth="1"/>
    <col min="12" max="12" width="10.85546875" style="3" customWidth="1"/>
    <col min="13" max="13" width="12.140625" style="3" customWidth="1"/>
    <col min="14" max="14" width="13.140625" style="3" customWidth="1"/>
    <col min="15" max="15" width="10.85546875" style="3" customWidth="1"/>
    <col min="16" max="16" width="5.85546875" style="3" customWidth="1"/>
    <col min="17" max="19" width="10.85546875" style="3" customWidth="1"/>
    <col min="20" max="20" width="1.85546875" style="3" customWidth="1"/>
    <col min="21" max="21" width="10.85546875" style="3" customWidth="1"/>
    <col min="22" max="22" width="12.140625" style="3" customWidth="1"/>
    <col min="23" max="23" width="13.140625" style="3" customWidth="1"/>
    <col min="24" max="24" width="10.85546875" style="3" customWidth="1"/>
    <col min="25" max="25" width="5.85546875" style="3" customWidth="1"/>
    <col min="26" max="28" width="10.85546875" style="3" customWidth="1"/>
    <col min="29" max="29" width="1.85546875" style="3" customWidth="1"/>
    <col min="30" max="30" width="10.85546875" style="3" customWidth="1"/>
    <col min="31" max="31" width="12.140625" style="3" customWidth="1"/>
    <col min="32" max="32" width="8.85546875" style="3" customWidth="1"/>
    <col min="33" max="33" width="10.85546875" style="3" customWidth="1"/>
    <col min="34" max="16384" width="8.85546875" style="3"/>
  </cols>
  <sheetData>
    <row r="1" spans="1:34" ht="10.35" customHeight="1" x14ac:dyDescent="0.25">
      <c r="A1" s="286" t="s">
        <v>21</v>
      </c>
      <c r="B1" s="291"/>
    </row>
    <row r="2" spans="1:34" s="14" customFormat="1" ht="22.5" customHeight="1" x14ac:dyDescent="0.25">
      <c r="A2" s="15" t="s">
        <v>4</v>
      </c>
    </row>
    <row r="3" spans="1:34" s="67" customFormat="1" ht="15.75" thickBot="1" x14ac:dyDescent="0.3">
      <c r="C3" s="67" t="str">
        <f>$A$2&amp;" "&amp;C6&amp;" "&amp;C7</f>
        <v>Endeavour Residential without CL</v>
      </c>
      <c r="D3" s="67" t="str">
        <f>$A$2&amp;" "&amp;D6&amp;" "&amp;D7</f>
        <v>Endeavour Residential with CL</v>
      </c>
      <c r="E3" s="67" t="str">
        <f>$A$2&amp;" "&amp;E6&amp;" "&amp;E7</f>
        <v>Endeavour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75" x14ac:dyDescent="0.25">
      <c r="B4" s="34" t="s">
        <v>20</v>
      </c>
      <c r="F4" s="34"/>
      <c r="G4" s="79" t="s">
        <v>98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1"/>
    </row>
    <row r="5" spans="1:34" ht="5.0999999999999996" customHeight="1" x14ac:dyDescent="0.25">
      <c r="B5" s="5"/>
      <c r="G5" s="82"/>
      <c r="H5" s="83"/>
      <c r="AH5" s="84"/>
    </row>
    <row r="6" spans="1:34" ht="20.100000000000001" customHeight="1" x14ac:dyDescent="0.25">
      <c r="B6" s="315" t="str">
        <f>A2</f>
        <v>Endeavour</v>
      </c>
      <c r="C6" s="45" t="s">
        <v>6</v>
      </c>
      <c r="D6" s="45" t="s">
        <v>6</v>
      </c>
      <c r="E6" s="45" t="s">
        <v>83</v>
      </c>
      <c r="G6" s="82"/>
      <c r="H6" s="83"/>
      <c r="AH6" s="84"/>
    </row>
    <row r="7" spans="1:34" ht="20.100000000000001" customHeight="1" x14ac:dyDescent="0.25">
      <c r="B7" s="315"/>
      <c r="C7" s="46" t="s">
        <v>146</v>
      </c>
      <c r="D7" s="46" t="s">
        <v>147</v>
      </c>
      <c r="E7" s="46" t="s">
        <v>146</v>
      </c>
      <c r="G7" s="82"/>
      <c r="AH7" s="84"/>
    </row>
    <row r="8" spans="1:34" ht="2.1" customHeight="1" x14ac:dyDescent="0.25">
      <c r="C8" s="20"/>
      <c r="D8" s="20"/>
      <c r="E8" s="20"/>
      <c r="G8" s="82"/>
      <c r="AH8" s="84"/>
    </row>
    <row r="9" spans="1:34" s="43" customFormat="1" ht="30" customHeight="1" x14ac:dyDescent="0.25">
      <c r="B9" s="49" t="str">
        <f>"DMO "&amp;FY&amp;" price ($ pa, inc GST)"</f>
        <v>DMO 2023-24 price ($ pa, inc GST)</v>
      </c>
      <c r="C9" s="147">
        <f ca="1">ROUND(H38,0)</f>
        <v>2219</v>
      </c>
      <c r="D9" s="147">
        <f ca="1">ROUND(Q38,0)</f>
        <v>2947</v>
      </c>
      <c r="E9" s="147">
        <f ca="1">ROUND(Z38,0)</f>
        <v>4535</v>
      </c>
      <c r="F9" s="3"/>
      <c r="G9" s="8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85"/>
    </row>
    <row r="10" spans="1:34" ht="2.1" customHeight="1" x14ac:dyDescent="0.25">
      <c r="B10" s="50"/>
      <c r="C10" s="51"/>
      <c r="D10" s="51"/>
      <c r="E10" s="51"/>
      <c r="F10" s="43"/>
      <c r="G10" s="86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84"/>
    </row>
    <row r="11" spans="1:34" ht="20.100000000000001" customHeight="1" x14ac:dyDescent="0.25">
      <c r="B11" s="52" t="s">
        <v>51</v>
      </c>
      <c r="C11" s="53">
        <f>SUM(C12:C13)</f>
        <v>4900</v>
      </c>
      <c r="D11" s="53">
        <f>SUM(D12:D13)</f>
        <v>7400</v>
      </c>
      <c r="E11" s="53">
        <f>SUM(E12:E13)</f>
        <v>10000</v>
      </c>
      <c r="G11" s="82"/>
      <c r="AH11" s="84"/>
    </row>
    <row r="12" spans="1:34" ht="20.100000000000001" customHeight="1" x14ac:dyDescent="0.25">
      <c r="B12" s="54" t="s">
        <v>55</v>
      </c>
      <c r="C12" s="55">
        <f t="array" ref="C12">INDEX(Usage!$B$5:$M$18,MATCH($B6,Usage!$B$5:$B$18,0),MATCH(C$6&amp;C$7&amp;"Flat rate"&amp;"Total",Usage!$B$5:$M$5&amp;Usage!$B$6:$M$6&amp;Usage!$B$7:$M$7&amp;Usage!$B$13:$M$13,0))</f>
        <v>4900</v>
      </c>
      <c r="D12" s="55">
        <f t="array" ref="D12">INDEX(Usage!$B$5:$M$18,MATCH($B6,Usage!$B$5:$B$18,0),MATCH(D$6&amp;D$7&amp;"Flat rate"&amp;"Total",Usage!$B$5:$M$5&amp;Usage!$B$6:$M$6&amp;Usage!$B$7:$M$7&amp;Usage!$B$13:$M$13,0))</f>
        <v>5200</v>
      </c>
      <c r="E12" s="55">
        <f t="array" ref="E12">INDEX(Usage!$B$5:$M$18,MATCH($B6,Usage!$B$5:$B$18,0),MATCH(E$6&amp;E$7&amp;"Flat rate"&amp;"Total",Usage!$B$5:$M$5&amp;Usage!$B$6:$M$6&amp;Usage!$B$7:$M$7&amp;Usage!$B$13:$M$13,0))</f>
        <v>10000</v>
      </c>
      <c r="G12" s="82"/>
      <c r="AH12" s="84"/>
    </row>
    <row r="13" spans="1:34" ht="20.100000000000001" customHeight="1" x14ac:dyDescent="0.25">
      <c r="B13" s="54" t="s">
        <v>54</v>
      </c>
      <c r="C13" s="55"/>
      <c r="D13" s="55">
        <f t="array" ref="D13">INDEX(Usage!$B$5:$M$18,MATCH($B6,Usage!$B$5:$B$18,0),MATCH(D$6&amp;D$7&amp;"CL"&amp;"Total",Usage!$B$5:$M$5&amp;Usage!$B$6:$M$6&amp;Usage!$B$7:$M$7&amp;Usage!$B$13:$M$13,0))</f>
        <v>2200</v>
      </c>
      <c r="E13" s="55"/>
      <c r="G13" s="82"/>
      <c r="AH13" s="84"/>
    </row>
    <row r="14" spans="1:34" ht="2.1" customHeight="1" x14ac:dyDescent="0.25">
      <c r="B14" s="56"/>
      <c r="C14" s="56"/>
      <c r="D14" s="56"/>
      <c r="E14" s="56"/>
      <c r="G14" s="82"/>
      <c r="AH14" s="84"/>
    </row>
    <row r="15" spans="1:34" ht="20.100000000000001" customHeight="1" x14ac:dyDescent="0.25">
      <c r="B15" s="54" t="str">
        <f>"Change from DMO "&amp;PY&amp; " price ($)"</f>
        <v>Change from DMO 2022-23 price ($)</v>
      </c>
      <c r="C15" s="114">
        <f ca="1">C9-H32</f>
        <v>383</v>
      </c>
      <c r="D15" s="114">
        <f ca="1">D9-Q32</f>
        <v>564</v>
      </c>
      <c r="E15" s="114">
        <f ca="1">E9-Z32</f>
        <v>753</v>
      </c>
      <c r="G15" s="82"/>
      <c r="AH15" s="84"/>
    </row>
    <row r="16" spans="1:34" ht="20.100000000000001" customHeight="1" thickBot="1" x14ac:dyDescent="0.3">
      <c r="B16" s="57" t="str">
        <f>"Change from DMO "&amp;PY&amp; " price (%)"</f>
        <v>Change from DMO 2022-23 price (%)</v>
      </c>
      <c r="C16" s="95">
        <f ca="1">C9/H32-1</f>
        <v>0.20860566448801743</v>
      </c>
      <c r="D16" s="95">
        <f ca="1">D9/Q32-1</f>
        <v>0.23667645824590844</v>
      </c>
      <c r="E16" s="95">
        <f ca="1">E9/Z32-1</f>
        <v>0.19910100475938664</v>
      </c>
      <c r="G16" s="82"/>
      <c r="AH16" s="84"/>
    </row>
    <row r="17" spans="2:34" ht="15.75" thickTop="1" x14ac:dyDescent="0.25">
      <c r="B17" s="76" t="s">
        <v>97</v>
      </c>
      <c r="G17" s="82"/>
      <c r="AH17" s="84"/>
    </row>
    <row r="18" spans="2:34" x14ac:dyDescent="0.25">
      <c r="G18" s="82"/>
      <c r="AH18" s="84"/>
    </row>
    <row r="19" spans="2:34" x14ac:dyDescent="0.25">
      <c r="C19" s="74"/>
      <c r="D19" s="149"/>
      <c r="G19" s="82"/>
      <c r="AH19" s="84"/>
    </row>
    <row r="20" spans="2:34" ht="15.75" x14ac:dyDescent="0.25">
      <c r="B20" s="34"/>
      <c r="D20" s="149"/>
      <c r="G20" s="82"/>
      <c r="AH20" s="84"/>
    </row>
    <row r="21" spans="2:34" ht="15" customHeight="1" thickBot="1" x14ac:dyDescent="0.3">
      <c r="F21" s="34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9"/>
    </row>
    <row r="22" spans="2:34" s="35" customFormat="1" ht="15.75" x14ac:dyDescent="0.25">
      <c r="F22" s="3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5" customFormat="1" ht="15.75" hidden="1" x14ac:dyDescent="0.25">
      <c r="F23" s="34"/>
      <c r="G23" s="3"/>
      <c r="H23" s="3" t="str">
        <f>$H$27</f>
        <v>Residential</v>
      </c>
      <c r="I23" s="3" t="str">
        <f>$H$27</f>
        <v>Residential</v>
      </c>
      <c r="J23" s="3" t="str">
        <f>$H$27</f>
        <v>Residential</v>
      </c>
      <c r="K23" s="3"/>
      <c r="L23" s="3" t="str">
        <f>$H$27</f>
        <v>Residential</v>
      </c>
      <c r="M23" s="3" t="str">
        <f>$H$27</f>
        <v>Residential</v>
      </c>
      <c r="N23" s="3" t="str">
        <f>$H$27</f>
        <v>Residential</v>
      </c>
      <c r="O23" s="3" t="str">
        <f>$H$27</f>
        <v>Residential</v>
      </c>
      <c r="P23" s="3"/>
      <c r="Q23" s="3" t="str">
        <f>$Q$27</f>
        <v>Residential</v>
      </c>
      <c r="R23" s="3" t="str">
        <f>$Q$27</f>
        <v>Residential</v>
      </c>
      <c r="S23" s="3" t="str">
        <f>$Q$27</f>
        <v>Residential</v>
      </c>
      <c r="T23" s="3"/>
      <c r="U23" s="3" t="str">
        <f>$Q$27</f>
        <v>Residential</v>
      </c>
      <c r="V23" s="3" t="str">
        <f>$Q$27</f>
        <v>Residential</v>
      </c>
      <c r="W23" s="3" t="str">
        <f>$Q$27</f>
        <v>Residential</v>
      </c>
      <c r="X23" s="3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5" customFormat="1" ht="15.75" hidden="1" x14ac:dyDescent="0.25">
      <c r="F24" s="34"/>
      <c r="G24" s="3"/>
      <c r="H24" s="3" t="str">
        <f>$H$28</f>
        <v>without CL</v>
      </c>
      <c r="I24" s="3" t="str">
        <f>$H$28</f>
        <v>without CL</v>
      </c>
      <c r="J24" s="3" t="str">
        <f>$H$28</f>
        <v>without CL</v>
      </c>
      <c r="K24" s="3"/>
      <c r="L24" s="3" t="str">
        <f>$H$28</f>
        <v>without CL</v>
      </c>
      <c r="M24" s="3" t="str">
        <f>$H$28</f>
        <v>without CL</v>
      </c>
      <c r="N24" s="3" t="str">
        <f>$H$28</f>
        <v>without CL</v>
      </c>
      <c r="O24" s="3" t="str">
        <f>$H$28</f>
        <v>without CL</v>
      </c>
      <c r="P24" s="3"/>
      <c r="Q24" s="3" t="str">
        <f>$Q$28</f>
        <v>with CL</v>
      </c>
      <c r="R24" s="3" t="str">
        <f>$Q$28</f>
        <v>with CL</v>
      </c>
      <c r="S24" s="3" t="str">
        <f>$Q$28</f>
        <v>with CL</v>
      </c>
      <c r="T24" s="3"/>
      <c r="U24" s="3" t="str">
        <f>$Q$28</f>
        <v>with CL</v>
      </c>
      <c r="V24" s="3" t="str">
        <f>$Q$28</f>
        <v>with CL</v>
      </c>
      <c r="W24" s="3" t="str">
        <f>$Q$28</f>
        <v>with CL</v>
      </c>
      <c r="X24" s="3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5" customFormat="1" ht="15.75" hidden="1" x14ac:dyDescent="0.25">
      <c r="F25" s="34"/>
      <c r="G25" s="3"/>
      <c r="H25" s="3"/>
      <c r="I25" s="3" t="str">
        <f>$I$29</f>
        <v>2022-23</v>
      </c>
      <c r="J25" s="3" t="str">
        <f>$I$29</f>
        <v>2022-23</v>
      </c>
      <c r="K25" s="3"/>
      <c r="L25" s="3" t="str">
        <f>$L$29</f>
        <v>2023-24</v>
      </c>
      <c r="M25" s="3" t="str">
        <f>$L$29</f>
        <v>2023-24</v>
      </c>
      <c r="N25" s="3" t="str">
        <f>$L$29</f>
        <v>2023-24</v>
      </c>
      <c r="O25" s="3" t="str">
        <f>$L$29</f>
        <v>2023-24</v>
      </c>
      <c r="P25" s="3"/>
      <c r="Q25" s="3"/>
      <c r="R25" s="3" t="str">
        <f>$R$29</f>
        <v>2022-23</v>
      </c>
      <c r="S25" s="3" t="str">
        <f>$R$29</f>
        <v>2022-23</v>
      </c>
      <c r="T25" s="3"/>
      <c r="U25" s="3" t="str">
        <f>$U$29</f>
        <v>2023-24</v>
      </c>
      <c r="V25" s="3" t="str">
        <f>$U$29</f>
        <v>2023-24</v>
      </c>
      <c r="W25" s="3" t="str">
        <f>$U$29</f>
        <v>2023-24</v>
      </c>
      <c r="X25" s="3" t="str">
        <f>$U$29</f>
        <v>2023-24</v>
      </c>
      <c r="Y25" s="3"/>
      <c r="Z25" s="3"/>
      <c r="AA25" s="3" t="str">
        <f>$AA$29</f>
        <v>2022-23</v>
      </c>
      <c r="AB25" s="3" t="str">
        <f>$AA$29</f>
        <v>2022-23</v>
      </c>
      <c r="AC25" s="3"/>
      <c r="AD25" s="3" t="str">
        <f>$AD$29</f>
        <v>2023-24</v>
      </c>
      <c r="AE25" s="3" t="str">
        <f>$AD$29</f>
        <v>2023-24</v>
      </c>
      <c r="AF25" s="3" t="str">
        <f>$AD$29</f>
        <v>2023-24</v>
      </c>
      <c r="AG25" s="3" t="str">
        <f>$AD$29</f>
        <v>2023-24</v>
      </c>
    </row>
    <row r="26" spans="2:34" s="35" customFormat="1" ht="15.75" x14ac:dyDescent="0.25">
      <c r="F26" s="34" t="s">
        <v>46</v>
      </c>
      <c r="G26" s="94" t="s">
        <v>148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5" customFormat="1" x14ac:dyDescent="0.25">
      <c r="F27" s="316" t="s">
        <v>35</v>
      </c>
      <c r="G27" s="77"/>
      <c r="H27" s="317" t="s">
        <v>6</v>
      </c>
      <c r="I27" s="317"/>
      <c r="J27" s="317"/>
      <c r="K27" s="317"/>
      <c r="L27" s="317"/>
      <c r="M27" s="317"/>
      <c r="N27" s="317"/>
      <c r="O27" s="317"/>
      <c r="P27" s="42"/>
      <c r="Q27" s="317" t="s">
        <v>6</v>
      </c>
      <c r="R27" s="317"/>
      <c r="S27" s="317"/>
      <c r="T27" s="317"/>
      <c r="U27" s="317"/>
      <c r="V27" s="317"/>
      <c r="W27" s="317"/>
      <c r="X27" s="317"/>
      <c r="Y27" s="42"/>
      <c r="Z27" s="317" t="s">
        <v>83</v>
      </c>
      <c r="AA27" s="317"/>
      <c r="AB27" s="317"/>
      <c r="AC27" s="317"/>
      <c r="AD27" s="317"/>
      <c r="AE27" s="317"/>
      <c r="AF27" s="317"/>
      <c r="AG27" s="317"/>
    </row>
    <row r="28" spans="2:34" ht="15.75" thickBot="1" x14ac:dyDescent="0.3">
      <c r="F28" s="316"/>
      <c r="G28" s="77"/>
      <c r="H28" s="319" t="s">
        <v>146</v>
      </c>
      <c r="I28" s="319"/>
      <c r="J28" s="319"/>
      <c r="K28" s="319"/>
      <c r="L28" s="319"/>
      <c r="M28" s="319"/>
      <c r="N28" s="319"/>
      <c r="O28" s="319"/>
      <c r="P28" s="42"/>
      <c r="Q28" s="319" t="s">
        <v>147</v>
      </c>
      <c r="R28" s="319"/>
      <c r="S28" s="319"/>
      <c r="T28" s="319"/>
      <c r="U28" s="319"/>
      <c r="V28" s="319"/>
      <c r="W28" s="319"/>
      <c r="X28" s="319"/>
      <c r="Y28" s="42"/>
      <c r="Z28" s="319" t="s">
        <v>146</v>
      </c>
      <c r="AA28" s="319"/>
      <c r="AB28" s="319"/>
      <c r="AC28" s="319"/>
      <c r="AD28" s="319"/>
      <c r="AE28" s="319"/>
      <c r="AF28" s="319"/>
      <c r="AG28" s="319"/>
    </row>
    <row r="29" spans="2:34" ht="15" customHeight="1" thickTop="1" x14ac:dyDescent="0.25">
      <c r="F29" s="316"/>
      <c r="G29" s="78"/>
      <c r="H29" s="42" t="s">
        <v>73</v>
      </c>
      <c r="I29" s="318" t="str">
        <f>PY</f>
        <v>2022-23</v>
      </c>
      <c r="J29" s="318"/>
      <c r="K29" s="42"/>
      <c r="L29" s="318" t="str">
        <f>FY</f>
        <v>2023-24</v>
      </c>
      <c r="M29" s="318"/>
      <c r="N29" s="318"/>
      <c r="O29" s="318"/>
      <c r="P29" s="42"/>
      <c r="Q29" s="42" t="s">
        <v>73</v>
      </c>
      <c r="R29" s="318" t="str">
        <f>PY</f>
        <v>2022-23</v>
      </c>
      <c r="S29" s="318"/>
      <c r="T29" s="42"/>
      <c r="U29" s="318" t="str">
        <f>FY</f>
        <v>2023-24</v>
      </c>
      <c r="V29" s="318"/>
      <c r="W29" s="318"/>
      <c r="X29" s="318"/>
      <c r="Y29" s="42"/>
      <c r="Z29" s="42" t="s">
        <v>73</v>
      </c>
      <c r="AA29" s="318" t="str">
        <f>PY</f>
        <v>2022-23</v>
      </c>
      <c r="AB29" s="318"/>
      <c r="AC29" s="42"/>
      <c r="AD29" s="318" t="str">
        <f>FY</f>
        <v>2023-24</v>
      </c>
      <c r="AE29" s="318"/>
      <c r="AF29" s="318"/>
      <c r="AG29" s="318"/>
    </row>
    <row r="30" spans="2:34" ht="38.25" x14ac:dyDescent="0.25">
      <c r="F30" s="316"/>
      <c r="G30" s="78"/>
      <c r="H30" s="202"/>
      <c r="I30" s="203" t="s">
        <v>24</v>
      </c>
      <c r="J30" s="203" t="s">
        <v>26</v>
      </c>
      <c r="K30" s="203"/>
      <c r="L30" s="203" t="s">
        <v>23</v>
      </c>
      <c r="M30" s="204" t="s">
        <v>188</v>
      </c>
      <c r="N30" s="203" t="s">
        <v>24</v>
      </c>
      <c r="O30" s="203" t="s">
        <v>26</v>
      </c>
      <c r="P30" s="203"/>
      <c r="Q30" s="203"/>
      <c r="R30" s="203" t="s">
        <v>24</v>
      </c>
      <c r="S30" s="203" t="s">
        <v>26</v>
      </c>
      <c r="T30" s="203"/>
      <c r="U30" s="203" t="s">
        <v>23</v>
      </c>
      <c r="V30" s="204" t="s">
        <v>53</v>
      </c>
      <c r="W30" s="203" t="s">
        <v>24</v>
      </c>
      <c r="X30" s="203" t="s">
        <v>26</v>
      </c>
      <c r="Y30" s="203"/>
      <c r="Z30" s="203"/>
      <c r="AA30" s="203" t="s">
        <v>24</v>
      </c>
      <c r="AB30" s="203" t="s">
        <v>26</v>
      </c>
      <c r="AC30" s="203"/>
      <c r="AD30" s="203" t="s">
        <v>23</v>
      </c>
      <c r="AE30" s="204" t="s">
        <v>53</v>
      </c>
      <c r="AF30" s="203" t="s">
        <v>24</v>
      </c>
      <c r="AG30" s="203" t="s">
        <v>26</v>
      </c>
    </row>
    <row r="31" spans="2:34" ht="15" customHeight="1" x14ac:dyDescent="0.25">
      <c r="F31" s="316"/>
      <c r="G31" s="78"/>
      <c r="H31" s="203" t="s">
        <v>74</v>
      </c>
      <c r="I31" s="203" t="s">
        <v>48</v>
      </c>
      <c r="J31" s="203" t="s">
        <v>30</v>
      </c>
      <c r="K31" s="203"/>
      <c r="L31" s="203" t="s">
        <v>30</v>
      </c>
      <c r="M31" s="203" t="s">
        <v>30</v>
      </c>
      <c r="N31" s="203" t="s">
        <v>48</v>
      </c>
      <c r="O31" s="203" t="s">
        <v>30</v>
      </c>
      <c r="P31" s="203"/>
      <c r="Q31" s="203"/>
      <c r="R31" s="203" t="s">
        <v>48</v>
      </c>
      <c r="S31" s="203" t="s">
        <v>30</v>
      </c>
      <c r="T31" s="203"/>
      <c r="U31" s="203" t="s">
        <v>30</v>
      </c>
      <c r="V31" s="203" t="s">
        <v>30</v>
      </c>
      <c r="W31" s="203" t="s">
        <v>48</v>
      </c>
      <c r="X31" s="203" t="s">
        <v>30</v>
      </c>
      <c r="Y31" s="203"/>
      <c r="Z31" s="203"/>
      <c r="AA31" s="203" t="s">
        <v>48</v>
      </c>
      <c r="AB31" s="203" t="s">
        <v>30</v>
      </c>
      <c r="AC31" s="203"/>
      <c r="AD31" s="203" t="s">
        <v>30</v>
      </c>
      <c r="AE31" s="203" t="s">
        <v>30</v>
      </c>
      <c r="AF31" s="203" t="s">
        <v>48</v>
      </c>
      <c r="AG31" s="203" t="s">
        <v>30</v>
      </c>
    </row>
    <row r="32" spans="2:34" ht="15" customHeight="1" x14ac:dyDescent="0.25">
      <c r="F32" s="47" t="str">
        <f>"DMO "&amp;PY&amp;" price"</f>
        <v>DMO 2022-23 price</v>
      </c>
      <c r="G32" s="47"/>
      <c r="H32" s="205">
        <f t="array" ref="H32">INDEX('Detail inputs'!$B$3:$K$273,MATCH($B$6&amp;H$27&amp;H$28&amp;H$29,'Detail inputs'!$B$3:$B$273&amp;'Detail inputs'!$D$3:$D$273&amp;'Detail inputs'!$E$3:$E$273&amp;'Detail inputs'!$F$3:$F$273&amp;'Detail inputs'!$G$3:$G$273,0),MATCH(I$29,'Detail inputs'!$B$3:$K$3,0))</f>
        <v>1836</v>
      </c>
      <c r="I32" s="206"/>
      <c r="J32" s="206"/>
      <c r="K32" s="206"/>
      <c r="L32" s="206"/>
      <c r="M32" s="206"/>
      <c r="N32" s="206"/>
      <c r="O32" s="206"/>
      <c r="P32" s="206"/>
      <c r="Q32" s="205">
        <f t="array" ref="Q32">INDEX('Detail inputs'!$B$3:$K$273,MATCH($B$6&amp;Q$27&amp;Q$28&amp;Q$29,'Detail inputs'!$B$3:$B$273&amp;'Detail inputs'!$D$3:$D$273&amp;'Detail inputs'!$E$3:$E$273&amp;'Detail inputs'!$F$3:$F$273&amp;'Detail inputs'!$G$3:$G$273,0),MATCH(R$29,'Detail inputs'!$B$3:$K$3,0))</f>
        <v>2383</v>
      </c>
      <c r="R32" s="205"/>
      <c r="S32" s="206"/>
      <c r="T32" s="206"/>
      <c r="U32" s="206"/>
      <c r="V32" s="206"/>
      <c r="W32" s="207"/>
      <c r="X32" s="206"/>
      <c r="Y32" s="207"/>
      <c r="Z32" s="205">
        <f t="array" ref="Z32">INDEX('Detail inputs'!$B$3:$K$273,MATCH($B$6&amp;Z$27&amp;Z$28&amp;Z$29,'Detail inputs'!$B$3:$B$273&amp;'Detail inputs'!$D$3:$D$273&amp;'Detail inputs'!$E$3:$E$273&amp;'Detail inputs'!$F$3:$F$273&amp;'Detail inputs'!$G$3:$G$273,0),MATCH(AA$29,'Detail inputs'!$B$3:$K$3,0))</f>
        <v>3782</v>
      </c>
      <c r="AA32" s="205"/>
      <c r="AB32" s="206"/>
      <c r="AC32" s="206"/>
      <c r="AD32" s="206"/>
      <c r="AE32" s="206"/>
      <c r="AF32" s="206"/>
      <c r="AG32" s="206"/>
    </row>
    <row r="33" spans="2:33" ht="15" customHeight="1" x14ac:dyDescent="0.25">
      <c r="F33" s="48" t="s">
        <v>68</v>
      </c>
      <c r="G33" s="48"/>
      <c r="H33" s="207"/>
      <c r="I33" s="205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653.68214999999987</v>
      </c>
      <c r="J33" s="206">
        <f t="shared" ref="J33:J37" ca="1" si="0">I33/H$32</f>
        <v>0.35603602941176465</v>
      </c>
      <c r="K33" s="206"/>
      <c r="L33" s="208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1.4773146964627726E-2</v>
      </c>
      <c r="M33" s="206">
        <f ca="1">J33*L33</f>
        <v>5.2597725872025186E-3</v>
      </c>
      <c r="N33" s="205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663.33909247010365</v>
      </c>
      <c r="O33" s="206">
        <f ca="1">N33/H$38</f>
        <v>0.29889699465095559</v>
      </c>
      <c r="P33" s="206"/>
      <c r="Q33" s="206"/>
      <c r="R33" s="205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770.30509819999997</v>
      </c>
      <c r="S33" s="206">
        <f t="shared" ref="S33:S37" ca="1" si="1">R33/Q$32</f>
        <v>0.32325014611833824</v>
      </c>
      <c r="T33" s="206"/>
      <c r="U33" s="208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1.7096671565474786E-2</v>
      </c>
      <c r="V33" s="206">
        <f ca="1">S33*U33</f>
        <v>5.5265015816769632E-3</v>
      </c>
      <c r="W33" s="205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783.47475146913609</v>
      </c>
      <c r="X33" s="206">
        <f ca="1">W33/Q$38</f>
        <v>0.26588621930739692</v>
      </c>
      <c r="Y33" s="207"/>
      <c r="Z33" s="207"/>
      <c r="AA33" s="205">
        <f t="array" aca="1" ref="AA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A$29&amp;AA$30,INDIRECT("'"&amp;$F33&amp;"'!$B$4:$T$4")&amp;INDIRECT("'"&amp;$F33&amp;"'!$B$5:$T$5"),0))</f>
        <v>1262.7708500000001</v>
      </c>
      <c r="AB33" s="206">
        <f t="shared" ref="AB33:AB37" ca="1" si="2">AA33/Z$32</f>
        <v>0.33388970121628769</v>
      </c>
      <c r="AC33" s="206"/>
      <c r="AD33" s="208">
        <f t="array" aca="1" ref="AD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D$30,INDIRECT("'"&amp;$F33&amp;"'!$B$4:$T$4")&amp;INDIRECT("'"&amp;$F33&amp;"'!$B$5:$T$5"),0))</f>
        <v>1.4524664388736674E-2</v>
      </c>
      <c r="AE33" s="206">
        <f ca="1">AB33*AD33</f>
        <v>4.8496358530221422E-3</v>
      </c>
      <c r="AF33" s="205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1281.1121727961299</v>
      </c>
      <c r="AG33" s="206">
        <f ca="1">AF33/Z$38</f>
        <v>0.28249547348336085</v>
      </c>
    </row>
    <row r="34" spans="2:33" ht="15" customHeight="1" x14ac:dyDescent="0.25">
      <c r="F34" s="48" t="s">
        <v>69</v>
      </c>
      <c r="G34" s="48"/>
      <c r="H34" s="207"/>
      <c r="I34" s="205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669.7075000000001</v>
      </c>
      <c r="J34" s="206">
        <f t="shared" ca="1" si="0"/>
        <v>0.36476443355119831</v>
      </c>
      <c r="K34" s="206"/>
      <c r="L34" s="208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0.52096579476861127</v>
      </c>
      <c r="M34" s="206">
        <f ca="1">J34*L34</f>
        <v>0.19002979302832232</v>
      </c>
      <c r="N34" s="205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1018.6021999999999</v>
      </c>
      <c r="O34" s="206">
        <f ca="1">N34/H$38</f>
        <v>0.45897662263674488</v>
      </c>
      <c r="P34" s="206"/>
      <c r="Q34" s="206"/>
      <c r="R34" s="205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987.8</v>
      </c>
      <c r="S34" s="206">
        <f t="shared" ca="1" si="1"/>
        <v>0.41451951321863195</v>
      </c>
      <c r="T34" s="206"/>
      <c r="U34" s="208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0.51971492204899805</v>
      </c>
      <c r="V34" s="206">
        <f ca="1">S34*U34</f>
        <v>0.21543197650020993</v>
      </c>
      <c r="W34" s="205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1501.1744000000001</v>
      </c>
      <c r="X34" s="206">
        <f ca="1">W34/Q$38</f>
        <v>0.50945047685148492</v>
      </c>
      <c r="Y34" s="207"/>
      <c r="Z34" s="207"/>
      <c r="AA34" s="205">
        <f t="array" aca="1" ref="AA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A$29&amp;AA$30,INDIRECT("'"&amp;$F34&amp;"'!$B$4:$T$4")&amp;INDIRECT("'"&amp;$F34&amp;"'!$B$5:$T$5"),0))</f>
        <v>1366.75</v>
      </c>
      <c r="AB34" s="206">
        <f t="shared" ca="1" si="2"/>
        <v>0.36138286620835536</v>
      </c>
      <c r="AC34" s="206"/>
      <c r="AD34" s="208">
        <f t="array" aca="1" ref="AD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D$30,INDIRECT("'"&amp;$F34&amp;"'!$B$4:$T$4")&amp;INDIRECT("'"&amp;$F34&amp;"'!$B$5:$T$5"),0))</f>
        <v>0.52096579476861149</v>
      </c>
      <c r="AE34" s="206">
        <f ca="1">AB34*AD34</f>
        <v>0.18826811210999464</v>
      </c>
      <c r="AF34" s="205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2078.7799999999997</v>
      </c>
      <c r="AG34" s="206">
        <f ca="1">AF34/Z$38</f>
        <v>0.45838760479968704</v>
      </c>
    </row>
    <row r="35" spans="2:33" ht="15" customHeight="1" x14ac:dyDescent="0.25">
      <c r="F35" s="48" t="s">
        <v>70</v>
      </c>
      <c r="G35" s="48"/>
      <c r="H35" s="207"/>
      <c r="I35" s="205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112.21980000000001</v>
      </c>
      <c r="J35" s="206">
        <f t="shared" ca="1" si="0"/>
        <v>6.1121895424836606E-2</v>
      </c>
      <c r="K35" s="206"/>
      <c r="L35" s="208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-9.3179634966378599E-2</v>
      </c>
      <c r="M35" s="206">
        <f ca="1">J35*L35</f>
        <v>-5.6953159041394415E-3</v>
      </c>
      <c r="N35" s="205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101.7632</v>
      </c>
      <c r="O35" s="206">
        <f ca="1">N35/H$38</f>
        <v>4.5853945578271479E-2</v>
      </c>
      <c r="P35" s="206"/>
      <c r="Q35" s="206"/>
      <c r="R35" s="205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169.47479999999999</v>
      </c>
      <c r="S35" s="206">
        <f t="shared" ca="1" si="1"/>
        <v>7.1118254301300879E-2</v>
      </c>
      <c r="T35" s="206"/>
      <c r="U35" s="208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-9.3179634966378266E-2</v>
      </c>
      <c r="V35" s="206">
        <f ca="1">S35*U35</f>
        <v>-6.626772975241277E-3</v>
      </c>
      <c r="W35" s="205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153.68320000000003</v>
      </c>
      <c r="X35" s="206">
        <f ca="1">W35/Q$38</f>
        <v>5.2155152342101052E-2</v>
      </c>
      <c r="Y35" s="207"/>
      <c r="Z35" s="207"/>
      <c r="AA35" s="205">
        <f t="array" aca="1" ref="AA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A$29&amp;AA$30,INDIRECT("'"&amp;$F35&amp;"'!$B$4:$T$4")&amp;INDIRECT("'"&amp;$F35&amp;"'!$B$5:$T$5"),0))</f>
        <v>229.01999999999998</v>
      </c>
      <c r="AB35" s="206">
        <f t="shared" ca="1" si="2"/>
        <v>6.0555261766261234E-2</v>
      </c>
      <c r="AC35" s="206"/>
      <c r="AD35" s="208">
        <f t="array" aca="1" ref="AD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D$30,INDIRECT("'"&amp;$F35&amp;"'!$B$4:$T$4")&amp;INDIRECT("'"&amp;$F35&amp;"'!$B$5:$T$5"),0))</f>
        <v>-9.3179634966378377E-2</v>
      </c>
      <c r="AE35" s="206">
        <f ca="1">AB35*AD35</f>
        <v>-5.6425171866737109E-3</v>
      </c>
      <c r="AF35" s="205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207.68</v>
      </c>
      <c r="AG35" s="206">
        <f ca="1">AF35/Z$38</f>
        <v>4.5795099897439372E-2</v>
      </c>
    </row>
    <row r="36" spans="2:33" ht="15" customHeight="1" x14ac:dyDescent="0.25">
      <c r="F36" s="48" t="s">
        <v>204</v>
      </c>
      <c r="G36" s="48"/>
      <c r="H36" s="207"/>
      <c r="I36" s="205" cm="1">
        <f t="array" aca="1" ref="I36" ca="1">INDEX(INDIRECT("'"&amp;$F36&amp;"'!$B$3:$T$300"),MATCH($B$6&amp;H$27&amp;H$28&amp;"Total inc GST",INDIRECT("'"&amp;$F36&amp;"'!$B$3:$B$300")&amp;INDIRECT("'"&amp;$F36&amp;"'!$C$3:$C$300")&amp;INDIRECT("'"&amp;$F36&amp;"'!$D$3:$D$300")&amp;INDIRECT("'"&amp;$F36&amp;"'!$G$3:$G$300"),0),MATCH(I$29&amp;I$30,INDIRECT("'"&amp;$F36&amp;"'!$B$4:$T$4")&amp;INDIRECT("'"&amp;$F36&amp;"'!$B$5:$T$5"),0))</f>
        <v>216.69699316520897</v>
      </c>
      <c r="J36" s="206">
        <f t="shared" ca="1" si="0"/>
        <v>0.11802668473050597</v>
      </c>
      <c r="K36" s="206"/>
      <c r="L36" s="208">
        <f ca="1">IFERROR((N36-I36)/I36,"New cost component")</f>
        <v>-1.403130779691057E-2</v>
      </c>
      <c r="M36" s="208">
        <f ca="1">(N36-I36)/H32</f>
        <v>-1.6560687417026543E-3</v>
      </c>
      <c r="N36" s="205" cm="1">
        <f t="array" aca="1" ref="N36" ca="1">INDEX(INDIRECT("'"&amp;$F36&amp;"'!$B$3:$T$300"),MATCH($B$6&amp;H$27&amp;H$28&amp;"Total inc GST",INDIRECT("'"&amp;$F36&amp;"'!$B$3:$B$300")&amp;INDIRECT("'"&amp;$F36&amp;"'!$C$3:$C$300")&amp;INDIRECT("'"&amp;$F36&amp;"'!$D$3:$D$300")&amp;INDIRECT("'"&amp;$F36&amp;"'!$G$3:$G$300"),0),MATCH(L$29&amp;N$30,INDIRECT("'"&amp;$F36&amp;"'!$B$4:$T$4")&amp;INDIRECT("'"&amp;$F36&amp;"'!$B$5:$T$5"),0))</f>
        <v>213.65645095544289</v>
      </c>
      <c r="O36" s="206">
        <f ca="1">N36/H$38</f>
        <v>9.6272437134027888E-2</v>
      </c>
      <c r="P36" s="206"/>
      <c r="Q36" s="206"/>
      <c r="R36" s="205" cm="1">
        <f t="array" aca="1" ref="R36" ca="1">INDEX(INDIRECT("'"&amp;$F36&amp;"'!$B$3:$T$300"),MATCH($B$6&amp;Q$27&amp;Q$28&amp;"Total inc GST",INDIRECT("'"&amp;$F36&amp;"'!$B$3:$B$300")&amp;INDIRECT("'"&amp;$F36&amp;"'!$C$3:$C$300")&amp;INDIRECT("'"&amp;$F36&amp;"'!$D$3:$D$300")&amp;INDIRECT("'"&amp;$F36&amp;"'!$G$3:$G$300"),0),MATCH(R$29&amp;R$30,INDIRECT("'"&amp;$F36&amp;"'!$B$4:$T$4")&amp;INDIRECT("'"&amp;$F36&amp;"'!$B$5:$T$5"),0))</f>
        <v>216.69699316520897</v>
      </c>
      <c r="S36" s="206">
        <f t="shared" ca="1" si="1"/>
        <v>9.0934533430637413E-2</v>
      </c>
      <c r="T36" s="206"/>
      <c r="U36" s="208">
        <f ca="1">IFERROR((W36-R36)/R36,"New cost component")</f>
        <v>-1.403130779691057E-2</v>
      </c>
      <c r="V36" s="208">
        <f ca="1">(W36-R36)/Q32</f>
        <v>-1.2759304279337277E-3</v>
      </c>
      <c r="W36" s="205" cm="1">
        <f t="array" aca="1" ref="W36" ca="1">INDEX(INDIRECT("'"&amp;$F36&amp;"'!$B$3:$T$300"),MATCH($B$6&amp;Q$27&amp;Q$28&amp;"Total inc GST",INDIRECT("'"&amp;$F36&amp;"'!$B$3:$B$300")&amp;INDIRECT("'"&amp;$F36&amp;"'!$C$3:$C$300")&amp;INDIRECT("'"&amp;$F36&amp;"'!$D$3:$D$300")&amp;INDIRECT("'"&amp;$F36&amp;"'!$G$3:$G$300"),0),MATCH(U$29&amp;W$30,INDIRECT("'"&amp;$F36&amp;"'!$B$4:$T$4")&amp;INDIRECT("'"&amp;$F36&amp;"'!$B$5:$T$5"),0))</f>
        <v>213.65645095544289</v>
      </c>
      <c r="X36" s="206">
        <f ca="1">W36/Q$38</f>
        <v>7.2508151499017223E-2</v>
      </c>
      <c r="Y36" s="207"/>
      <c r="Z36" s="207"/>
      <c r="AA36" s="205" cm="1">
        <f t="array" aca="1" ref="AA36" ca="1">INDEX(INDIRECT("'"&amp;$F36&amp;"'!$B$3:$T$300"),MATCH($B$6&amp;Z$27&amp;Z$28&amp;"Total inc GST",INDIRECT("'"&amp;$F36&amp;"'!$B$3:$B$300")&amp;INDIRECT("'"&amp;$F36&amp;"'!$C$3:$C$300")&amp;INDIRECT("'"&amp;$F36&amp;"'!$D$3:$D$300")&amp;INDIRECT("'"&amp;$F36&amp;"'!$G$3:$G$300"),0),MATCH(AA$29&amp;AA$30,INDIRECT("'"&amp;$F36&amp;"'!$B$4:$T$4")&amp;INDIRECT("'"&amp;$F36&amp;"'!$B$5:$T$5"),0))</f>
        <v>295.94028504020901</v>
      </c>
      <c r="AB36" s="206">
        <f t="shared" ca="1" si="2"/>
        <v>7.8249678752038337E-2</v>
      </c>
      <c r="AC36" s="206"/>
      <c r="AD36" s="208">
        <f ca="1">IFERROR((AF36-AA36)/AA36,"New cost component")</f>
        <v>-0.18289746862727946</v>
      </c>
      <c r="AE36" s="208">
        <f ca="1">(AF36-AA36)/Z32</f>
        <v>-1.431166816464563E-2</v>
      </c>
      <c r="AF36" s="205" cm="1">
        <f t="array" aca="1" ref="AF36" ca="1">INDEX(INDIRECT("'"&amp;$F36&amp;"'!$B$3:$T$300"),MATCH($B$6&amp;Z$27&amp;Z$28&amp;"Total inc GST",INDIRECT("'"&amp;$F36&amp;"'!$B$3:$B$300")&amp;INDIRECT("'"&amp;$F36&amp;"'!$C$3:$C$300")&amp;INDIRECT("'"&amp;$F36&amp;"'!$D$3:$D$300")&amp;INDIRECT("'"&amp;$F36&amp;"'!$G$3:$G$300"),0),MATCH(AD$29&amp;AF$30,INDIRECT("'"&amp;$F36&amp;"'!$B$4:$T$4")&amp;INDIRECT("'"&amp;$F36&amp;"'!$B$5:$T$5"),0))</f>
        <v>241.81355604151923</v>
      </c>
      <c r="AG36" s="206">
        <f ca="1">AF36/Z$38</f>
        <v>5.3321821819512838E-2</v>
      </c>
    </row>
    <row r="37" spans="2:33" ht="15" customHeight="1" x14ac:dyDescent="0.25">
      <c r="F37" s="48" t="s">
        <v>206</v>
      </c>
      <c r="G37" s="48"/>
      <c r="H37" s="207"/>
      <c r="I37" s="205">
        <f ca="1">SUM(I33:I36)/(1-SUMIFS('Detail inputs'!$I:$I,'Detail inputs'!$B:$B,$B$6,'Detail inputs'!$G:$G,$F$37,'Detail inputs'!$D:$D,$H$27,'Detail inputs'!$E:$E,$H28))-SUM(I33:I36)</f>
        <v>183.58960479613438</v>
      </c>
      <c r="J37" s="206">
        <f t="shared" ca="1" si="0"/>
        <v>9.9994338124256205E-2</v>
      </c>
      <c r="K37" s="206"/>
      <c r="L37" s="208">
        <f ca="1">IFERROR((N37-I37)/I37,"New cost component")</f>
        <v>0.20883202488718783</v>
      </c>
      <c r="M37" s="208">
        <f ca="1">(N37-I37)/H32</f>
        <v>2.0882020107742545E-2</v>
      </c>
      <c r="N37" s="205">
        <f ca="1">SUM(N33:N36)/(1-SUMIFS('Detail inputs'!$J:$J,'Detail inputs'!$B:$B,$B$6,'Detail inputs'!$G:$G,$F$37,'Detail inputs'!$D:$D,$H$27,'Detail inputs'!$E:$E,$H28))-SUM(N33:N36)</f>
        <v>221.92899371394969</v>
      </c>
      <c r="O37" s="206">
        <f ca="1">N37/H$38</f>
        <v>0.10000000000000002</v>
      </c>
      <c r="P37" s="206"/>
      <c r="Q37" s="206"/>
      <c r="R37" s="205">
        <f ca="1">SUM(R33:R36)/(1-SUMIFS('Detail inputs'!$I:$I,'Detail inputs'!$B:$B,$B$6,'Detail inputs'!$G:$G,$F$37,'Detail inputs'!$D:$D,$Q$27,'Detail inputs'!$E:$E,$Q28))-SUM(R33:R36)</f>
        <v>238.25298792946751</v>
      </c>
      <c r="S37" s="206">
        <f t="shared" ca="1" si="1"/>
        <v>9.998027189654532E-2</v>
      </c>
      <c r="T37" s="206"/>
      <c r="U37" s="208">
        <f ca="1">IFERROR((W37-R37)/R37,"New cost component")</f>
        <v>0.23677534981786885</v>
      </c>
      <c r="V37" s="208">
        <f ca="1">(W37-R37)/Q32</f>
        <v>2.3672863853190163E-2</v>
      </c>
      <c r="W37" s="205">
        <f ca="1">SUM(W33:W36)/(1-SUMIFS('Detail inputs'!$J:$J,'Detail inputs'!$B:$B,$B$6,'Detail inputs'!$G:$G,$F$37,'Detail inputs'!$D:$D,$Q$27,'Detail inputs'!$E:$E,$Q28))-SUM(W33:W36)</f>
        <v>294.66542249161967</v>
      </c>
      <c r="X37" s="206">
        <f ca="1">W37/Q$38</f>
        <v>9.9999999999999936E-2</v>
      </c>
      <c r="Y37" s="207"/>
      <c r="Z37" s="207"/>
      <c r="AA37" s="205">
        <f ca="1">SUM(AA33:AA36)/(1-SUMIFS('Detail inputs'!$I:$I,'Detail inputs'!$B:$B,$B$6,'Detail inputs'!$G:$G,$F$37,'Detail inputs'!$D:$D,$Z$27,'Detail inputs'!$E:$E,$Z28))-SUM(AA33:AA36)</f>
        <v>627.87034582335127</v>
      </c>
      <c r="AB37" s="206">
        <f t="shared" ca="1" si="2"/>
        <v>0.16601542724044191</v>
      </c>
      <c r="AC37" s="206"/>
      <c r="AD37" s="208">
        <f ca="1">IFERROR((AF37-AA37)/AA37,"New cost component")</f>
        <v>0.15564827437718362</v>
      </c>
      <c r="AE37" s="208">
        <f ca="1">(AF37-AA37)/Z32</f>
        <v>2.5840014769965666E-2</v>
      </c>
      <c r="AF37" s="205">
        <f ca="1">SUM(AF33:AF36)/(1-SUMIFS('Detail inputs'!$J:$J,'Detail inputs'!$B:$B,$B$6,'Detail inputs'!$G:$G,$F$37,'Detail inputs'!$D:$D,$Z$27,'Detail inputs'!$E:$E,$Z28))-SUM(AF33:AF36)</f>
        <v>725.59728168336142</v>
      </c>
      <c r="AG37" s="206">
        <f ca="1">AF37/Z$38</f>
        <v>0.15999999999999995</v>
      </c>
    </row>
    <row r="38" spans="2:33" ht="15.75" thickBot="1" x14ac:dyDescent="0.3">
      <c r="B38" s="76"/>
      <c r="F38" s="73" t="str">
        <f>"DMO "&amp;FY&amp;" price"</f>
        <v>DMO 2023-24 price</v>
      </c>
      <c r="G38" s="73"/>
      <c r="H38" s="209">
        <f ca="1">SUM(N33:N37)</f>
        <v>2219.2899371394965</v>
      </c>
      <c r="I38" s="210"/>
      <c r="J38" s="210"/>
      <c r="K38" s="210"/>
      <c r="L38" s="210">
        <f ca="1">H38/H32-1</f>
        <v>0.20876358231998715</v>
      </c>
      <c r="M38" s="210"/>
      <c r="N38" s="210"/>
      <c r="O38" s="210"/>
      <c r="P38" s="210"/>
      <c r="Q38" s="209">
        <f ca="1">SUM(W33:W37)</f>
        <v>2946.6542249161985</v>
      </c>
      <c r="R38" s="209"/>
      <c r="S38" s="210"/>
      <c r="T38" s="210"/>
      <c r="U38" s="210">
        <f ca="1">Q38/Q32-1</f>
        <v>0.23653135749735554</v>
      </c>
      <c r="V38" s="210"/>
      <c r="W38" s="211"/>
      <c r="X38" s="211"/>
      <c r="Y38" s="211"/>
      <c r="Z38" s="209">
        <f ca="1">SUM(AF33:AF37)</f>
        <v>4534.9830105210103</v>
      </c>
      <c r="AA38" s="209"/>
      <c r="AB38" s="210"/>
      <c r="AC38" s="210"/>
      <c r="AD38" s="210">
        <f ca="1">Z38/Z32-1</f>
        <v>0.19909651256504768</v>
      </c>
      <c r="AE38" s="210"/>
      <c r="AF38" s="210"/>
      <c r="AG38" s="210"/>
    </row>
    <row r="39" spans="2:33" ht="15.75" thickTop="1" x14ac:dyDescent="0.25">
      <c r="F39" s="107"/>
    </row>
    <row r="40" spans="2:33" x14ac:dyDescent="0.25">
      <c r="F40" s="94"/>
    </row>
    <row r="42" spans="2:33" x14ac:dyDescent="0.25">
      <c r="F42" s="107"/>
      <c r="O42" s="162"/>
    </row>
    <row r="43" spans="2:33" s="92" customFormat="1" ht="12" x14ac:dyDescent="0.25">
      <c r="H43" s="93"/>
    </row>
    <row r="47" spans="2:33" x14ac:dyDescent="0.25">
      <c r="H47" s="74"/>
    </row>
  </sheetData>
  <mergeCells count="15">
    <mergeCell ref="A1:B1"/>
    <mergeCell ref="B6:B7"/>
    <mergeCell ref="F27:F31"/>
    <mergeCell ref="H27:O27"/>
    <mergeCell ref="Q27:X27"/>
    <mergeCell ref="L29:O29"/>
    <mergeCell ref="R29:S29"/>
    <mergeCell ref="U29:X29"/>
    <mergeCell ref="Z27:AG27"/>
    <mergeCell ref="H28:O28"/>
    <mergeCell ref="Q28:X28"/>
    <mergeCell ref="Z28:AG28"/>
    <mergeCell ref="I29:J29"/>
    <mergeCell ref="AA29:AB29"/>
    <mergeCell ref="AD29:AG29"/>
  </mergeCells>
  <conditionalFormatting sqref="Y38:AE38 F38:M38 P38:V38 F32:AG37">
    <cfRule type="expression" dxfId="1244" priority="29">
      <formula>MOD(ROW(),2)=0</formula>
    </cfRule>
    <cfRule type="expression" dxfId="1243" priority="30">
      <formula>AND(MOD(ROW(),2)=0,F$30="Proportion",$F32="Overall change in costs (%)")</formula>
    </cfRule>
    <cfRule type="expression" dxfId="1242" priority="31">
      <formula>AND(MOD(ROW(),1)=0,F$30="Proportion",$F32="Overall change in costs (%)")</formula>
    </cfRule>
  </conditionalFormatting>
  <conditionalFormatting sqref="P43:R43 G43:J43 Y43:AA43 M43:N43">
    <cfRule type="cellIs" dxfId="1241" priority="27" operator="equal">
      <formula>FALSE</formula>
    </cfRule>
    <cfRule type="cellIs" dxfId="1240" priority="28" operator="equal">
      <formula>TRUE</formula>
    </cfRule>
  </conditionalFormatting>
  <conditionalFormatting sqref="O38 X38 AG38">
    <cfRule type="expression" dxfId="1239" priority="32">
      <formula>MOD(ROW(),2)=0</formula>
    </cfRule>
    <cfRule type="expression" dxfId="1238" priority="33">
      <formula>AND(MOD(ROW(),2)=0,N$30="Proportion",$F38="Overall change in costs (%)")</formula>
    </cfRule>
    <cfRule type="expression" dxfId="1237" priority="34">
      <formula>AND(MOD(ROW(),1)=0,N$30="Proportion",$F38="Overall change in costs (%)")</formula>
    </cfRule>
  </conditionalFormatting>
  <conditionalFormatting sqref="N38 W38 AF38">
    <cfRule type="expression" dxfId="1236" priority="35">
      <formula>MOD(ROW(),2)=0</formula>
    </cfRule>
    <cfRule type="expression" dxfId="1235" priority="36">
      <formula>AND(MOD(ROW(),2)=0,#REF!="Proportion",$F38="Overall change in costs (%)")</formula>
    </cfRule>
    <cfRule type="expression" dxfId="1234" priority="37">
      <formula>AND(MOD(ROW(),1)=0,#REF!="Proportion",$F38="Overall change in costs (%)")</formula>
    </cfRule>
  </conditionalFormatting>
  <conditionalFormatting sqref="O43">
    <cfRule type="cellIs" dxfId="1233" priority="25" operator="equal">
      <formula>FALSE</formula>
    </cfRule>
    <cfRule type="cellIs" dxfId="1232" priority="26" operator="equal">
      <formula>TRUE</formula>
    </cfRule>
  </conditionalFormatting>
  <conditionalFormatting sqref="S43:T43">
    <cfRule type="cellIs" dxfId="1231" priority="23" operator="equal">
      <formula>FALSE</formula>
    </cfRule>
    <cfRule type="cellIs" dxfId="1230" priority="24" operator="equal">
      <formula>TRUE</formula>
    </cfRule>
  </conditionalFormatting>
  <conditionalFormatting sqref="X43">
    <cfRule type="cellIs" dxfId="1229" priority="21" operator="equal">
      <formula>FALSE</formula>
    </cfRule>
    <cfRule type="cellIs" dxfId="1228" priority="22" operator="equal">
      <formula>TRUE</formula>
    </cfRule>
  </conditionalFormatting>
  <conditionalFormatting sqref="W43">
    <cfRule type="cellIs" dxfId="1227" priority="19" operator="equal">
      <formula>FALSE</formula>
    </cfRule>
    <cfRule type="cellIs" dxfId="1226" priority="20" operator="equal">
      <formula>TRUE</formula>
    </cfRule>
  </conditionalFormatting>
  <conditionalFormatting sqref="AB43:AC43">
    <cfRule type="cellIs" dxfId="1225" priority="17" operator="equal">
      <formula>FALSE</formula>
    </cfRule>
    <cfRule type="cellIs" dxfId="1224" priority="18" operator="equal">
      <formula>TRUE</formula>
    </cfRule>
  </conditionalFormatting>
  <conditionalFormatting sqref="AG43">
    <cfRule type="cellIs" dxfId="1223" priority="15" operator="equal">
      <formula>FALSE</formula>
    </cfRule>
    <cfRule type="cellIs" dxfId="1222" priority="16" operator="equal">
      <formula>TRUE</formula>
    </cfRule>
  </conditionalFormatting>
  <conditionalFormatting sqref="AF43">
    <cfRule type="cellIs" dxfId="1221" priority="13" operator="equal">
      <formula>FALSE</formula>
    </cfRule>
    <cfRule type="cellIs" dxfId="1220" priority="14" operator="equal">
      <formula>TRUE</formula>
    </cfRule>
  </conditionalFormatting>
  <conditionalFormatting sqref="V43">
    <cfRule type="cellIs" dxfId="1219" priority="11" operator="equal">
      <formula>FALSE</formula>
    </cfRule>
    <cfRule type="cellIs" dxfId="1218" priority="12" operator="equal">
      <formula>TRUE</formula>
    </cfRule>
  </conditionalFormatting>
  <conditionalFormatting sqref="AE43">
    <cfRule type="cellIs" dxfId="1217" priority="9" operator="equal">
      <formula>FALSE</formula>
    </cfRule>
    <cfRule type="cellIs" dxfId="1216" priority="10" operator="equal">
      <formula>TRUE</formula>
    </cfRule>
  </conditionalFormatting>
  <conditionalFormatting sqref="AD43">
    <cfRule type="cellIs" dxfId="1215" priority="7" operator="equal">
      <formula>FALSE</formula>
    </cfRule>
    <cfRule type="cellIs" dxfId="1214" priority="8" operator="equal">
      <formula>TRUE</formula>
    </cfRule>
  </conditionalFormatting>
  <conditionalFormatting sqref="U43">
    <cfRule type="cellIs" dxfId="1213" priority="5" operator="equal">
      <formula>FALSE</formula>
    </cfRule>
    <cfRule type="cellIs" dxfId="1212" priority="6" operator="equal">
      <formula>TRUE</formula>
    </cfRule>
  </conditionalFormatting>
  <conditionalFormatting sqref="K43">
    <cfRule type="cellIs" dxfId="1211" priority="3" operator="equal">
      <formula>FALSE</formula>
    </cfRule>
    <cfRule type="cellIs" dxfId="1210" priority="4" operator="equal">
      <formula>TRUE</formula>
    </cfRule>
  </conditionalFormatting>
  <conditionalFormatting sqref="L43">
    <cfRule type="cellIs" dxfId="1209" priority="1" operator="equal">
      <formula>FALSE</formula>
    </cfRule>
    <cfRule type="cellIs" dxfId="1208" priority="2" operator="equal">
      <formula>TRUE</formula>
    </cfRule>
  </conditionalFormatting>
  <hyperlinks>
    <hyperlink ref="A1" location="Index!A1" display="&lt;&lt;Back to Index" xr:uid="{80715ACD-FC85-495D-B46D-11A28F2BBA22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FEE7-FF41-464B-A11F-26390DB22B9A}">
  <sheetPr>
    <tabColor rgb="FF00B050"/>
  </sheetPr>
  <dimension ref="A1:AH47"/>
  <sheetViews>
    <sheetView zoomScaleNormal="100" workbookViewId="0">
      <selection sqref="A1:B1"/>
    </sheetView>
  </sheetViews>
  <sheetFormatPr defaultColWidth="8.85546875" defaultRowHeight="15" x14ac:dyDescent="0.25"/>
  <cols>
    <col min="1" max="1" width="1.85546875" style="3" customWidth="1"/>
    <col min="2" max="2" width="33.85546875" style="3" bestFit="1" customWidth="1"/>
    <col min="3" max="5" width="13.140625" style="3" customWidth="1"/>
    <col min="6" max="6" width="26.85546875" style="3" customWidth="1"/>
    <col min="7" max="7" width="5.85546875" style="3" customWidth="1"/>
    <col min="8" max="10" width="10.85546875" style="3" customWidth="1"/>
    <col min="11" max="11" width="1.85546875" style="3" customWidth="1"/>
    <col min="12" max="12" width="10.85546875" style="3" customWidth="1"/>
    <col min="13" max="13" width="12.140625" style="3" customWidth="1"/>
    <col min="14" max="14" width="13.140625" style="3" customWidth="1"/>
    <col min="15" max="15" width="10.85546875" style="3" customWidth="1"/>
    <col min="16" max="16" width="5.85546875" style="3" customWidth="1"/>
    <col min="17" max="19" width="10.85546875" style="3" customWidth="1"/>
    <col min="20" max="20" width="1.85546875" style="3" customWidth="1"/>
    <col min="21" max="21" width="10.85546875" style="3" customWidth="1"/>
    <col min="22" max="22" width="12.140625" style="3" customWidth="1"/>
    <col min="23" max="23" width="13.140625" style="3" customWidth="1"/>
    <col min="24" max="24" width="10.85546875" style="3" customWidth="1"/>
    <col min="25" max="25" width="5.85546875" style="3" customWidth="1"/>
    <col min="26" max="28" width="10.85546875" style="3" customWidth="1"/>
    <col min="29" max="29" width="1.85546875" style="3" customWidth="1"/>
    <col min="30" max="30" width="10.85546875" style="3" customWidth="1"/>
    <col min="31" max="31" width="12.140625" style="3" customWidth="1"/>
    <col min="32" max="32" width="9.85546875" style="3" customWidth="1"/>
    <col min="33" max="33" width="10.85546875" style="3" customWidth="1"/>
    <col min="34" max="16384" width="8.85546875" style="3"/>
  </cols>
  <sheetData>
    <row r="1" spans="1:34" ht="10.35" customHeight="1" x14ac:dyDescent="0.25">
      <c r="A1" s="286" t="s">
        <v>21</v>
      </c>
      <c r="B1" s="291"/>
    </row>
    <row r="2" spans="1:34" s="14" customFormat="1" ht="22.5" customHeight="1" x14ac:dyDescent="0.25">
      <c r="A2" s="15" t="s">
        <v>3</v>
      </c>
    </row>
    <row r="3" spans="1:34" s="67" customFormat="1" ht="15.75" thickBot="1" x14ac:dyDescent="0.3">
      <c r="C3" s="67" t="str">
        <f>$A$2&amp;" "&amp;C6&amp;" "&amp;C7</f>
        <v>Essential Residential without CL</v>
      </c>
      <c r="D3" s="67" t="str">
        <f>$A$2&amp;" "&amp;D6&amp;" "&amp;D7</f>
        <v>Essential Residential with CL</v>
      </c>
      <c r="E3" s="67" t="str">
        <f>$A$2&amp;" "&amp;E6&amp;" "&amp;E7</f>
        <v>Essential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75" x14ac:dyDescent="0.25">
      <c r="B4" s="34" t="s">
        <v>20</v>
      </c>
      <c r="F4" s="34"/>
      <c r="G4" s="79" t="s">
        <v>98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1"/>
    </row>
    <row r="5" spans="1:34" ht="5.0999999999999996" customHeight="1" x14ac:dyDescent="0.25">
      <c r="B5" s="5"/>
      <c r="G5" s="82"/>
      <c r="H5" s="83"/>
      <c r="AH5" s="84"/>
    </row>
    <row r="6" spans="1:34" ht="20.100000000000001" customHeight="1" x14ac:dyDescent="0.25">
      <c r="B6" s="315" t="str">
        <f>A2</f>
        <v>Essential</v>
      </c>
      <c r="C6" s="45" t="s">
        <v>6</v>
      </c>
      <c r="D6" s="45" t="s">
        <v>6</v>
      </c>
      <c r="E6" s="45" t="s">
        <v>83</v>
      </c>
      <c r="G6" s="82"/>
      <c r="H6" s="83"/>
      <c r="AH6" s="84"/>
    </row>
    <row r="7" spans="1:34" ht="20.100000000000001" customHeight="1" x14ac:dyDescent="0.25">
      <c r="B7" s="315"/>
      <c r="C7" s="46" t="s">
        <v>146</v>
      </c>
      <c r="D7" s="46" t="s">
        <v>147</v>
      </c>
      <c r="E7" s="46" t="s">
        <v>146</v>
      </c>
      <c r="G7" s="82"/>
      <c r="AH7" s="84"/>
    </row>
    <row r="8" spans="1:34" ht="2.1" customHeight="1" x14ac:dyDescent="0.25">
      <c r="C8" s="20"/>
      <c r="D8" s="20"/>
      <c r="E8" s="20"/>
      <c r="G8" s="82"/>
      <c r="AH8" s="84"/>
    </row>
    <row r="9" spans="1:34" s="43" customFormat="1" ht="30" customHeight="1" x14ac:dyDescent="0.25">
      <c r="B9" s="49" t="str">
        <f>"DMO "&amp;FY&amp;" price ($ pa, inc GST)"</f>
        <v>DMO 2023-24 price ($ pa, inc GST)</v>
      </c>
      <c r="C9" s="147">
        <f ca="1">ROUND(H38,0)</f>
        <v>2555</v>
      </c>
      <c r="D9" s="147">
        <f ca="1">ROUND(Q38,0)</f>
        <v>3022</v>
      </c>
      <c r="E9" s="147">
        <f ca="1">ROUND(Z38,0)</f>
        <v>5759</v>
      </c>
      <c r="F9" s="3"/>
      <c r="G9" s="8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85"/>
    </row>
    <row r="10" spans="1:34" ht="2.1" customHeight="1" x14ac:dyDescent="0.25">
      <c r="B10" s="50"/>
      <c r="C10" s="51"/>
      <c r="D10" s="51"/>
      <c r="E10" s="51"/>
      <c r="F10" s="43"/>
      <c r="G10" s="86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84"/>
    </row>
    <row r="11" spans="1:34" ht="20.100000000000001" customHeight="1" x14ac:dyDescent="0.25">
      <c r="B11" s="52" t="s">
        <v>51</v>
      </c>
      <c r="C11" s="53">
        <f>SUM(C12:C13)</f>
        <v>4600</v>
      </c>
      <c r="D11" s="53">
        <f>SUM(D12:D13)</f>
        <v>6600</v>
      </c>
      <c r="E11" s="53">
        <f>SUM(E12:E13)</f>
        <v>10000</v>
      </c>
      <c r="G11" s="82"/>
      <c r="AH11" s="84"/>
    </row>
    <row r="12" spans="1:34" ht="20.100000000000001" customHeight="1" x14ac:dyDescent="0.25">
      <c r="B12" s="54" t="s">
        <v>55</v>
      </c>
      <c r="C12" s="55">
        <f t="array" ref="C12">INDEX(Usage!$B$5:$M$18,MATCH($B6,Usage!$B$5:$B$18,0),MATCH(C$6&amp;C$7&amp;"Flat rate"&amp;"Total",Usage!$B$5:$M$5&amp;Usage!$B$6:$M$6&amp;Usage!$B$7:$M$7&amp;Usage!$B$13:$M$13,0))</f>
        <v>4600</v>
      </c>
      <c r="D12" s="55">
        <f t="array" ref="D12">INDEX(Usage!$B$5:$M$18,MATCH($B6,Usage!$B$5:$B$18,0),MATCH(D$6&amp;D$7&amp;"Flat rate"&amp;"Total",Usage!$B$5:$M$5&amp;Usage!$B$6:$M$6&amp;Usage!$B$7:$M$7&amp;Usage!$B$13:$M$13,0))</f>
        <v>4600</v>
      </c>
      <c r="E12" s="55">
        <f t="array" ref="E12">INDEX(Usage!$B$5:$M$18,MATCH($B6,Usage!$B$5:$B$18,0),MATCH(E$6&amp;E$7&amp;"Flat rate"&amp;"Total",Usage!$B$5:$M$5&amp;Usage!$B$6:$M$6&amp;Usage!$B$7:$M$7&amp;Usage!$B$13:$M$13,0))</f>
        <v>10000</v>
      </c>
      <c r="G12" s="82"/>
      <c r="AH12" s="84"/>
    </row>
    <row r="13" spans="1:34" ht="20.100000000000001" customHeight="1" x14ac:dyDescent="0.25">
      <c r="B13" s="54" t="s">
        <v>54</v>
      </c>
      <c r="C13" s="55"/>
      <c r="D13" s="55">
        <f t="array" ref="D13">INDEX(Usage!$B$5:$M$18,MATCH($B6,Usage!$B$5:$B$18,0),MATCH(D$6&amp;D$7&amp;"CL"&amp;"Total",Usage!$B$5:$M$5&amp;Usage!$B$6:$M$6&amp;Usage!$B$7:$M$7&amp;Usage!$B$13:$M$13,0))</f>
        <v>2000</v>
      </c>
      <c r="E13" s="55"/>
      <c r="G13" s="82"/>
      <c r="AH13" s="84"/>
    </row>
    <row r="14" spans="1:34" ht="2.1" customHeight="1" x14ac:dyDescent="0.25">
      <c r="B14" s="56"/>
      <c r="C14" s="56"/>
      <c r="D14" s="56"/>
      <c r="E14" s="56"/>
      <c r="G14" s="82"/>
      <c r="AH14" s="84"/>
    </row>
    <row r="15" spans="1:34" ht="20.100000000000001" customHeight="1" x14ac:dyDescent="0.25">
      <c r="B15" s="54" t="str">
        <f>"Change from DMO "&amp;PY&amp; " price ($)"</f>
        <v>Change from DMO 2022-23 price ($)</v>
      </c>
      <c r="C15" s="114">
        <f ca="1">C9-H32</f>
        <v>463</v>
      </c>
      <c r="D15" s="114">
        <f ca="1">D9-Q32</f>
        <v>532</v>
      </c>
      <c r="E15" s="114">
        <f ca="1">E9-Z32</f>
        <v>858</v>
      </c>
      <c r="G15" s="82"/>
      <c r="AH15" s="84"/>
    </row>
    <row r="16" spans="1:34" ht="20.100000000000001" customHeight="1" thickBot="1" x14ac:dyDescent="0.3">
      <c r="B16" s="57" t="str">
        <f>"Change from DMO "&amp;PY&amp; " price (%)"</f>
        <v>Change from DMO 2022-23 price (%)</v>
      </c>
      <c r="C16" s="95">
        <f ca="1">C9/H32-1</f>
        <v>0.22131931166347996</v>
      </c>
      <c r="D16" s="95">
        <f ca="1">D9/Q32-1</f>
        <v>0.21365461847389566</v>
      </c>
      <c r="E16" s="95">
        <f ca="1">E9/Z32-1</f>
        <v>0.17506631299734754</v>
      </c>
      <c r="G16" s="82"/>
      <c r="AH16" s="84"/>
    </row>
    <row r="17" spans="2:34" ht="15.75" thickTop="1" x14ac:dyDescent="0.25">
      <c r="B17" s="76" t="s">
        <v>97</v>
      </c>
      <c r="G17" s="82"/>
      <c r="AH17" s="84"/>
    </row>
    <row r="18" spans="2:34" x14ac:dyDescent="0.25">
      <c r="G18" s="82"/>
      <c r="AH18" s="84"/>
    </row>
    <row r="19" spans="2:34" x14ac:dyDescent="0.25">
      <c r="C19" s="74"/>
      <c r="D19" s="149"/>
      <c r="G19" s="82"/>
      <c r="AH19" s="84"/>
    </row>
    <row r="20" spans="2:34" ht="15.75" x14ac:dyDescent="0.25">
      <c r="B20" s="34"/>
      <c r="D20" s="149"/>
      <c r="G20" s="82"/>
      <c r="AH20" s="84"/>
    </row>
    <row r="21" spans="2:34" ht="15" customHeight="1" thickBot="1" x14ac:dyDescent="0.3">
      <c r="F21" s="34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9"/>
    </row>
    <row r="22" spans="2:34" s="35" customFormat="1" ht="15.75" x14ac:dyDescent="0.25">
      <c r="F22" s="3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5" customFormat="1" ht="15.75" hidden="1" x14ac:dyDescent="0.25">
      <c r="F23" s="34"/>
      <c r="G23" s="3"/>
      <c r="H23" s="3" t="str">
        <f>$H$27</f>
        <v>Residential</v>
      </c>
      <c r="I23" s="3" t="str">
        <f>$H$27</f>
        <v>Residential</v>
      </c>
      <c r="J23" s="3" t="str">
        <f>$H$27</f>
        <v>Residential</v>
      </c>
      <c r="K23" s="3"/>
      <c r="L23" s="3" t="str">
        <f>$H$27</f>
        <v>Residential</v>
      </c>
      <c r="M23" s="3" t="str">
        <f>$H$27</f>
        <v>Residential</v>
      </c>
      <c r="N23" s="3" t="str">
        <f>$H$27</f>
        <v>Residential</v>
      </c>
      <c r="O23" s="3" t="str">
        <f>$H$27</f>
        <v>Residential</v>
      </c>
      <c r="P23" s="3"/>
      <c r="Q23" s="3" t="str">
        <f>$Q$27</f>
        <v>Residential</v>
      </c>
      <c r="R23" s="3" t="str">
        <f>$Q$27</f>
        <v>Residential</v>
      </c>
      <c r="S23" s="3" t="str">
        <f>$Q$27</f>
        <v>Residential</v>
      </c>
      <c r="T23" s="3"/>
      <c r="U23" s="3" t="str">
        <f>$Q$27</f>
        <v>Residential</v>
      </c>
      <c r="V23" s="3" t="str">
        <f>$Q$27</f>
        <v>Residential</v>
      </c>
      <c r="W23" s="3" t="str">
        <f>$Q$27</f>
        <v>Residential</v>
      </c>
      <c r="X23" s="3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5" customFormat="1" ht="15.75" hidden="1" x14ac:dyDescent="0.25">
      <c r="F24" s="34"/>
      <c r="G24" s="3"/>
      <c r="H24" s="3" t="str">
        <f>$H$28</f>
        <v>without CL</v>
      </c>
      <c r="I24" s="3" t="str">
        <f>$H$28</f>
        <v>without CL</v>
      </c>
      <c r="J24" s="3" t="str">
        <f>$H$28</f>
        <v>without CL</v>
      </c>
      <c r="K24" s="3"/>
      <c r="L24" s="3" t="str">
        <f>$H$28</f>
        <v>without CL</v>
      </c>
      <c r="M24" s="3" t="str">
        <f>$H$28</f>
        <v>without CL</v>
      </c>
      <c r="N24" s="3" t="str">
        <f>$H$28</f>
        <v>without CL</v>
      </c>
      <c r="O24" s="3" t="str">
        <f>$H$28</f>
        <v>without CL</v>
      </c>
      <c r="P24" s="3"/>
      <c r="Q24" s="3" t="str">
        <f>$Q$28</f>
        <v>with CL</v>
      </c>
      <c r="R24" s="3" t="str">
        <f>$Q$28</f>
        <v>with CL</v>
      </c>
      <c r="S24" s="3" t="str">
        <f>$Q$28</f>
        <v>with CL</v>
      </c>
      <c r="T24" s="3"/>
      <c r="U24" s="3" t="str">
        <f>$Q$28</f>
        <v>with CL</v>
      </c>
      <c r="V24" s="3" t="str">
        <f>$Q$28</f>
        <v>with CL</v>
      </c>
      <c r="W24" s="3" t="str">
        <f>$Q$28</f>
        <v>with CL</v>
      </c>
      <c r="X24" s="3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5" customFormat="1" ht="15.75" hidden="1" x14ac:dyDescent="0.25">
      <c r="F25" s="34"/>
      <c r="G25" s="3"/>
      <c r="H25" s="3"/>
      <c r="I25" s="3" t="str">
        <f>$I$29</f>
        <v>2022-23</v>
      </c>
      <c r="J25" s="3" t="str">
        <f>$I$29</f>
        <v>2022-23</v>
      </c>
      <c r="K25" s="3"/>
      <c r="L25" s="3" t="str">
        <f>$L$29</f>
        <v>2023-24</v>
      </c>
      <c r="M25" s="3" t="str">
        <f>$L$29</f>
        <v>2023-24</v>
      </c>
      <c r="N25" s="3" t="str">
        <f>$L$29</f>
        <v>2023-24</v>
      </c>
      <c r="O25" s="3" t="str">
        <f>$L$29</f>
        <v>2023-24</v>
      </c>
      <c r="P25" s="3"/>
      <c r="Q25" s="3"/>
      <c r="R25" s="3" t="str">
        <f>$R$29</f>
        <v>2022-23</v>
      </c>
      <c r="S25" s="3" t="str">
        <f>$R$29</f>
        <v>2022-23</v>
      </c>
      <c r="T25" s="3"/>
      <c r="U25" s="3" t="str">
        <f>$U$29</f>
        <v>2023-24</v>
      </c>
      <c r="V25" s="3" t="str">
        <f>$U$29</f>
        <v>2023-24</v>
      </c>
      <c r="W25" s="3" t="str">
        <f>$U$29</f>
        <v>2023-24</v>
      </c>
      <c r="X25" s="3" t="str">
        <f>$U$29</f>
        <v>2023-24</v>
      </c>
      <c r="Y25" s="3"/>
      <c r="Z25" s="3"/>
      <c r="AA25" s="3" t="str">
        <f>$AA$29</f>
        <v>2022-23</v>
      </c>
      <c r="AB25" s="3" t="str">
        <f>$AA$29</f>
        <v>2022-23</v>
      </c>
      <c r="AC25" s="3"/>
      <c r="AD25" s="3" t="str">
        <f>$AD$29</f>
        <v>2023-24</v>
      </c>
      <c r="AE25" s="3" t="str">
        <f>$AD$29</f>
        <v>2023-24</v>
      </c>
      <c r="AF25" s="3" t="str">
        <f>$AD$29</f>
        <v>2023-24</v>
      </c>
      <c r="AG25" s="3" t="str">
        <f>$AD$29</f>
        <v>2023-24</v>
      </c>
    </row>
    <row r="26" spans="2:34" s="35" customFormat="1" ht="15.75" x14ac:dyDescent="0.25">
      <c r="F26" s="34" t="s">
        <v>46</v>
      </c>
      <c r="G26" s="94" t="s">
        <v>148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5" customFormat="1" x14ac:dyDescent="0.25">
      <c r="F27" s="316" t="s">
        <v>35</v>
      </c>
      <c r="G27" s="77"/>
      <c r="H27" s="317" t="s">
        <v>6</v>
      </c>
      <c r="I27" s="317"/>
      <c r="J27" s="317"/>
      <c r="K27" s="317"/>
      <c r="L27" s="317"/>
      <c r="M27" s="317"/>
      <c r="N27" s="317"/>
      <c r="O27" s="317"/>
      <c r="P27" s="42"/>
      <c r="Q27" s="317" t="s">
        <v>6</v>
      </c>
      <c r="R27" s="317"/>
      <c r="S27" s="317"/>
      <c r="T27" s="317"/>
      <c r="U27" s="317"/>
      <c r="V27" s="317"/>
      <c r="W27" s="317"/>
      <c r="X27" s="317"/>
      <c r="Y27" s="42"/>
      <c r="Z27" s="317" t="s">
        <v>83</v>
      </c>
      <c r="AA27" s="317"/>
      <c r="AB27" s="317"/>
      <c r="AC27" s="317"/>
      <c r="AD27" s="317"/>
      <c r="AE27" s="317"/>
      <c r="AF27" s="317"/>
      <c r="AG27" s="317"/>
    </row>
    <row r="28" spans="2:34" ht="15.75" thickBot="1" x14ac:dyDescent="0.3">
      <c r="F28" s="316"/>
      <c r="G28" s="77"/>
      <c r="H28" s="319" t="s">
        <v>146</v>
      </c>
      <c r="I28" s="319"/>
      <c r="J28" s="319"/>
      <c r="K28" s="319"/>
      <c r="L28" s="319"/>
      <c r="M28" s="319"/>
      <c r="N28" s="319"/>
      <c r="O28" s="319"/>
      <c r="P28" s="42"/>
      <c r="Q28" s="319" t="s">
        <v>147</v>
      </c>
      <c r="R28" s="319"/>
      <c r="S28" s="319"/>
      <c r="T28" s="319"/>
      <c r="U28" s="319"/>
      <c r="V28" s="319"/>
      <c r="W28" s="319"/>
      <c r="X28" s="319"/>
      <c r="Y28" s="42"/>
      <c r="Z28" s="319" t="s">
        <v>146</v>
      </c>
      <c r="AA28" s="319"/>
      <c r="AB28" s="319"/>
      <c r="AC28" s="319"/>
      <c r="AD28" s="319"/>
      <c r="AE28" s="319"/>
      <c r="AF28" s="319"/>
      <c r="AG28" s="319"/>
    </row>
    <row r="29" spans="2:34" ht="15" customHeight="1" thickTop="1" x14ac:dyDescent="0.25">
      <c r="F29" s="316"/>
      <c r="G29" s="78"/>
      <c r="H29" s="42" t="s">
        <v>73</v>
      </c>
      <c r="I29" s="318" t="str">
        <f>PY</f>
        <v>2022-23</v>
      </c>
      <c r="J29" s="318"/>
      <c r="K29" s="42"/>
      <c r="L29" s="318" t="str">
        <f>FY</f>
        <v>2023-24</v>
      </c>
      <c r="M29" s="318"/>
      <c r="N29" s="318"/>
      <c r="O29" s="318"/>
      <c r="P29" s="42"/>
      <c r="Q29" s="42" t="s">
        <v>73</v>
      </c>
      <c r="R29" s="318" t="str">
        <f>PY</f>
        <v>2022-23</v>
      </c>
      <c r="S29" s="318"/>
      <c r="T29" s="42"/>
      <c r="U29" s="318" t="str">
        <f>FY</f>
        <v>2023-24</v>
      </c>
      <c r="V29" s="318"/>
      <c r="W29" s="318"/>
      <c r="X29" s="318"/>
      <c r="Y29" s="42"/>
      <c r="Z29" s="42" t="s">
        <v>73</v>
      </c>
      <c r="AA29" s="318" t="str">
        <f>PY</f>
        <v>2022-23</v>
      </c>
      <c r="AB29" s="318"/>
      <c r="AC29" s="42"/>
      <c r="AD29" s="318" t="str">
        <f>FY</f>
        <v>2023-24</v>
      </c>
      <c r="AE29" s="318"/>
      <c r="AF29" s="318"/>
      <c r="AG29" s="318"/>
    </row>
    <row r="30" spans="2:34" ht="38.25" x14ac:dyDescent="0.25">
      <c r="F30" s="316"/>
      <c r="G30" s="78"/>
      <c r="H30" s="202"/>
      <c r="I30" s="203" t="s">
        <v>24</v>
      </c>
      <c r="J30" s="203" t="s">
        <v>26</v>
      </c>
      <c r="K30" s="203"/>
      <c r="L30" s="203" t="s">
        <v>23</v>
      </c>
      <c r="M30" s="204" t="s">
        <v>188</v>
      </c>
      <c r="N30" s="203" t="s">
        <v>24</v>
      </c>
      <c r="O30" s="203" t="s">
        <v>26</v>
      </c>
      <c r="P30" s="203"/>
      <c r="Q30" s="203"/>
      <c r="R30" s="203" t="s">
        <v>24</v>
      </c>
      <c r="S30" s="203" t="s">
        <v>26</v>
      </c>
      <c r="T30" s="203"/>
      <c r="U30" s="203" t="s">
        <v>23</v>
      </c>
      <c r="V30" s="204" t="s">
        <v>53</v>
      </c>
      <c r="W30" s="203" t="s">
        <v>24</v>
      </c>
      <c r="X30" s="203" t="s">
        <v>26</v>
      </c>
      <c r="Y30" s="203"/>
      <c r="Z30" s="203"/>
      <c r="AA30" s="203" t="s">
        <v>24</v>
      </c>
      <c r="AB30" s="203" t="s">
        <v>26</v>
      </c>
      <c r="AC30" s="203"/>
      <c r="AD30" s="203" t="s">
        <v>23</v>
      </c>
      <c r="AE30" s="204" t="s">
        <v>53</v>
      </c>
      <c r="AF30" s="203" t="s">
        <v>24</v>
      </c>
      <c r="AG30" s="203" t="s">
        <v>26</v>
      </c>
    </row>
    <row r="31" spans="2:34" ht="15" customHeight="1" x14ac:dyDescent="0.25">
      <c r="F31" s="316"/>
      <c r="G31" s="78"/>
      <c r="H31" s="203" t="s">
        <v>74</v>
      </c>
      <c r="I31" s="203" t="s">
        <v>48</v>
      </c>
      <c r="J31" s="203" t="s">
        <v>30</v>
      </c>
      <c r="K31" s="203"/>
      <c r="L31" s="203" t="s">
        <v>30</v>
      </c>
      <c r="M31" s="203" t="s">
        <v>30</v>
      </c>
      <c r="N31" s="203" t="s">
        <v>48</v>
      </c>
      <c r="O31" s="203" t="s">
        <v>30</v>
      </c>
      <c r="P31" s="203"/>
      <c r="Q31" s="203"/>
      <c r="R31" s="203" t="s">
        <v>48</v>
      </c>
      <c r="S31" s="203" t="s">
        <v>30</v>
      </c>
      <c r="T31" s="203"/>
      <c r="U31" s="203" t="s">
        <v>30</v>
      </c>
      <c r="V31" s="203" t="s">
        <v>30</v>
      </c>
      <c r="W31" s="203" t="s">
        <v>48</v>
      </c>
      <c r="X31" s="203" t="s">
        <v>30</v>
      </c>
      <c r="Y31" s="203"/>
      <c r="Z31" s="203"/>
      <c r="AA31" s="203" t="s">
        <v>48</v>
      </c>
      <c r="AB31" s="203" t="s">
        <v>30</v>
      </c>
      <c r="AC31" s="203"/>
      <c r="AD31" s="203" t="s">
        <v>30</v>
      </c>
      <c r="AE31" s="203" t="s">
        <v>30</v>
      </c>
      <c r="AF31" s="203" t="s">
        <v>48</v>
      </c>
      <c r="AG31" s="203" t="s">
        <v>30</v>
      </c>
    </row>
    <row r="32" spans="2:34" ht="15" customHeight="1" x14ac:dyDescent="0.25">
      <c r="F32" s="47" t="str">
        <f>"DMO "&amp;PY&amp;" price"</f>
        <v>DMO 2022-23 price</v>
      </c>
      <c r="G32" s="47"/>
      <c r="H32" s="205">
        <f t="array" ref="H32">INDEX('Detail inputs'!$B$3:$K$273,MATCH($B$6&amp;H$27&amp;H$28&amp;H$29,'Detail inputs'!$B$3:$B$273&amp;'Detail inputs'!$D$3:$D$273&amp;'Detail inputs'!$E$3:$E$273&amp;'Detail inputs'!$F$3:$F$273&amp;'Detail inputs'!$G$3:$G$273,0),MATCH(I$29,'Detail inputs'!$B$3:$K$3,0))</f>
        <v>2092</v>
      </c>
      <c r="I32" s="206"/>
      <c r="J32" s="206"/>
      <c r="K32" s="206"/>
      <c r="L32" s="206"/>
      <c r="M32" s="206"/>
      <c r="N32" s="206"/>
      <c r="O32" s="206"/>
      <c r="P32" s="206"/>
      <c r="Q32" s="205">
        <f t="array" ref="Q32">INDEX('Detail inputs'!$B$3:$K$273,MATCH($B$6&amp;Q$27&amp;Q$28&amp;Q$29,'Detail inputs'!$B$3:$B$273&amp;'Detail inputs'!$D$3:$D$273&amp;'Detail inputs'!$E$3:$E$273&amp;'Detail inputs'!$F$3:$F$273&amp;'Detail inputs'!$G$3:$G$273,0),MATCH(R$29,'Detail inputs'!$B$3:$K$3,0))</f>
        <v>2490</v>
      </c>
      <c r="R32" s="205"/>
      <c r="S32" s="206"/>
      <c r="T32" s="206"/>
      <c r="U32" s="206"/>
      <c r="V32" s="206"/>
      <c r="W32" s="207"/>
      <c r="X32" s="206"/>
      <c r="Y32" s="207"/>
      <c r="Z32" s="205">
        <f t="array" ref="Z32">INDEX('Detail inputs'!$B$3:$K$273,MATCH($B$6&amp;Z$27&amp;Z$28&amp;Z$29,'Detail inputs'!$B$3:$B$273&amp;'Detail inputs'!$D$3:$D$273&amp;'Detail inputs'!$E$3:$E$273&amp;'Detail inputs'!$F$3:$F$273&amp;'Detail inputs'!$G$3:$G$273,0),MATCH(AA$29,'Detail inputs'!$B$3:$K$3,0))</f>
        <v>4901</v>
      </c>
      <c r="AA32" s="205"/>
      <c r="AB32" s="206"/>
      <c r="AC32" s="206"/>
      <c r="AD32" s="206"/>
      <c r="AE32" s="206"/>
      <c r="AF32" s="206"/>
      <c r="AG32" s="206"/>
    </row>
    <row r="33" spans="2:33" ht="15" customHeight="1" x14ac:dyDescent="0.25">
      <c r="F33" s="48" t="s">
        <v>68</v>
      </c>
      <c r="G33" s="48"/>
      <c r="H33" s="207"/>
      <c r="I33" s="205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980.07997999999998</v>
      </c>
      <c r="J33" s="206">
        <f t="shared" ref="J33:J37" ca="1" si="0">I33/H$32</f>
        <v>0.46848947418738046</v>
      </c>
      <c r="K33" s="206"/>
      <c r="L33" s="208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0.11962928861562028</v>
      </c>
      <c r="M33" s="206">
        <f ca="1">J33*L33</f>
        <v>5.6045062520942324E-2</v>
      </c>
      <c r="N33" s="205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1097.3262507938114</v>
      </c>
      <c r="O33" s="206">
        <f ca="1">N33/H$38</f>
        <v>0.4294970622079865</v>
      </c>
      <c r="P33" s="206"/>
      <c r="Q33" s="206"/>
      <c r="R33" s="205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1100.4438500000001</v>
      </c>
      <c r="S33" s="206">
        <f t="shared" ref="S33:S37" ca="1" si="1">R33/Q$32</f>
        <v>0.44194532128514058</v>
      </c>
      <c r="T33" s="206"/>
      <c r="U33" s="208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0.11875640069196325</v>
      </c>
      <c r="V33" s="206">
        <f ca="1">S33*U33</f>
        <v>5.2483835658476592E-2</v>
      </c>
      <c r="W33" s="205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1231.1286007896067</v>
      </c>
      <c r="X33" s="206">
        <f ca="1">W33/Q$38</f>
        <v>0.40733698887732878</v>
      </c>
      <c r="Y33" s="207"/>
      <c r="Z33" s="207"/>
      <c r="AA33" s="205">
        <f t="array" aca="1" ref="AA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A$29&amp;AA$30,INDIRECT("'"&amp;$F33&amp;"'!$B$4:$T$4")&amp;INDIRECT("'"&amp;$F33&amp;"'!$B$5:$T$5"),0))</f>
        <v>2122.8972600000002</v>
      </c>
      <c r="AB33" s="206">
        <f t="shared" ref="AB33:AB37" ca="1" si="2">AA33/Z$32</f>
        <v>0.43315593960416243</v>
      </c>
      <c r="AC33" s="206"/>
      <c r="AD33" s="208">
        <f t="array" aca="1" ref="AD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D$30,INDIRECT("'"&amp;$F33&amp;"'!$B$4:$T$4")&amp;INDIRECT("'"&amp;$F33&amp;"'!$B$5:$T$5"),0))</f>
        <v>0.10627461760146706</v>
      </c>
      <c r="AE33" s="206">
        <f ca="1">AB33*AD33</f>
        <v>4.6033481843236523E-2</v>
      </c>
      <c r="AF33" s="205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2348.5073545137025</v>
      </c>
      <c r="AG33" s="206">
        <f ca="1">AF33/Z$38</f>
        <v>0.40781076353674484</v>
      </c>
    </row>
    <row r="34" spans="2:33" ht="15" customHeight="1" x14ac:dyDescent="0.25">
      <c r="F34" s="48" t="s">
        <v>69</v>
      </c>
      <c r="G34" s="48"/>
      <c r="H34" s="207"/>
      <c r="I34" s="205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586.80819999999994</v>
      </c>
      <c r="J34" s="206">
        <f t="shared" ca="1" si="0"/>
        <v>0.28050105162523897</v>
      </c>
      <c r="K34" s="206"/>
      <c r="L34" s="208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0.53289643873415549</v>
      </c>
      <c r="M34" s="206">
        <f ca="1">J34*L34</f>
        <v>0.14947801147227535</v>
      </c>
      <c r="N34" s="205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899.51620000000003</v>
      </c>
      <c r="O34" s="206">
        <f ca="1">N34/H$38</f>
        <v>0.35207356520361349</v>
      </c>
      <c r="P34" s="206"/>
      <c r="Q34" s="206"/>
      <c r="R34" s="205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779.26420000000007</v>
      </c>
      <c r="S34" s="206">
        <f t="shared" ca="1" si="1"/>
        <v>0.31295751004016065</v>
      </c>
      <c r="T34" s="206"/>
      <c r="U34" s="208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0.47051051491907336</v>
      </c>
      <c r="V34" s="206">
        <f ca="1">S34*U34</f>
        <v>0.14724979919678705</v>
      </c>
      <c r="W34" s="205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1145.9161999999999</v>
      </c>
      <c r="X34" s="206">
        <f ca="1">W34/Q$38</f>
        <v>0.37914321388876576</v>
      </c>
      <c r="Y34" s="207"/>
      <c r="Z34" s="207"/>
      <c r="AA34" s="205">
        <f t="array" aca="1" ref="AA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A$29&amp;AA$30,INDIRECT("'"&amp;$F34&amp;"'!$B$4:$T$4")&amp;INDIRECT("'"&amp;$F34&amp;"'!$B$5:$T$5"),0))</f>
        <v>1275.67</v>
      </c>
      <c r="AB34" s="206">
        <f t="shared" ca="1" si="2"/>
        <v>0.26028769638849214</v>
      </c>
      <c r="AC34" s="206"/>
      <c r="AD34" s="208">
        <f t="array" aca="1" ref="AD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D$30,INDIRECT("'"&amp;$F34&amp;"'!$B$4:$T$4")&amp;INDIRECT("'"&amp;$F34&amp;"'!$B$5:$T$5"),0))</f>
        <v>0.53289643873415526</v>
      </c>
      <c r="AE34" s="206">
        <f ca="1">AB34*AD34</f>
        <v>0.13870638645174452</v>
      </c>
      <c r="AF34" s="205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1955.47</v>
      </c>
      <c r="AG34" s="206">
        <f ca="1">AF34/Z$38</f>
        <v>0.33956108855291456</v>
      </c>
    </row>
    <row r="35" spans="2:33" ht="15" customHeight="1" x14ac:dyDescent="0.25">
      <c r="F35" s="48" t="s">
        <v>70</v>
      </c>
      <c r="G35" s="48"/>
      <c r="H35" s="207"/>
      <c r="I35" s="205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103.47699999999999</v>
      </c>
      <c r="J35" s="206">
        <f t="shared" ca="1" si="0"/>
        <v>4.9463193116634795E-2</v>
      </c>
      <c r="K35" s="206"/>
      <c r="L35" s="208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-9.9266503667481354E-2</v>
      </c>
      <c r="M35" s="206">
        <f ca="1">J35*L35</f>
        <v>-4.910038240917766E-3</v>
      </c>
      <c r="N35" s="205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93.205200000000019</v>
      </c>
      <c r="O35" s="206">
        <f ca="1">N35/H$38</f>
        <v>3.6480818310460489E-2</v>
      </c>
      <c r="P35" s="206"/>
      <c r="Q35" s="206"/>
      <c r="R35" s="205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148.46699999999998</v>
      </c>
      <c r="S35" s="206">
        <f t="shared" ca="1" si="1"/>
        <v>5.9625301204819271E-2</v>
      </c>
      <c r="T35" s="206"/>
      <c r="U35" s="208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-9.9266503667481465E-2</v>
      </c>
      <c r="V35" s="206">
        <f ca="1">S35*U35</f>
        <v>-5.9187951807228795E-3</v>
      </c>
      <c r="W35" s="205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133.72920000000002</v>
      </c>
      <c r="X35" s="206">
        <f ca="1">W35/Q$38</f>
        <v>4.4246270956614056E-2</v>
      </c>
      <c r="Y35" s="207"/>
      <c r="Z35" s="207"/>
      <c r="AA35" s="205">
        <f t="array" aca="1" ref="AA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A$29&amp;AA$30,INDIRECT("'"&amp;$F35&amp;"'!$B$4:$T$4")&amp;INDIRECT("'"&amp;$F35&amp;"'!$B$5:$T$5"),0))</f>
        <v>224.95</v>
      </c>
      <c r="AB35" s="206">
        <f t="shared" ca="1" si="2"/>
        <v>4.5898796164048149E-2</v>
      </c>
      <c r="AC35" s="206"/>
      <c r="AD35" s="208">
        <f t="array" aca="1" ref="AD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D$30,INDIRECT("'"&amp;$F35&amp;"'!$B$4:$T$4")&amp;INDIRECT("'"&amp;$F35&amp;"'!$B$5:$T$5"),0))</f>
        <v>-9.9266503667481576E-2</v>
      </c>
      <c r="AE35" s="206">
        <f ca="1">AB35*AD35</f>
        <v>-4.5562130177514747E-3</v>
      </c>
      <c r="AF35" s="205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202.62</v>
      </c>
      <c r="AG35" s="206">
        <f ca="1">AF35/Z$38</f>
        <v>3.5184312601365175E-2</v>
      </c>
    </row>
    <row r="36" spans="2:33" ht="15" customHeight="1" x14ac:dyDescent="0.25">
      <c r="F36" s="48" t="s">
        <v>204</v>
      </c>
      <c r="G36" s="48"/>
      <c r="H36" s="207"/>
      <c r="I36" s="205" cm="1">
        <f t="array" aca="1" ref="I36" ca="1">INDEX(INDIRECT("'"&amp;$F36&amp;"'!$B$3:$T$300"),MATCH($B$6&amp;H$27&amp;H$28&amp;"Total inc GST",INDIRECT("'"&amp;$F36&amp;"'!$B$3:$B$300")&amp;INDIRECT("'"&amp;$F36&amp;"'!$C$3:$C$300")&amp;INDIRECT("'"&amp;$F36&amp;"'!$D$3:$D$300")&amp;INDIRECT("'"&amp;$F36&amp;"'!$G$3:$G$300"),0),MATCH(I$29&amp;I$30,INDIRECT("'"&amp;$F36&amp;"'!$B$4:$T$4")&amp;INDIRECT("'"&amp;$F36&amp;"'!$B$5:$T$5"),0))</f>
        <v>212.61989555270895</v>
      </c>
      <c r="J36" s="206">
        <f t="shared" ca="1" si="0"/>
        <v>0.10163474930817827</v>
      </c>
      <c r="K36" s="206"/>
      <c r="L36" s="208">
        <f ca="1">IFERROR((N36-I36)/I36,"New cost component")</f>
        <v>-1.5279527831241497E-2</v>
      </c>
      <c r="M36" s="208">
        <f ca="1">(N36-I36)/H32</f>
        <v>-1.5529309806755626E-3</v>
      </c>
      <c r="N36" s="205" cm="1">
        <f t="array" aca="1" ref="N36" ca="1">INDEX(INDIRECT("'"&amp;$F36&amp;"'!$B$3:$T$300"),MATCH($B$6&amp;H$27&amp;H$28&amp;"Total inc GST",INDIRECT("'"&amp;$F36&amp;"'!$B$3:$B$300")&amp;INDIRECT("'"&amp;$F36&amp;"'!$C$3:$C$300")&amp;INDIRECT("'"&amp;$F36&amp;"'!$D$3:$D$300")&amp;INDIRECT("'"&amp;$F36&amp;"'!$G$3:$G$300"),0),MATCH(L$29&amp;N$30,INDIRECT("'"&amp;$F36&amp;"'!$B$4:$T$4")&amp;INDIRECT("'"&amp;$F36&amp;"'!$B$5:$T$5"),0))</f>
        <v>209.37116394113568</v>
      </c>
      <c r="O36" s="206">
        <f ca="1">N36/H$38</f>
        <v>8.1948554277939498E-2</v>
      </c>
      <c r="P36" s="206"/>
      <c r="Q36" s="206"/>
      <c r="R36" s="205" cm="1">
        <f t="array" aca="1" ref="R36" ca="1">INDEX(INDIRECT("'"&amp;$F36&amp;"'!$B$3:$T$300"),MATCH($B$6&amp;Q$27&amp;Q$28&amp;"Total inc GST",INDIRECT("'"&amp;$F36&amp;"'!$B$3:$B$300")&amp;INDIRECT("'"&amp;$F36&amp;"'!$C$3:$C$300")&amp;INDIRECT("'"&amp;$F36&amp;"'!$D$3:$D$300")&amp;INDIRECT("'"&amp;$F36&amp;"'!$G$3:$G$300"),0),MATCH(R$29&amp;R$30,INDIRECT("'"&amp;$F36&amp;"'!$B$4:$T$4")&amp;INDIRECT("'"&amp;$F36&amp;"'!$B$5:$T$5"),0))</f>
        <v>212.61989555270895</v>
      </c>
      <c r="S36" s="206">
        <f t="shared" ca="1" si="1"/>
        <v>8.5389516286228498E-2</v>
      </c>
      <c r="T36" s="206"/>
      <c r="U36" s="208">
        <f ca="1">IFERROR((W36-R36)/R36,"New cost component")</f>
        <v>-1.5279527831241497E-2</v>
      </c>
      <c r="V36" s="208">
        <f ca="1">(W36-R36)/Q32</f>
        <v>-1.3047114905916774E-3</v>
      </c>
      <c r="W36" s="205" cm="1">
        <f t="array" aca="1" ref="W36" ca="1">INDEX(INDIRECT("'"&amp;$F36&amp;"'!$B$3:$T$300"),MATCH($B$6&amp;Q$27&amp;Q$28&amp;"Total inc GST",INDIRECT("'"&amp;$F36&amp;"'!$B$3:$B$300")&amp;INDIRECT("'"&amp;$F36&amp;"'!$C$3:$C$300")&amp;INDIRECT("'"&amp;$F36&amp;"'!$D$3:$D$300")&amp;INDIRECT("'"&amp;$F36&amp;"'!$G$3:$G$300"),0),MATCH(U$29&amp;W$30,INDIRECT("'"&amp;$F36&amp;"'!$B$4:$T$4")&amp;INDIRECT("'"&amp;$F36&amp;"'!$B$5:$T$5"),0))</f>
        <v>209.37116394113568</v>
      </c>
      <c r="X36" s="206">
        <f ca="1">W36/Q$38</f>
        <v>6.9273526277291358E-2</v>
      </c>
      <c r="Y36" s="207"/>
      <c r="Z36" s="207"/>
      <c r="AA36" s="205" cm="1">
        <f t="array" aca="1" ref="AA36" ca="1">INDEX(INDIRECT("'"&amp;$F36&amp;"'!$B$3:$T$300"),MATCH($B$6&amp;Z$27&amp;Z$28&amp;"Total inc GST",INDIRECT("'"&amp;$F36&amp;"'!$B$3:$B$300")&amp;INDIRECT("'"&amp;$F36&amp;"'!$C$3:$C$300")&amp;INDIRECT("'"&amp;$F36&amp;"'!$D$3:$D$300")&amp;INDIRECT("'"&amp;$F36&amp;"'!$G$3:$G$300"),0),MATCH(AA$29&amp;AA$30,INDIRECT("'"&amp;$F36&amp;"'!$B$4:$T$4")&amp;INDIRECT("'"&amp;$F36&amp;"'!$B$5:$T$5"),0))</f>
        <v>282.59595665270899</v>
      </c>
      <c r="AB36" s="206">
        <f t="shared" ca="1" si="2"/>
        <v>5.7660876688983675E-2</v>
      </c>
      <c r="AC36" s="206"/>
      <c r="AD36" s="208">
        <f ca="1">IFERROR((AF36-AA36)/AA36,"New cost component")</f>
        <v>-0.13506809490048502</v>
      </c>
      <c r="AE36" s="208">
        <f ca="1">(AF36-AA36)/Z32</f>
        <v>-7.7881447646728124E-3</v>
      </c>
      <c r="AF36" s="205" cm="1">
        <f t="array" aca="1" ref="AF36" ca="1">INDEX(INDIRECT("'"&amp;$F36&amp;"'!$B$3:$T$300"),MATCH($B$6&amp;Z$27&amp;Z$28&amp;"Total inc GST",INDIRECT("'"&amp;$F36&amp;"'!$B$3:$B$300")&amp;INDIRECT("'"&amp;$F36&amp;"'!$C$3:$C$300")&amp;INDIRECT("'"&amp;$F36&amp;"'!$D$3:$D$300")&amp;INDIRECT("'"&amp;$F36&amp;"'!$G$3:$G$300"),0),MATCH(AD$29&amp;AF$30,INDIRECT("'"&amp;$F36&amp;"'!$B$4:$T$4")&amp;INDIRECT("'"&amp;$F36&amp;"'!$B$5:$T$5"),0))</f>
        <v>244.42625916104754</v>
      </c>
      <c r="AG36" s="206">
        <f ca="1">AF36/Z$38</f>
        <v>4.2443835308975393E-2</v>
      </c>
    </row>
    <row r="37" spans="2:33" ht="15" customHeight="1" x14ac:dyDescent="0.25">
      <c r="F37" s="48" t="s">
        <v>206</v>
      </c>
      <c r="G37" s="48"/>
      <c r="H37" s="207"/>
      <c r="I37" s="205">
        <f ca="1">SUM(I33:I36)/(1-SUMIFS('Detail inputs'!$I:$I,'Detail inputs'!$B:$B,$B$6,'Detail inputs'!$G:$G,$F$37,'Detail inputs'!$D:$D,$H$27,'Detail inputs'!$E:$E,$H28))-SUM(I33:I36)</f>
        <v>209.22056395030086</v>
      </c>
      <c r="J37" s="206">
        <f t="shared" ca="1" si="0"/>
        <v>0.10000982980415911</v>
      </c>
      <c r="K37" s="206"/>
      <c r="L37" s="208">
        <f ca="1">IFERROR((N37-I37)/I37,"New cost component")</f>
        <v>0.22115615497377381</v>
      </c>
      <c r="M37" s="208">
        <f ca="1">(N37-I37)/H32</f>
        <v>2.2117789419069354E-2</v>
      </c>
      <c r="N37" s="205">
        <f ca="1">SUM(N33:N36)/(1-SUMIFS('Detail inputs'!$J:$J,'Detail inputs'!$B:$B,$B$6,'Detail inputs'!$G:$G,$F$37,'Detail inputs'!$D:$D,$H$27,'Detail inputs'!$E:$E,$H28))-SUM(N33:N36)</f>
        <v>255.49097941499394</v>
      </c>
      <c r="O37" s="206">
        <f ca="1">N37/H$38</f>
        <v>9.9999999999999922E-2</v>
      </c>
      <c r="P37" s="206"/>
      <c r="Q37" s="206"/>
      <c r="R37" s="205">
        <f ca="1">SUM(R33:R36)/(1-SUMIFS('Detail inputs'!$I:$I,'Detail inputs'!$B:$B,$B$6,'Detail inputs'!$G:$G,$F$37,'Detail inputs'!$D:$D,$Q$27,'Detail inputs'!$E:$E,$Q28))-SUM(R33:R36)</f>
        <v>248.97721617252319</v>
      </c>
      <c r="S37" s="206">
        <f t="shared" ca="1" si="1"/>
        <v>9.9990849868483209E-2</v>
      </c>
      <c r="T37" s="206"/>
      <c r="U37" s="208">
        <f ca="1">IFERROR((W37-R37)/R37,"New cost component")</f>
        <v>0.2139197163619973</v>
      </c>
      <c r="V37" s="208">
        <f ca="1">(W37-R37)/Q32</f>
        <v>2.139001424266098E-2</v>
      </c>
      <c r="W37" s="205">
        <f ca="1">SUM(W33:W36)/(1-SUMIFS('Detail inputs'!$J:$J,'Detail inputs'!$B:$B,$B$6,'Detail inputs'!$G:$G,$F$37,'Detail inputs'!$D:$D,$Q$27,'Detail inputs'!$E:$E,$Q28))-SUM(W33:W36)</f>
        <v>302.23835163674903</v>
      </c>
      <c r="X37" s="206">
        <f ca="1">W37/Q$38</f>
        <v>9.999999999999995E-2</v>
      </c>
      <c r="Y37" s="207"/>
      <c r="Z37" s="207"/>
      <c r="AA37" s="205">
        <f ca="1">SUM(AA33:AA36)/(1-SUMIFS('Detail inputs'!$I:$I,'Detail inputs'!$B:$B,$B$6,'Detail inputs'!$G:$G,$F$37,'Detail inputs'!$D:$D,$Z$27,'Detail inputs'!$E:$E,$Z28))-SUM(AA33:AA36)</f>
        <v>994.90713046486826</v>
      </c>
      <c r="AB37" s="206">
        <f t="shared" ca="1" si="2"/>
        <v>0.20300084278001801</v>
      </c>
      <c r="AC37" s="206"/>
      <c r="AD37" s="208">
        <f ca="1">IFERROR((AF37-AA37)/AA37,"New cost component")</f>
        <v>1.2951718697905403E-2</v>
      </c>
      <c r="AE37" s="208">
        <f ca="1">(AF37-AA37)/Z32</f>
        <v>2.6292098111245143E-3</v>
      </c>
      <c r="AF37" s="205">
        <f ca="1">SUM(AF33:AF36)/(1-SUMIFS('Detail inputs'!$J:$J,'Detail inputs'!$B:$B,$B$6,'Detail inputs'!$G:$G,$F$37,'Detail inputs'!$D:$D,$Z$27,'Detail inputs'!$E:$E,$Z28))-SUM(AF33:AF36)</f>
        <v>1007.7928877491895</v>
      </c>
      <c r="AG37" s="206">
        <f ca="1">AF37/Z$38</f>
        <v>0.17500000000000002</v>
      </c>
    </row>
    <row r="38" spans="2:33" ht="15.75" thickBot="1" x14ac:dyDescent="0.3">
      <c r="B38" s="76"/>
      <c r="F38" s="73" t="str">
        <f>"DMO "&amp;FY&amp;" price"</f>
        <v>DMO 2023-24 price</v>
      </c>
      <c r="G38" s="73"/>
      <c r="H38" s="209">
        <f ca="1">SUM(N33:N37)</f>
        <v>2554.9097941499413</v>
      </c>
      <c r="I38" s="210"/>
      <c r="J38" s="210"/>
      <c r="K38" s="210"/>
      <c r="L38" s="210">
        <f ca="1">H38/H32-1</f>
        <v>0.22127619223228545</v>
      </c>
      <c r="M38" s="210"/>
      <c r="N38" s="210"/>
      <c r="O38" s="210"/>
      <c r="P38" s="210"/>
      <c r="Q38" s="209">
        <f ca="1">SUM(W33:W37)</f>
        <v>3022.3835163674917</v>
      </c>
      <c r="R38" s="209"/>
      <c r="S38" s="210"/>
      <c r="T38" s="210"/>
      <c r="U38" s="210">
        <f ca="1">Q38/Q32-1</f>
        <v>0.21380864111144238</v>
      </c>
      <c r="V38" s="210"/>
      <c r="W38" s="211"/>
      <c r="X38" s="211"/>
      <c r="Y38" s="211"/>
      <c r="Z38" s="209">
        <f ca="1">SUM(AF33:AF37)</f>
        <v>5758.8165014239394</v>
      </c>
      <c r="AA38" s="209"/>
      <c r="AB38" s="210"/>
      <c r="AC38" s="210"/>
      <c r="AD38" s="210">
        <f ca="1">Z38/Z32-1</f>
        <v>0.17502887194938577</v>
      </c>
      <c r="AE38" s="210"/>
      <c r="AF38" s="210"/>
      <c r="AG38" s="210"/>
    </row>
    <row r="39" spans="2:33" ht="15.75" thickTop="1" x14ac:dyDescent="0.25">
      <c r="F39" s="107"/>
    </row>
    <row r="40" spans="2:33" x14ac:dyDescent="0.25">
      <c r="F40" s="94"/>
    </row>
    <row r="42" spans="2:33" x14ac:dyDescent="0.25">
      <c r="F42" s="107"/>
      <c r="O42" s="162"/>
    </row>
    <row r="43" spans="2:33" s="92" customFormat="1" ht="12" x14ac:dyDescent="0.25">
      <c r="H43" s="93"/>
    </row>
    <row r="47" spans="2:33" x14ac:dyDescent="0.25">
      <c r="H47" s="74"/>
    </row>
  </sheetData>
  <mergeCells count="15">
    <mergeCell ref="A1:B1"/>
    <mergeCell ref="B6:B7"/>
    <mergeCell ref="F27:F31"/>
    <mergeCell ref="H27:O27"/>
    <mergeCell ref="Q27:X27"/>
    <mergeCell ref="L29:O29"/>
    <mergeCell ref="R29:S29"/>
    <mergeCell ref="U29:X29"/>
    <mergeCell ref="Z27:AG27"/>
    <mergeCell ref="H28:O28"/>
    <mergeCell ref="Q28:X28"/>
    <mergeCell ref="Z28:AG28"/>
    <mergeCell ref="I29:J29"/>
    <mergeCell ref="AA29:AB29"/>
    <mergeCell ref="AD29:AG29"/>
  </mergeCells>
  <conditionalFormatting sqref="Y38:AE38 F38:M38 P38:V38 F32:AG37">
    <cfRule type="expression" dxfId="1207" priority="29">
      <formula>MOD(ROW(),2)=0</formula>
    </cfRule>
    <cfRule type="expression" dxfId="1206" priority="30">
      <formula>AND(MOD(ROW(),2)=0,F$30="Proportion",$F32="Overall change in costs (%)")</formula>
    </cfRule>
    <cfRule type="expression" dxfId="1205" priority="31">
      <formula>AND(MOD(ROW(),1)=0,F$30="Proportion",$F32="Overall change in costs (%)")</formula>
    </cfRule>
  </conditionalFormatting>
  <conditionalFormatting sqref="P43:R43 G43:J43 Y43:AA43 M43:N43">
    <cfRule type="cellIs" dxfId="1204" priority="27" operator="equal">
      <formula>FALSE</formula>
    </cfRule>
    <cfRule type="cellIs" dxfId="1203" priority="28" operator="equal">
      <formula>TRUE</formula>
    </cfRule>
  </conditionalFormatting>
  <conditionalFormatting sqref="O38 X38 AG38">
    <cfRule type="expression" dxfId="1202" priority="32">
      <formula>MOD(ROW(),2)=0</formula>
    </cfRule>
    <cfRule type="expression" dxfId="1201" priority="33">
      <formula>AND(MOD(ROW(),2)=0,N$30="Proportion",$F38="Overall change in costs (%)")</formula>
    </cfRule>
    <cfRule type="expression" dxfId="1200" priority="34">
      <formula>AND(MOD(ROW(),1)=0,N$30="Proportion",$F38="Overall change in costs (%)")</formula>
    </cfRule>
  </conditionalFormatting>
  <conditionalFormatting sqref="N38 W38 AF38">
    <cfRule type="expression" dxfId="1199" priority="35">
      <formula>MOD(ROW(),2)=0</formula>
    </cfRule>
    <cfRule type="expression" dxfId="1198" priority="36">
      <formula>AND(MOD(ROW(),2)=0,#REF!="Proportion",$F38="Overall change in costs (%)")</formula>
    </cfRule>
    <cfRule type="expression" dxfId="1197" priority="37">
      <formula>AND(MOD(ROW(),1)=0,#REF!="Proportion",$F38="Overall change in costs (%)")</formula>
    </cfRule>
  </conditionalFormatting>
  <conditionalFormatting sqref="O43">
    <cfRule type="cellIs" dxfId="1196" priority="25" operator="equal">
      <formula>FALSE</formula>
    </cfRule>
    <cfRule type="cellIs" dxfId="1195" priority="26" operator="equal">
      <formula>TRUE</formula>
    </cfRule>
  </conditionalFormatting>
  <conditionalFormatting sqref="S43:T43">
    <cfRule type="cellIs" dxfId="1194" priority="23" operator="equal">
      <formula>FALSE</formula>
    </cfRule>
    <cfRule type="cellIs" dxfId="1193" priority="24" operator="equal">
      <formula>TRUE</formula>
    </cfRule>
  </conditionalFormatting>
  <conditionalFormatting sqref="X43">
    <cfRule type="cellIs" dxfId="1192" priority="21" operator="equal">
      <formula>FALSE</formula>
    </cfRule>
    <cfRule type="cellIs" dxfId="1191" priority="22" operator="equal">
      <formula>TRUE</formula>
    </cfRule>
  </conditionalFormatting>
  <conditionalFormatting sqref="W43">
    <cfRule type="cellIs" dxfId="1190" priority="19" operator="equal">
      <formula>FALSE</formula>
    </cfRule>
    <cfRule type="cellIs" dxfId="1189" priority="20" operator="equal">
      <formula>TRUE</formula>
    </cfRule>
  </conditionalFormatting>
  <conditionalFormatting sqref="AB43:AC43">
    <cfRule type="cellIs" dxfId="1188" priority="17" operator="equal">
      <formula>FALSE</formula>
    </cfRule>
    <cfRule type="cellIs" dxfId="1187" priority="18" operator="equal">
      <formula>TRUE</formula>
    </cfRule>
  </conditionalFormatting>
  <conditionalFormatting sqref="AG43">
    <cfRule type="cellIs" dxfId="1186" priority="15" operator="equal">
      <formula>FALSE</formula>
    </cfRule>
    <cfRule type="cellIs" dxfId="1185" priority="16" operator="equal">
      <formula>TRUE</formula>
    </cfRule>
  </conditionalFormatting>
  <conditionalFormatting sqref="AF43">
    <cfRule type="cellIs" dxfId="1184" priority="13" operator="equal">
      <formula>FALSE</formula>
    </cfRule>
    <cfRule type="cellIs" dxfId="1183" priority="14" operator="equal">
      <formula>TRUE</formula>
    </cfRule>
  </conditionalFormatting>
  <conditionalFormatting sqref="V43">
    <cfRule type="cellIs" dxfId="1182" priority="11" operator="equal">
      <formula>FALSE</formula>
    </cfRule>
    <cfRule type="cellIs" dxfId="1181" priority="12" operator="equal">
      <formula>TRUE</formula>
    </cfRule>
  </conditionalFormatting>
  <conditionalFormatting sqref="AE43">
    <cfRule type="cellIs" dxfId="1180" priority="9" operator="equal">
      <formula>FALSE</formula>
    </cfRule>
    <cfRule type="cellIs" dxfId="1179" priority="10" operator="equal">
      <formula>TRUE</formula>
    </cfRule>
  </conditionalFormatting>
  <conditionalFormatting sqref="AD43">
    <cfRule type="cellIs" dxfId="1178" priority="7" operator="equal">
      <formula>FALSE</formula>
    </cfRule>
    <cfRule type="cellIs" dxfId="1177" priority="8" operator="equal">
      <formula>TRUE</formula>
    </cfRule>
  </conditionalFormatting>
  <conditionalFormatting sqref="U43">
    <cfRule type="cellIs" dxfId="1176" priority="5" operator="equal">
      <formula>FALSE</formula>
    </cfRule>
    <cfRule type="cellIs" dxfId="1175" priority="6" operator="equal">
      <formula>TRUE</formula>
    </cfRule>
  </conditionalFormatting>
  <conditionalFormatting sqref="K43">
    <cfRule type="cellIs" dxfId="1174" priority="3" operator="equal">
      <formula>FALSE</formula>
    </cfRule>
    <cfRule type="cellIs" dxfId="1173" priority="4" operator="equal">
      <formula>TRUE</formula>
    </cfRule>
  </conditionalFormatting>
  <conditionalFormatting sqref="L43">
    <cfRule type="cellIs" dxfId="1172" priority="1" operator="equal">
      <formula>FALSE</formula>
    </cfRule>
    <cfRule type="cellIs" dxfId="1171" priority="2" operator="equal">
      <formula>TRUE</formula>
    </cfRule>
  </conditionalFormatting>
  <hyperlinks>
    <hyperlink ref="A1" location="Index!A1" display="&lt;&lt;Back to Index" xr:uid="{95C6A9F0-7B65-4A80-8680-8AB7B6D6C01F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5724-62A2-4531-BF35-DD917C38F1ED}">
  <sheetPr>
    <tabColor rgb="FF00B050"/>
  </sheetPr>
  <dimension ref="A1:AH47"/>
  <sheetViews>
    <sheetView zoomScaleNormal="100" workbookViewId="0">
      <selection sqref="A1:B1"/>
    </sheetView>
  </sheetViews>
  <sheetFormatPr defaultColWidth="8.85546875" defaultRowHeight="15" x14ac:dyDescent="0.25"/>
  <cols>
    <col min="1" max="1" width="1.85546875" style="3" customWidth="1"/>
    <col min="2" max="2" width="33.85546875" style="3" bestFit="1" customWidth="1"/>
    <col min="3" max="5" width="13.140625" style="3" customWidth="1"/>
    <col min="6" max="6" width="26.85546875" style="3" customWidth="1"/>
    <col min="7" max="7" width="5.85546875" style="3" customWidth="1"/>
    <col min="8" max="10" width="10.85546875" style="3" customWidth="1"/>
    <col min="11" max="11" width="1.85546875" style="3" customWidth="1"/>
    <col min="12" max="12" width="10.85546875" style="3" customWidth="1"/>
    <col min="13" max="13" width="12.140625" style="3" customWidth="1"/>
    <col min="14" max="14" width="13.140625" style="3" customWidth="1"/>
    <col min="15" max="15" width="10.85546875" style="3" customWidth="1"/>
    <col min="16" max="16" width="5.85546875" style="3" customWidth="1"/>
    <col min="17" max="19" width="10.85546875" style="3" customWidth="1"/>
    <col min="20" max="20" width="1.85546875" style="3" customWidth="1"/>
    <col min="21" max="21" width="10.85546875" style="3" customWidth="1"/>
    <col min="22" max="22" width="12.140625" style="3" customWidth="1"/>
    <col min="23" max="23" width="13.140625" style="3" customWidth="1"/>
    <col min="24" max="24" width="10.85546875" style="3" customWidth="1"/>
    <col min="25" max="25" width="5.85546875" style="3" customWidth="1"/>
    <col min="26" max="28" width="10.85546875" style="3" customWidth="1"/>
    <col min="29" max="29" width="1.85546875" style="3" customWidth="1"/>
    <col min="30" max="30" width="10.85546875" style="3" customWidth="1"/>
    <col min="31" max="31" width="12.140625" style="3" customWidth="1"/>
    <col min="32" max="32" width="8.85546875" style="3" customWidth="1"/>
    <col min="33" max="33" width="10.85546875" style="3" customWidth="1"/>
    <col min="34" max="16384" width="8.85546875" style="3"/>
  </cols>
  <sheetData>
    <row r="1" spans="1:34" ht="10.35" customHeight="1" x14ac:dyDescent="0.25">
      <c r="A1" s="286" t="s">
        <v>21</v>
      </c>
      <c r="B1" s="291"/>
    </row>
    <row r="2" spans="1:34" s="14" customFormat="1" ht="22.5" customHeight="1" x14ac:dyDescent="0.25">
      <c r="A2" s="15" t="s">
        <v>0</v>
      </c>
    </row>
    <row r="3" spans="1:34" s="67" customFormat="1" ht="15.75" thickBot="1" x14ac:dyDescent="0.3">
      <c r="C3" s="67" t="str">
        <f>$A$2&amp;" "&amp;C6&amp;" "&amp;C7</f>
        <v>Energex Residential without CL</v>
      </c>
      <c r="D3" s="67" t="str">
        <f>$A$2&amp;" "&amp;D6&amp;" "&amp;D7</f>
        <v>Energex Residential with CL</v>
      </c>
      <c r="E3" s="67" t="str">
        <f>$A$2&amp;" "&amp;E6&amp;" "&amp;E7</f>
        <v>Energex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75" x14ac:dyDescent="0.25">
      <c r="B4" s="34" t="s">
        <v>20</v>
      </c>
      <c r="F4" s="34"/>
      <c r="G4" s="79" t="s">
        <v>98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1"/>
    </row>
    <row r="5" spans="1:34" ht="5.0999999999999996" customHeight="1" x14ac:dyDescent="0.25">
      <c r="B5" s="5"/>
      <c r="G5" s="82"/>
      <c r="H5" s="83"/>
      <c r="AH5" s="84"/>
    </row>
    <row r="6" spans="1:34" ht="20.100000000000001" customHeight="1" x14ac:dyDescent="0.25">
      <c r="B6" s="315" t="str">
        <f>A2</f>
        <v>Energex</v>
      </c>
      <c r="C6" s="45" t="s">
        <v>6</v>
      </c>
      <c r="D6" s="45" t="s">
        <v>6</v>
      </c>
      <c r="E6" s="45" t="s">
        <v>83</v>
      </c>
      <c r="G6" s="82"/>
      <c r="H6" s="83"/>
      <c r="AH6" s="84"/>
    </row>
    <row r="7" spans="1:34" ht="20.100000000000001" customHeight="1" x14ac:dyDescent="0.25">
      <c r="B7" s="315"/>
      <c r="C7" s="46" t="s">
        <v>146</v>
      </c>
      <c r="D7" s="46" t="s">
        <v>147</v>
      </c>
      <c r="E7" s="46" t="s">
        <v>146</v>
      </c>
      <c r="G7" s="82"/>
      <c r="AH7" s="84"/>
    </row>
    <row r="8" spans="1:34" ht="2.1" customHeight="1" x14ac:dyDescent="0.25">
      <c r="C8" s="20"/>
      <c r="D8" s="20"/>
      <c r="E8" s="20"/>
      <c r="G8" s="82"/>
      <c r="AH8" s="84"/>
    </row>
    <row r="9" spans="1:34" s="43" customFormat="1" ht="30" customHeight="1" x14ac:dyDescent="0.25">
      <c r="B9" s="49" t="str">
        <f>"DMO "&amp;FY&amp;" price ($ pa, inc GST)"</f>
        <v>DMO 2023-24 price ($ pa, inc GST)</v>
      </c>
      <c r="C9" s="147">
        <f ca="1">ROUND(H38,0)</f>
        <v>1941</v>
      </c>
      <c r="D9" s="147">
        <f ca="1">ROUND(Q38,0)</f>
        <v>2344</v>
      </c>
      <c r="E9" s="147">
        <f ca="1">ROUND(Z38,0)</f>
        <v>4115</v>
      </c>
      <c r="F9" s="3"/>
      <c r="G9" s="8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85"/>
    </row>
    <row r="10" spans="1:34" ht="2.1" customHeight="1" x14ac:dyDescent="0.25">
      <c r="B10" s="50"/>
      <c r="C10" s="51"/>
      <c r="D10" s="51"/>
      <c r="E10" s="51"/>
      <c r="F10" s="43"/>
      <c r="G10" s="86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84"/>
    </row>
    <row r="11" spans="1:34" ht="20.100000000000001" customHeight="1" x14ac:dyDescent="0.25">
      <c r="B11" s="52" t="s">
        <v>51</v>
      </c>
      <c r="C11" s="53">
        <f>SUM(C12:C13)</f>
        <v>4600</v>
      </c>
      <c r="D11" s="53">
        <f>SUM(D12:D13)</f>
        <v>6300</v>
      </c>
      <c r="E11" s="53">
        <f>SUM(E12:E13)</f>
        <v>10000</v>
      </c>
      <c r="G11" s="82"/>
      <c r="AH11" s="84"/>
    </row>
    <row r="12" spans="1:34" ht="20.100000000000001" customHeight="1" x14ac:dyDescent="0.25">
      <c r="B12" s="54" t="s">
        <v>55</v>
      </c>
      <c r="C12" s="55">
        <f t="array" ref="C12">INDEX(Usage!$B$5:$M$18,MATCH($B6,Usage!$B$5:$B$18,0),MATCH(C$6&amp;C$7&amp;"Flat rate"&amp;"Total",Usage!$B$5:$M$5&amp;Usage!$B$6:$M$6&amp;Usage!$B$7:$M$7&amp;Usage!$B$13:$M$13,0))</f>
        <v>4600</v>
      </c>
      <c r="D12" s="55">
        <f t="array" ref="D12">INDEX(Usage!$B$5:$M$18,MATCH($B6,Usage!$B$5:$B$18,0),MATCH(D$6&amp;D$7&amp;"Flat rate"&amp;"Total",Usage!$B$5:$M$5&amp;Usage!$B$6:$M$6&amp;Usage!$B$7:$M$7&amp;Usage!$B$13:$M$13,0))</f>
        <v>4400</v>
      </c>
      <c r="E12" s="55">
        <f t="array" ref="E12">INDEX(Usage!$B$5:$M$18,MATCH($B6,Usage!$B$5:$B$18,0),MATCH(E$6&amp;E$7&amp;"Flat rate"&amp;"Total",Usage!$B$5:$M$5&amp;Usage!$B$6:$M$6&amp;Usage!$B$7:$M$7&amp;Usage!$B$13:$M$13,0))</f>
        <v>10000</v>
      </c>
      <c r="G12" s="82"/>
      <c r="AH12" s="84"/>
    </row>
    <row r="13" spans="1:34" ht="20.100000000000001" customHeight="1" x14ac:dyDescent="0.25">
      <c r="B13" s="54" t="s">
        <v>54</v>
      </c>
      <c r="C13" s="55"/>
      <c r="D13" s="55">
        <f t="array" ref="D13">INDEX(Usage!$B$5:$M$18,MATCH($B6,Usage!$B$5:$B$18,0),MATCH(D$6&amp;D$7&amp;"CL"&amp;"Total",Usage!$B$5:$M$5&amp;Usage!$B$6:$M$6&amp;Usage!$B$7:$M$7&amp;Usage!$B$13:$M$13,0))</f>
        <v>1900</v>
      </c>
      <c r="E13" s="55"/>
      <c r="G13" s="82"/>
      <c r="AH13" s="84"/>
    </row>
    <row r="14" spans="1:34" ht="2.1" customHeight="1" x14ac:dyDescent="0.25">
      <c r="B14" s="56"/>
      <c r="C14" s="56"/>
      <c r="D14" s="56"/>
      <c r="E14" s="56"/>
      <c r="G14" s="82"/>
      <c r="AH14" s="84"/>
    </row>
    <row r="15" spans="1:34" ht="20.100000000000001" customHeight="1" x14ac:dyDescent="0.25">
      <c r="B15" s="54" t="str">
        <f>"Change from DMO "&amp;PY&amp; " price ($)"</f>
        <v>Change from DMO 2022-23 price ($)</v>
      </c>
      <c r="C15" s="114">
        <f ca="1">C9-H32</f>
        <v>321</v>
      </c>
      <c r="D15" s="114">
        <f ca="1">D9-Q32</f>
        <v>383</v>
      </c>
      <c r="E15" s="114">
        <f ca="1">E9-Z32</f>
        <v>669</v>
      </c>
      <c r="G15" s="82"/>
      <c r="AH15" s="84"/>
    </row>
    <row r="16" spans="1:34" ht="20.100000000000001" customHeight="1" thickBot="1" x14ac:dyDescent="0.3">
      <c r="B16" s="57" t="str">
        <f>"Change from DMO "&amp;PY&amp; " price (%)"</f>
        <v>Change from DMO 2022-23 price (%)</v>
      </c>
      <c r="C16" s="95">
        <f ca="1">C9/H32-1</f>
        <v>0.19814814814814818</v>
      </c>
      <c r="D16" s="95">
        <f ca="1">D9/Q32-1</f>
        <v>0.19530851606323307</v>
      </c>
      <c r="E16" s="95">
        <f ca="1">E9/Z32-1</f>
        <v>0.19413813116656997</v>
      </c>
      <c r="G16" s="82"/>
      <c r="AH16" s="84"/>
    </row>
    <row r="17" spans="2:34" ht="15.75" thickTop="1" x14ac:dyDescent="0.25">
      <c r="B17" s="76" t="s">
        <v>97</v>
      </c>
      <c r="G17" s="82"/>
      <c r="AH17" s="84"/>
    </row>
    <row r="18" spans="2:34" x14ac:dyDescent="0.25">
      <c r="G18" s="82"/>
      <c r="AH18" s="84"/>
    </row>
    <row r="19" spans="2:34" x14ac:dyDescent="0.25">
      <c r="C19" s="74"/>
      <c r="D19" s="149"/>
      <c r="G19" s="82"/>
      <c r="AH19" s="84"/>
    </row>
    <row r="20" spans="2:34" ht="15.75" x14ac:dyDescent="0.25">
      <c r="B20" s="34"/>
      <c r="D20" s="149"/>
      <c r="G20" s="82"/>
      <c r="AH20" s="84"/>
    </row>
    <row r="21" spans="2:34" ht="15" customHeight="1" thickBot="1" x14ac:dyDescent="0.3">
      <c r="F21" s="34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9"/>
    </row>
    <row r="22" spans="2:34" s="35" customFormat="1" ht="15.75" x14ac:dyDescent="0.25">
      <c r="F22" s="3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5" customFormat="1" ht="15.75" hidden="1" x14ac:dyDescent="0.25">
      <c r="F23" s="34"/>
      <c r="G23" s="3"/>
      <c r="H23" s="3" t="str">
        <f>$H$27</f>
        <v>Residential</v>
      </c>
      <c r="I23" s="3" t="str">
        <f>$H$27</f>
        <v>Residential</v>
      </c>
      <c r="J23" s="3" t="str">
        <f>$H$27</f>
        <v>Residential</v>
      </c>
      <c r="K23" s="3"/>
      <c r="L23" s="3" t="str">
        <f>$H$27</f>
        <v>Residential</v>
      </c>
      <c r="M23" s="3" t="str">
        <f>$H$27</f>
        <v>Residential</v>
      </c>
      <c r="N23" s="3" t="str">
        <f>$H$27</f>
        <v>Residential</v>
      </c>
      <c r="O23" s="3" t="str">
        <f>$H$27</f>
        <v>Residential</v>
      </c>
      <c r="P23" s="3"/>
      <c r="Q23" s="3" t="str">
        <f>$Q$27</f>
        <v>Residential</v>
      </c>
      <c r="R23" s="3" t="str">
        <f>$Q$27</f>
        <v>Residential</v>
      </c>
      <c r="S23" s="3" t="str">
        <f>$Q$27</f>
        <v>Residential</v>
      </c>
      <c r="T23" s="3"/>
      <c r="U23" s="3" t="str">
        <f>$Q$27</f>
        <v>Residential</v>
      </c>
      <c r="V23" s="3" t="str">
        <f>$Q$27</f>
        <v>Residential</v>
      </c>
      <c r="W23" s="3" t="str">
        <f>$Q$27</f>
        <v>Residential</v>
      </c>
      <c r="X23" s="3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5" customFormat="1" ht="15.75" hidden="1" x14ac:dyDescent="0.25">
      <c r="F24" s="34"/>
      <c r="G24" s="3"/>
      <c r="H24" s="3" t="str">
        <f>$H$28</f>
        <v>without CL</v>
      </c>
      <c r="I24" s="3" t="str">
        <f>$H$28</f>
        <v>without CL</v>
      </c>
      <c r="J24" s="3" t="str">
        <f>$H$28</f>
        <v>without CL</v>
      </c>
      <c r="K24" s="3"/>
      <c r="L24" s="3" t="str">
        <f>$H$28</f>
        <v>without CL</v>
      </c>
      <c r="M24" s="3" t="str">
        <f>$H$28</f>
        <v>without CL</v>
      </c>
      <c r="N24" s="3" t="str">
        <f>$H$28</f>
        <v>without CL</v>
      </c>
      <c r="O24" s="3" t="str">
        <f>$H$28</f>
        <v>without CL</v>
      </c>
      <c r="P24" s="3"/>
      <c r="Q24" s="3" t="str">
        <f>$Q$28</f>
        <v>with CL</v>
      </c>
      <c r="R24" s="3" t="str">
        <f>$Q$28</f>
        <v>with CL</v>
      </c>
      <c r="S24" s="3" t="str">
        <f>$Q$28</f>
        <v>with CL</v>
      </c>
      <c r="T24" s="3"/>
      <c r="U24" s="3" t="str">
        <f>$Q$28</f>
        <v>with CL</v>
      </c>
      <c r="V24" s="3" t="str">
        <f>$Q$28</f>
        <v>with CL</v>
      </c>
      <c r="W24" s="3" t="str">
        <f>$Q$28</f>
        <v>with CL</v>
      </c>
      <c r="X24" s="3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5" customFormat="1" ht="15.75" hidden="1" x14ac:dyDescent="0.25">
      <c r="F25" s="34"/>
      <c r="G25" s="3"/>
      <c r="H25" s="3"/>
      <c r="I25" s="3" t="str">
        <f>$I$29</f>
        <v>2022-23</v>
      </c>
      <c r="J25" s="3" t="str">
        <f>$I$29</f>
        <v>2022-23</v>
      </c>
      <c r="K25" s="3"/>
      <c r="L25" s="3" t="str">
        <f>$L$29</f>
        <v>2023-24</v>
      </c>
      <c r="M25" s="3" t="str">
        <f>$L$29</f>
        <v>2023-24</v>
      </c>
      <c r="N25" s="3" t="str">
        <f>$L$29</f>
        <v>2023-24</v>
      </c>
      <c r="O25" s="3" t="str">
        <f>$L$29</f>
        <v>2023-24</v>
      </c>
      <c r="P25" s="3"/>
      <c r="Q25" s="3"/>
      <c r="R25" s="3" t="str">
        <f>$R$29</f>
        <v>2022-23</v>
      </c>
      <c r="S25" s="3" t="str">
        <f>$R$29</f>
        <v>2022-23</v>
      </c>
      <c r="T25" s="3"/>
      <c r="U25" s="3" t="str">
        <f>$U$29</f>
        <v>2023-24</v>
      </c>
      <c r="V25" s="3" t="str">
        <f>$U$29</f>
        <v>2023-24</v>
      </c>
      <c r="W25" s="3" t="str">
        <f>$U$29</f>
        <v>2023-24</v>
      </c>
      <c r="X25" s="3" t="str">
        <f>$U$29</f>
        <v>2023-24</v>
      </c>
      <c r="Y25" s="3"/>
      <c r="Z25" s="3"/>
      <c r="AA25" s="3" t="str">
        <f>$AA$29</f>
        <v>2022-23</v>
      </c>
      <c r="AB25" s="3" t="str">
        <f>$AA$29</f>
        <v>2022-23</v>
      </c>
      <c r="AC25" s="3"/>
      <c r="AD25" s="3" t="str">
        <f>$AD$29</f>
        <v>2023-24</v>
      </c>
      <c r="AE25" s="3" t="str">
        <f>$AD$29</f>
        <v>2023-24</v>
      </c>
      <c r="AF25" s="3" t="str">
        <f>$AD$29</f>
        <v>2023-24</v>
      </c>
      <c r="AG25" s="3" t="str">
        <f>$AD$29</f>
        <v>2023-24</v>
      </c>
    </row>
    <row r="26" spans="2:34" s="35" customFormat="1" ht="15.75" x14ac:dyDescent="0.25">
      <c r="F26" s="34" t="s">
        <v>46</v>
      </c>
      <c r="G26" s="94" t="s">
        <v>148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5" customFormat="1" x14ac:dyDescent="0.25">
      <c r="F27" s="316" t="s">
        <v>35</v>
      </c>
      <c r="G27" s="77"/>
      <c r="H27" s="317" t="s">
        <v>6</v>
      </c>
      <c r="I27" s="317"/>
      <c r="J27" s="317"/>
      <c r="K27" s="317"/>
      <c r="L27" s="317"/>
      <c r="M27" s="317"/>
      <c r="N27" s="317"/>
      <c r="O27" s="317"/>
      <c r="P27" s="42"/>
      <c r="Q27" s="317" t="s">
        <v>6</v>
      </c>
      <c r="R27" s="317"/>
      <c r="S27" s="317"/>
      <c r="T27" s="317"/>
      <c r="U27" s="317"/>
      <c r="V27" s="317"/>
      <c r="W27" s="317"/>
      <c r="X27" s="317"/>
      <c r="Y27" s="42"/>
      <c r="Z27" s="317" t="s">
        <v>83</v>
      </c>
      <c r="AA27" s="317"/>
      <c r="AB27" s="317"/>
      <c r="AC27" s="317"/>
      <c r="AD27" s="317"/>
      <c r="AE27" s="317"/>
      <c r="AF27" s="317"/>
      <c r="AG27" s="317"/>
    </row>
    <row r="28" spans="2:34" ht="15.75" thickBot="1" x14ac:dyDescent="0.3">
      <c r="F28" s="316"/>
      <c r="G28" s="77"/>
      <c r="H28" s="319" t="s">
        <v>146</v>
      </c>
      <c r="I28" s="319"/>
      <c r="J28" s="319"/>
      <c r="K28" s="319"/>
      <c r="L28" s="319"/>
      <c r="M28" s="319"/>
      <c r="N28" s="319"/>
      <c r="O28" s="319"/>
      <c r="P28" s="42"/>
      <c r="Q28" s="319" t="s">
        <v>147</v>
      </c>
      <c r="R28" s="319"/>
      <c r="S28" s="319"/>
      <c r="T28" s="319"/>
      <c r="U28" s="319"/>
      <c r="V28" s="319"/>
      <c r="W28" s="319"/>
      <c r="X28" s="319"/>
      <c r="Y28" s="42"/>
      <c r="Z28" s="319" t="s">
        <v>146</v>
      </c>
      <c r="AA28" s="319"/>
      <c r="AB28" s="319"/>
      <c r="AC28" s="319"/>
      <c r="AD28" s="319"/>
      <c r="AE28" s="319"/>
      <c r="AF28" s="319"/>
      <c r="AG28" s="319"/>
    </row>
    <row r="29" spans="2:34" ht="15" customHeight="1" thickTop="1" x14ac:dyDescent="0.25">
      <c r="F29" s="316"/>
      <c r="G29" s="78"/>
      <c r="H29" s="42" t="s">
        <v>73</v>
      </c>
      <c r="I29" s="318" t="str">
        <f>PY</f>
        <v>2022-23</v>
      </c>
      <c r="J29" s="318"/>
      <c r="K29" s="42"/>
      <c r="L29" s="318" t="str">
        <f>FY</f>
        <v>2023-24</v>
      </c>
      <c r="M29" s="318"/>
      <c r="N29" s="318"/>
      <c r="O29" s="318"/>
      <c r="P29" s="42"/>
      <c r="Q29" s="42" t="s">
        <v>73</v>
      </c>
      <c r="R29" s="318" t="str">
        <f>PY</f>
        <v>2022-23</v>
      </c>
      <c r="S29" s="318"/>
      <c r="T29" s="42"/>
      <c r="U29" s="318" t="str">
        <f>FY</f>
        <v>2023-24</v>
      </c>
      <c r="V29" s="318"/>
      <c r="W29" s="318"/>
      <c r="X29" s="318"/>
      <c r="Y29" s="42"/>
      <c r="Z29" s="42" t="s">
        <v>73</v>
      </c>
      <c r="AA29" s="318" t="str">
        <f>PY</f>
        <v>2022-23</v>
      </c>
      <c r="AB29" s="318"/>
      <c r="AC29" s="42"/>
      <c r="AD29" s="318" t="str">
        <f>FY</f>
        <v>2023-24</v>
      </c>
      <c r="AE29" s="318"/>
      <c r="AF29" s="318"/>
      <c r="AG29" s="318"/>
    </row>
    <row r="30" spans="2:34" ht="38.25" x14ac:dyDescent="0.25">
      <c r="F30" s="316"/>
      <c r="G30" s="78"/>
      <c r="H30" s="202"/>
      <c r="I30" s="203" t="s">
        <v>24</v>
      </c>
      <c r="J30" s="203" t="s">
        <v>26</v>
      </c>
      <c r="K30" s="203"/>
      <c r="L30" s="203" t="s">
        <v>23</v>
      </c>
      <c r="M30" s="204" t="s">
        <v>188</v>
      </c>
      <c r="N30" s="203" t="s">
        <v>24</v>
      </c>
      <c r="O30" s="203" t="s">
        <v>26</v>
      </c>
      <c r="P30" s="203"/>
      <c r="Q30" s="203"/>
      <c r="R30" s="203" t="s">
        <v>24</v>
      </c>
      <c r="S30" s="203" t="s">
        <v>26</v>
      </c>
      <c r="T30" s="203"/>
      <c r="U30" s="203" t="s">
        <v>23</v>
      </c>
      <c r="V30" s="204" t="s">
        <v>53</v>
      </c>
      <c r="W30" s="203" t="s">
        <v>24</v>
      </c>
      <c r="X30" s="203" t="s">
        <v>26</v>
      </c>
      <c r="Y30" s="203"/>
      <c r="Z30" s="203"/>
      <c r="AA30" s="203" t="s">
        <v>24</v>
      </c>
      <c r="AB30" s="203" t="s">
        <v>26</v>
      </c>
      <c r="AC30" s="203"/>
      <c r="AD30" s="203" t="s">
        <v>23</v>
      </c>
      <c r="AE30" s="204" t="s">
        <v>53</v>
      </c>
      <c r="AF30" s="203" t="s">
        <v>24</v>
      </c>
      <c r="AG30" s="203" t="s">
        <v>26</v>
      </c>
    </row>
    <row r="31" spans="2:34" ht="15" customHeight="1" x14ac:dyDescent="0.25">
      <c r="F31" s="316"/>
      <c r="G31" s="78"/>
      <c r="H31" s="203" t="s">
        <v>74</v>
      </c>
      <c r="I31" s="203" t="s">
        <v>48</v>
      </c>
      <c r="J31" s="203" t="s">
        <v>30</v>
      </c>
      <c r="K31" s="203"/>
      <c r="L31" s="203" t="s">
        <v>30</v>
      </c>
      <c r="M31" s="203" t="s">
        <v>30</v>
      </c>
      <c r="N31" s="203" t="s">
        <v>48</v>
      </c>
      <c r="O31" s="203" t="s">
        <v>30</v>
      </c>
      <c r="P31" s="203"/>
      <c r="Q31" s="203"/>
      <c r="R31" s="203" t="s">
        <v>48</v>
      </c>
      <c r="S31" s="203" t="s">
        <v>30</v>
      </c>
      <c r="T31" s="203"/>
      <c r="U31" s="203" t="s">
        <v>30</v>
      </c>
      <c r="V31" s="203" t="s">
        <v>30</v>
      </c>
      <c r="W31" s="203" t="s">
        <v>48</v>
      </c>
      <c r="X31" s="203" t="s">
        <v>30</v>
      </c>
      <c r="Y31" s="203"/>
      <c r="Z31" s="203"/>
      <c r="AA31" s="203" t="s">
        <v>48</v>
      </c>
      <c r="AB31" s="203" t="s">
        <v>30</v>
      </c>
      <c r="AC31" s="203"/>
      <c r="AD31" s="203" t="s">
        <v>30</v>
      </c>
      <c r="AE31" s="203" t="s">
        <v>30</v>
      </c>
      <c r="AF31" s="203" t="s">
        <v>48</v>
      </c>
      <c r="AG31" s="203" t="s">
        <v>30</v>
      </c>
    </row>
    <row r="32" spans="2:34" ht="15" customHeight="1" x14ac:dyDescent="0.25">
      <c r="F32" s="47" t="str">
        <f>"DMO "&amp;PY&amp;" price"</f>
        <v>DMO 2022-23 price</v>
      </c>
      <c r="G32" s="47"/>
      <c r="H32" s="205">
        <f t="array" ref="H32">INDEX('Detail inputs'!$B$3:$K$273,MATCH($B$6&amp;H$27&amp;H$28&amp;H$29,'Detail inputs'!$B$3:$B$273&amp;'Detail inputs'!$D$3:$D$273&amp;'Detail inputs'!$E$3:$E$273&amp;'Detail inputs'!$F$3:$F$273&amp;'Detail inputs'!$G$3:$G$273,0),MATCH(I$29,'Detail inputs'!$B$3:$K$3,0))</f>
        <v>1620</v>
      </c>
      <c r="I32" s="206"/>
      <c r="J32" s="206"/>
      <c r="K32" s="206"/>
      <c r="L32" s="206"/>
      <c r="M32" s="206"/>
      <c r="N32" s="206"/>
      <c r="O32" s="206"/>
      <c r="P32" s="206"/>
      <c r="Q32" s="205">
        <f t="array" ref="Q32">INDEX('Detail inputs'!$B$3:$K$273,MATCH($B$6&amp;Q$27&amp;Q$28&amp;Q$29,'Detail inputs'!$B$3:$B$273&amp;'Detail inputs'!$D$3:$D$273&amp;'Detail inputs'!$E$3:$E$273&amp;'Detail inputs'!$F$3:$F$273&amp;'Detail inputs'!$G$3:$G$273,0),MATCH(R$29,'Detail inputs'!$B$3:$K$3,0))</f>
        <v>1961</v>
      </c>
      <c r="R32" s="205"/>
      <c r="S32" s="206"/>
      <c r="T32" s="206"/>
      <c r="U32" s="206"/>
      <c r="V32" s="206"/>
      <c r="W32" s="207"/>
      <c r="X32" s="206"/>
      <c r="Y32" s="207"/>
      <c r="Z32" s="205">
        <f t="array" ref="Z32">INDEX('Detail inputs'!$B$3:$K$273,MATCH($B$6&amp;Z$27&amp;Z$28&amp;Z$29,'Detail inputs'!$B$3:$B$273&amp;'Detail inputs'!$D$3:$D$273&amp;'Detail inputs'!$E$3:$E$273&amp;'Detail inputs'!$F$3:$F$273&amp;'Detail inputs'!$G$3:$G$273,0),MATCH(AA$29,'Detail inputs'!$B$3:$K$3,0))</f>
        <v>3446</v>
      </c>
      <c r="AA32" s="205"/>
      <c r="AB32" s="206"/>
      <c r="AC32" s="206"/>
      <c r="AD32" s="206"/>
      <c r="AE32" s="206"/>
      <c r="AF32" s="206"/>
      <c r="AG32" s="206"/>
    </row>
    <row r="33" spans="2:33" ht="15" customHeight="1" x14ac:dyDescent="0.25">
      <c r="F33" s="48" t="s">
        <v>68</v>
      </c>
      <c r="G33" s="48"/>
      <c r="H33" s="207"/>
      <c r="I33" s="205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626.91969999999992</v>
      </c>
      <c r="J33" s="206">
        <f t="shared" ref="J33:J37" ca="1" si="0">I33/H$32</f>
        <v>0.3869874691358024</v>
      </c>
      <c r="K33" s="206"/>
      <c r="L33" s="208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5.3717581315256613E-2</v>
      </c>
      <c r="M33" s="206">
        <f ca="1">J33*L33</f>
        <v>2.0788030841287823E-2</v>
      </c>
      <c r="N33" s="205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660.59630996288627</v>
      </c>
      <c r="O33" s="206">
        <f ca="1">N33/H$38</f>
        <v>0.34028445782627914</v>
      </c>
      <c r="P33" s="206"/>
      <c r="Q33" s="206"/>
      <c r="R33" s="205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708.46269999999993</v>
      </c>
      <c r="S33" s="206">
        <f t="shared" ref="S33:S37" ca="1" si="1">R33/Q$32</f>
        <v>0.3612762366139724</v>
      </c>
      <c r="T33" s="206"/>
      <c r="U33" s="208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7.3442718897955839E-2</v>
      </c>
      <c r="V33" s="206">
        <f ca="1">S33*U33</f>
        <v>2.6533109090151354E-2</v>
      </c>
      <c r="W33" s="205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760.49412692578676</v>
      </c>
      <c r="X33" s="206">
        <f ca="1">W33/Q$38</f>
        <v>0.32450539661094419</v>
      </c>
      <c r="Y33" s="207"/>
      <c r="Z33" s="207"/>
      <c r="AA33" s="205">
        <f t="array" aca="1" ref="AA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A$29&amp;AA$30,INDIRECT("'"&amp;$F33&amp;"'!$B$4:$T$4")&amp;INDIRECT("'"&amp;$F33&amp;"'!$B$5:$T$5"),0))</f>
        <v>1220.2773000000002</v>
      </c>
      <c r="AB33" s="206">
        <f t="shared" ref="AB33:AB37" ca="1" si="2">AA33/Z$32</f>
        <v>0.35411413232733607</v>
      </c>
      <c r="AC33" s="206"/>
      <c r="AD33" s="208">
        <f t="array" aca="1" ref="AD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D$30,INDIRECT("'"&amp;$F33&amp;"'!$B$4:$T$4")&amp;INDIRECT("'"&amp;$F33&amp;"'!$B$5:$T$5"),0))</f>
        <v>4.0385984040937961E-2</v>
      </c>
      <c r="AE33" s="206">
        <f ca="1">AB33*AD33</f>
        <v>1.4301247696842387E-2</v>
      </c>
      <c r="AF33" s="205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1269.5593995633189</v>
      </c>
      <c r="AG33" s="206">
        <f ca="1">AF33/Z$38</f>
        <v>0.308515602068134</v>
      </c>
    </row>
    <row r="34" spans="2:33" ht="15" customHeight="1" x14ac:dyDescent="0.25">
      <c r="F34" s="48" t="s">
        <v>69</v>
      </c>
      <c r="G34" s="48"/>
      <c r="H34" s="207"/>
      <c r="I34" s="205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559.28179999999998</v>
      </c>
      <c r="J34" s="206">
        <f t="shared" ca="1" si="0"/>
        <v>0.34523567901234564</v>
      </c>
      <c r="K34" s="206"/>
      <c r="L34" s="208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0.49380258753279671</v>
      </c>
      <c r="M34" s="206">
        <f ca="1">J34*L34</f>
        <v>0.17047827160493831</v>
      </c>
      <c r="N34" s="205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835.45660000000009</v>
      </c>
      <c r="O34" s="206">
        <f ca="1">N34/H$38</f>
        <v>0.4303579839620339</v>
      </c>
      <c r="P34" s="206"/>
      <c r="Q34" s="206"/>
      <c r="R34" s="205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726.183898</v>
      </c>
      <c r="S34" s="206">
        <f t="shared" ca="1" si="1"/>
        <v>0.37031305354411015</v>
      </c>
      <c r="T34" s="206"/>
      <c r="U34" s="208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0.42977416720413197</v>
      </c>
      <c r="V34" s="206">
        <f ca="1">S34*U34</f>
        <v>0.15915098419173906</v>
      </c>
      <c r="W34" s="205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1038.2789780000003</v>
      </c>
      <c r="X34" s="206">
        <f ca="1">W34/Q$38</f>
        <v>0.44303712496858649</v>
      </c>
      <c r="Y34" s="207"/>
      <c r="Z34" s="207"/>
      <c r="AA34" s="205">
        <f t="array" aca="1" ref="AA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A$29&amp;AA$30,INDIRECT("'"&amp;$F34&amp;"'!$B$4:$T$4")&amp;INDIRECT("'"&amp;$F34&amp;"'!$B$5:$T$5"),0))</f>
        <v>1215.83</v>
      </c>
      <c r="AB34" s="206">
        <f t="shared" ca="1" si="2"/>
        <v>0.35282356355194427</v>
      </c>
      <c r="AC34" s="206"/>
      <c r="AD34" s="208">
        <f t="array" aca="1" ref="AD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D$30,INDIRECT("'"&amp;$F34&amp;"'!$B$4:$T$4")&amp;INDIRECT("'"&amp;$F34&amp;"'!$B$5:$T$5"),0))</f>
        <v>0.49380258753279671</v>
      </c>
      <c r="AE34" s="206">
        <f ca="1">AB34*AD34</f>
        <v>0.17422518862449224</v>
      </c>
      <c r="AF34" s="205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1816.21</v>
      </c>
      <c r="AG34" s="206">
        <f ca="1">AF34/Z$38</f>
        <v>0.4413571525876599</v>
      </c>
    </row>
    <row r="35" spans="2:33" ht="15" customHeight="1" x14ac:dyDescent="0.25">
      <c r="F35" s="48" t="s">
        <v>70</v>
      </c>
      <c r="G35" s="48"/>
      <c r="H35" s="207"/>
      <c r="I35" s="205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86.525999999999996</v>
      </c>
      <c r="J35" s="206">
        <f t="shared" ca="1" si="0"/>
        <v>5.3411111111111111E-2</v>
      </c>
      <c r="K35" s="206"/>
      <c r="L35" s="208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-0.11695906432748548</v>
      </c>
      <c r="M35" s="206">
        <f ca="1">J35*L35</f>
        <v>-6.2469135802469189E-3</v>
      </c>
      <c r="N35" s="205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76.405999999999992</v>
      </c>
      <c r="O35" s="206">
        <f ca="1">N35/H$38</f>
        <v>3.9358037416429716E-2</v>
      </c>
      <c r="P35" s="206"/>
      <c r="Q35" s="206"/>
      <c r="R35" s="205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118.50299999999999</v>
      </c>
      <c r="S35" s="206">
        <f t="shared" ca="1" si="1"/>
        <v>6.0429882712901575E-2</v>
      </c>
      <c r="T35" s="206"/>
      <c r="U35" s="208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-0.11695906432748526</v>
      </c>
      <c r="V35" s="206">
        <f ca="1">S35*U35</f>
        <v>-7.0678225395206448E-3</v>
      </c>
      <c r="W35" s="205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104.643</v>
      </c>
      <c r="X35" s="206">
        <f ca="1">W35/Q$38</f>
        <v>4.4651519341546167E-2</v>
      </c>
      <c r="Y35" s="207"/>
      <c r="Z35" s="207"/>
      <c r="AA35" s="205">
        <f t="array" aca="1" ref="AA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A$29&amp;AA$30,INDIRECT("'"&amp;$F35&amp;"'!$B$4:$T$4")&amp;INDIRECT("'"&amp;$F35&amp;"'!$B$5:$T$5"),0))</f>
        <v>188.1</v>
      </c>
      <c r="AB35" s="206">
        <f t="shared" ca="1" si="2"/>
        <v>5.4585026117237374E-2</v>
      </c>
      <c r="AC35" s="206"/>
      <c r="AD35" s="208">
        <f t="array" aca="1" ref="AD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D$30,INDIRECT("'"&amp;$F35&amp;"'!$B$4:$T$4")&amp;INDIRECT("'"&amp;$F35&amp;"'!$B$5:$T$5"),0))</f>
        <v>-0.11695906432748537</v>
      </c>
      <c r="AE35" s="206">
        <f ca="1">AB35*AD35</f>
        <v>-6.384213580963435E-3</v>
      </c>
      <c r="AF35" s="205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166.1</v>
      </c>
      <c r="AG35" s="206">
        <f ca="1">AF35/Z$38</f>
        <v>4.0363957386431254E-2</v>
      </c>
    </row>
    <row r="36" spans="2:33" ht="15" customHeight="1" x14ac:dyDescent="0.25">
      <c r="F36" s="48" t="s">
        <v>204</v>
      </c>
      <c r="G36" s="48"/>
      <c r="H36" s="207"/>
      <c r="I36" s="205" cm="1">
        <f t="array" aca="1" ref="I36" ca="1">INDEX(INDIRECT("'"&amp;$F36&amp;"'!$B$3:$T$300"),MATCH($B$6&amp;H$27&amp;H$28&amp;"Total inc GST",INDIRECT("'"&amp;$F36&amp;"'!$B$3:$B$300")&amp;INDIRECT("'"&amp;$F36&amp;"'!$C$3:$C$300")&amp;INDIRECT("'"&amp;$F36&amp;"'!$D$3:$D$300")&amp;INDIRECT("'"&amp;$F36&amp;"'!$G$3:$G$300"),0),MATCH(I$29&amp;I$30,INDIRECT("'"&amp;$F36&amp;"'!$B$4:$T$4")&amp;INDIRECT("'"&amp;$F36&amp;"'!$B$5:$T$5"),0))</f>
        <v>211.38587787770896</v>
      </c>
      <c r="J36" s="206">
        <f t="shared" ca="1" si="0"/>
        <v>0.1304851098010549</v>
      </c>
      <c r="K36" s="206"/>
      <c r="L36" s="208">
        <f ca="1">IFERROR((N36-I36)/I36,"New cost component")</f>
        <v>-2.6531367919805413E-2</v>
      </c>
      <c r="M36" s="208">
        <f ca="1">(N36-I36)/H32</f>
        <v>-3.4619484561879952E-3</v>
      </c>
      <c r="N36" s="205" cm="1">
        <f t="array" aca="1" ref="N36" ca="1">INDEX(INDIRECT("'"&amp;$F36&amp;"'!$B$3:$T$300"),MATCH($B$6&amp;H$27&amp;H$28&amp;"Total inc GST",INDIRECT("'"&amp;$F36&amp;"'!$B$3:$B$300")&amp;INDIRECT("'"&amp;$F36&amp;"'!$C$3:$C$300")&amp;INDIRECT("'"&amp;$F36&amp;"'!$D$3:$D$300")&amp;INDIRECT("'"&amp;$F36&amp;"'!$G$3:$G$300"),0),MATCH(L$29&amp;N$30,INDIRECT("'"&amp;$F36&amp;"'!$B$4:$T$4")&amp;INDIRECT("'"&amp;$F36&amp;"'!$B$5:$T$5"),0))</f>
        <v>205.77752137868441</v>
      </c>
      <c r="O36" s="206">
        <f ca="1">N36/H$38</f>
        <v>0.10599952079525728</v>
      </c>
      <c r="P36" s="206"/>
      <c r="Q36" s="206"/>
      <c r="R36" s="205" cm="1">
        <f t="array" aca="1" ref="R36" ca="1">INDEX(INDIRECT("'"&amp;$F36&amp;"'!$B$3:$T$300"),MATCH($B$6&amp;Q$27&amp;Q$28&amp;"Total inc GST",INDIRECT("'"&amp;$F36&amp;"'!$B$3:$B$300")&amp;INDIRECT("'"&amp;$F36&amp;"'!$C$3:$C$300")&amp;INDIRECT("'"&amp;$F36&amp;"'!$D$3:$D$300")&amp;INDIRECT("'"&amp;$F36&amp;"'!$G$3:$G$300"),0),MATCH(R$29&amp;R$30,INDIRECT("'"&amp;$F36&amp;"'!$B$4:$T$4")&amp;INDIRECT("'"&amp;$F36&amp;"'!$B$5:$T$5"),0))</f>
        <v>211.38587787770896</v>
      </c>
      <c r="S36" s="206">
        <f t="shared" ca="1" si="1"/>
        <v>0.1077949402742014</v>
      </c>
      <c r="T36" s="206"/>
      <c r="U36" s="208">
        <f ca="1">IFERROR((W36-R36)/R36,"New cost component")</f>
        <v>-2.6531367919805413E-2</v>
      </c>
      <c r="V36" s="208">
        <f ca="1">(W36-R36)/Q32</f>
        <v>-2.8599472203082875E-3</v>
      </c>
      <c r="W36" s="205" cm="1">
        <f t="array" aca="1" ref="W36" ca="1">INDEX(INDIRECT("'"&amp;$F36&amp;"'!$B$3:$T$300"),MATCH($B$6&amp;Q$27&amp;Q$28&amp;"Total inc GST",INDIRECT("'"&amp;$F36&amp;"'!$B$3:$B$300")&amp;INDIRECT("'"&amp;$F36&amp;"'!$C$3:$C$300")&amp;INDIRECT("'"&amp;$F36&amp;"'!$D$3:$D$300")&amp;INDIRECT("'"&amp;$F36&amp;"'!$G$3:$G$300"),0),MATCH(U$29&amp;W$30,INDIRECT("'"&amp;$F36&amp;"'!$B$4:$T$4")&amp;INDIRECT("'"&amp;$F36&amp;"'!$B$5:$T$5"),0))</f>
        <v>205.77752137868441</v>
      </c>
      <c r="X36" s="206">
        <f ca="1">W36/Q$38</f>
        <v>8.7805959078923163E-2</v>
      </c>
      <c r="Y36" s="207"/>
      <c r="Z36" s="207"/>
      <c r="AA36" s="205" cm="1">
        <f t="array" aca="1" ref="AA36" ca="1">INDEX(INDIRECT("'"&amp;$F36&amp;"'!$B$3:$T$300"),MATCH($B$6&amp;Z$27&amp;Z$28&amp;"Total inc GST",INDIRECT("'"&amp;$F36&amp;"'!$B$3:$B$300")&amp;INDIRECT("'"&amp;$F36&amp;"'!$C$3:$C$300")&amp;INDIRECT("'"&amp;$F36&amp;"'!$D$3:$D$300")&amp;INDIRECT("'"&amp;$F36&amp;"'!$G$3:$G$300"),0),MATCH(AA$29&amp;AA$30,INDIRECT("'"&amp;$F36&amp;"'!$B$4:$T$4")&amp;INDIRECT("'"&amp;$F36&amp;"'!$B$5:$T$5"),0))</f>
        <v>235.92105282770893</v>
      </c>
      <c r="AB36" s="206">
        <f t="shared" ca="1" si="2"/>
        <v>6.8462290431720529E-2</v>
      </c>
      <c r="AC36" s="206"/>
      <c r="AD36" s="208">
        <f ca="1">IFERROR((AF36-AA36)/AA36,"New cost component")</f>
        <v>-0.13200292211968206</v>
      </c>
      <c r="AE36" s="208">
        <f ca="1">(AF36-AA36)/Z32</f>
        <v>-9.0372223919934595E-3</v>
      </c>
      <c r="AF36" s="205" cm="1">
        <f t="array" aca="1" ref="AF36" ca="1">INDEX(INDIRECT("'"&amp;$F36&amp;"'!$B$3:$T$300"),MATCH($B$6&amp;Z$27&amp;Z$28&amp;"Total inc GST",INDIRECT("'"&amp;$F36&amp;"'!$B$3:$B$300")&amp;INDIRECT("'"&amp;$F36&amp;"'!$C$3:$C$300")&amp;INDIRECT("'"&amp;$F36&amp;"'!$D$3:$D$300")&amp;INDIRECT("'"&amp;$F36&amp;"'!$G$3:$G$300"),0),MATCH(AD$29&amp;AF$30,INDIRECT("'"&amp;$F36&amp;"'!$B$4:$T$4")&amp;INDIRECT("'"&amp;$F36&amp;"'!$B$5:$T$5"),0))</f>
        <v>204.77878446489947</v>
      </c>
      <c r="AG36" s="206">
        <f ca="1">AF36/Z$38</f>
        <v>4.9763287957774786E-2</v>
      </c>
    </row>
    <row r="37" spans="2:33" ht="15" customHeight="1" x14ac:dyDescent="0.25">
      <c r="F37" s="48" t="s">
        <v>206</v>
      </c>
      <c r="G37" s="48"/>
      <c r="H37" s="207"/>
      <c r="I37" s="205">
        <f ca="1">SUM(I33:I36)/(1-SUMIFS('Detail inputs'!$I:$I,'Detail inputs'!$B:$B,$B$6,'Detail inputs'!$G:$G,$F$37,'Detail inputs'!$D:$D,$H$27,'Detail inputs'!$E:$E,$H28))-SUM(I33:I36)</f>
        <v>136.09773334249735</v>
      </c>
      <c r="J37" s="206">
        <f t="shared" ca="1" si="0"/>
        <v>8.4010946507714415E-2</v>
      </c>
      <c r="K37" s="206"/>
      <c r="L37" s="208">
        <f ca="1">IFERROR((N37-I37)/I37,"New cost component")</f>
        <v>0.19818098660660219</v>
      </c>
      <c r="M37" s="208">
        <f ca="1">(N37-I37)/H32</f>
        <v>1.6649372264653323E-2</v>
      </c>
      <c r="N37" s="205">
        <f ca="1">SUM(N33:N36)/(1-SUMIFS('Detail inputs'!$J:$J,'Detail inputs'!$B:$B,$B$6,'Detail inputs'!$G:$G,$F$37,'Detail inputs'!$D:$D,$H$27,'Detail inputs'!$E:$E,$H28))-SUM(N33:N36)</f>
        <v>163.06971641123573</v>
      </c>
      <c r="O37" s="206">
        <f ca="1">N37/H$38</f>
        <v>8.3999999999999991E-2</v>
      </c>
      <c r="P37" s="206"/>
      <c r="Q37" s="206"/>
      <c r="R37" s="205">
        <f ca="1">SUM(R33:R36)/(1-SUMIFS('Detail inputs'!$I:$I,'Detail inputs'!$B:$B,$B$6,'Detail inputs'!$G:$G,$F$37,'Detail inputs'!$D:$D,$Q$27,'Detail inputs'!$E:$E,$Q28))-SUM(R33:R36)</f>
        <v>196.05949731974533</v>
      </c>
      <c r="S37" s="206">
        <f t="shared" ca="1" si="1"/>
        <v>9.997934590502057E-2</v>
      </c>
      <c r="T37" s="206"/>
      <c r="U37" s="208">
        <f ca="1">IFERROR((W37-R37)/R37,"New cost component")</f>
        <v>0.19532514655469044</v>
      </c>
      <c r="V37" s="208">
        <f ca="1">(W37-R37)/Q32</f>
        <v>1.9528480391340232E-2</v>
      </c>
      <c r="W37" s="205">
        <f ca="1">SUM(W33:W36)/(1-SUMIFS('Detail inputs'!$J:$J,'Detail inputs'!$B:$B,$B$6,'Detail inputs'!$G:$G,$F$37,'Detail inputs'!$D:$D,$Q$27,'Detail inputs'!$E:$E,$Q28))-SUM(W33:W36)</f>
        <v>234.35484736716353</v>
      </c>
      <c r="X37" s="206">
        <f ca="1">W37/Q$38</f>
        <v>0.10000000000000002</v>
      </c>
      <c r="Y37" s="207"/>
      <c r="Z37" s="207"/>
      <c r="AA37" s="205">
        <f ca="1">SUM(AA33:AA36)/(1-SUMIFS('Detail inputs'!$I:$I,'Detail inputs'!$B:$B,$B$6,'Detail inputs'!$G:$G,$F$37,'Detail inputs'!$D:$D,$Z$27,'Detail inputs'!$E:$E,$Z28))-SUM(AA33:AA36)</f>
        <v>585.80942166350678</v>
      </c>
      <c r="AB37" s="206">
        <f t="shared" ca="1" si="2"/>
        <v>0.16999693025638618</v>
      </c>
      <c r="AC37" s="206"/>
      <c r="AD37" s="208">
        <f ca="1">IFERROR((AF37-AA37)/AA37,"New cost component")</f>
        <v>0.12393067363182886</v>
      </c>
      <c r="AE37" s="208">
        <f ca="1">(AF37-AA37)/Z32</f>
        <v>2.106783408201697E-2</v>
      </c>
      <c r="AF37" s="205">
        <f ca="1">SUM(AF33:AF36)/(1-SUMIFS('Detail inputs'!$J:$J,'Detail inputs'!$B:$B,$B$6,'Detail inputs'!$G:$G,$F$37,'Detail inputs'!$D:$D,$Z$27,'Detail inputs'!$E:$E,$Z28))-SUM(AF33:AF36)</f>
        <v>658.40917791013726</v>
      </c>
      <c r="AG37" s="206">
        <f ca="1">AF37/Z$38</f>
        <v>0.16000000000000009</v>
      </c>
    </row>
    <row r="38" spans="2:33" ht="15.75" thickBot="1" x14ac:dyDescent="0.3">
      <c r="B38" s="76"/>
      <c r="F38" s="73" t="str">
        <f>"DMO "&amp;FY&amp;" price"</f>
        <v>DMO 2023-24 price</v>
      </c>
      <c r="G38" s="73"/>
      <c r="H38" s="209">
        <f ca="1">SUM(N33:N37)</f>
        <v>1941.3061477528065</v>
      </c>
      <c r="I38" s="210"/>
      <c r="J38" s="210"/>
      <c r="K38" s="210"/>
      <c r="L38" s="210">
        <f ca="1">H38/H32-1</f>
        <v>0.19833712824247307</v>
      </c>
      <c r="M38" s="210"/>
      <c r="N38" s="210"/>
      <c r="O38" s="210"/>
      <c r="P38" s="210"/>
      <c r="Q38" s="209">
        <f ca="1">SUM(W33:W37)</f>
        <v>2343.5484736716348</v>
      </c>
      <c r="R38" s="209"/>
      <c r="S38" s="210"/>
      <c r="T38" s="210"/>
      <c r="U38" s="210">
        <f ca="1">Q38/Q32-1</f>
        <v>0.19507826296360786</v>
      </c>
      <c r="V38" s="210"/>
      <c r="W38" s="211"/>
      <c r="X38" s="211"/>
      <c r="Y38" s="211"/>
      <c r="Z38" s="209">
        <f ca="1">SUM(AF33:AF37)</f>
        <v>4115.0573619383558</v>
      </c>
      <c r="AA38" s="209"/>
      <c r="AB38" s="210"/>
      <c r="AC38" s="210"/>
      <c r="AD38" s="210">
        <f ca="1">Z38/Z32-1</f>
        <v>0.19415477711501916</v>
      </c>
      <c r="AE38" s="210"/>
      <c r="AF38" s="210"/>
      <c r="AG38" s="210"/>
    </row>
    <row r="39" spans="2:33" ht="15.75" thickTop="1" x14ac:dyDescent="0.25">
      <c r="F39" s="107"/>
    </row>
    <row r="40" spans="2:33" x14ac:dyDescent="0.25">
      <c r="F40" s="94"/>
    </row>
    <row r="42" spans="2:33" x14ac:dyDescent="0.25">
      <c r="F42" s="107"/>
      <c r="O42" s="162"/>
    </row>
    <row r="43" spans="2:33" s="92" customFormat="1" ht="12" x14ac:dyDescent="0.25">
      <c r="H43" s="93"/>
    </row>
    <row r="47" spans="2:33" x14ac:dyDescent="0.25">
      <c r="H47" s="74"/>
    </row>
  </sheetData>
  <mergeCells count="15">
    <mergeCell ref="A1:B1"/>
    <mergeCell ref="B6:B7"/>
    <mergeCell ref="F27:F31"/>
    <mergeCell ref="H27:O27"/>
    <mergeCell ref="Q27:X27"/>
    <mergeCell ref="L29:O29"/>
    <mergeCell ref="R29:S29"/>
    <mergeCell ref="U29:X29"/>
    <mergeCell ref="Z27:AG27"/>
    <mergeCell ref="H28:O28"/>
    <mergeCell ref="Q28:X28"/>
    <mergeCell ref="Z28:AG28"/>
    <mergeCell ref="I29:J29"/>
    <mergeCell ref="AA29:AB29"/>
    <mergeCell ref="AD29:AG29"/>
  </mergeCells>
  <conditionalFormatting sqref="Y38:AE38 F38:M38 P38:V38 F32:AG37">
    <cfRule type="expression" dxfId="1170" priority="29">
      <formula>MOD(ROW(),2)=0</formula>
    </cfRule>
    <cfRule type="expression" dxfId="1169" priority="30">
      <formula>AND(MOD(ROW(),2)=0,F$30="Proportion",$F32="Overall change in costs (%)")</formula>
    </cfRule>
    <cfRule type="expression" dxfId="1168" priority="31">
      <formula>AND(MOD(ROW(),1)=0,F$30="Proportion",$F32="Overall change in costs (%)")</formula>
    </cfRule>
  </conditionalFormatting>
  <conditionalFormatting sqref="P43:R43 G43:J43 Y43:AA43 M43:N43">
    <cfRule type="cellIs" dxfId="1167" priority="27" operator="equal">
      <formula>FALSE</formula>
    </cfRule>
    <cfRule type="cellIs" dxfId="1166" priority="28" operator="equal">
      <formula>TRUE</formula>
    </cfRule>
  </conditionalFormatting>
  <conditionalFormatting sqref="O38 X38 AG38">
    <cfRule type="expression" dxfId="1165" priority="32">
      <formula>MOD(ROW(),2)=0</formula>
    </cfRule>
    <cfRule type="expression" dxfId="1164" priority="33">
      <formula>AND(MOD(ROW(),2)=0,N$30="Proportion",$F38="Overall change in costs (%)")</formula>
    </cfRule>
    <cfRule type="expression" dxfId="1163" priority="34">
      <formula>AND(MOD(ROW(),1)=0,N$30="Proportion",$F38="Overall change in costs (%)")</formula>
    </cfRule>
  </conditionalFormatting>
  <conditionalFormatting sqref="N38 W38 AF38">
    <cfRule type="expression" dxfId="1162" priority="35">
      <formula>MOD(ROW(),2)=0</formula>
    </cfRule>
    <cfRule type="expression" dxfId="1161" priority="36">
      <formula>AND(MOD(ROW(),2)=0,#REF!="Proportion",$F38="Overall change in costs (%)")</formula>
    </cfRule>
    <cfRule type="expression" dxfId="1160" priority="37">
      <formula>AND(MOD(ROW(),1)=0,#REF!="Proportion",$F38="Overall change in costs (%)")</formula>
    </cfRule>
  </conditionalFormatting>
  <conditionalFormatting sqref="O43">
    <cfRule type="cellIs" dxfId="1159" priority="25" operator="equal">
      <formula>FALSE</formula>
    </cfRule>
    <cfRule type="cellIs" dxfId="1158" priority="26" operator="equal">
      <formula>TRUE</formula>
    </cfRule>
  </conditionalFormatting>
  <conditionalFormatting sqref="S43:T43">
    <cfRule type="cellIs" dxfId="1157" priority="23" operator="equal">
      <formula>FALSE</formula>
    </cfRule>
    <cfRule type="cellIs" dxfId="1156" priority="24" operator="equal">
      <formula>TRUE</formula>
    </cfRule>
  </conditionalFormatting>
  <conditionalFormatting sqref="X43">
    <cfRule type="cellIs" dxfId="1155" priority="21" operator="equal">
      <formula>FALSE</formula>
    </cfRule>
    <cfRule type="cellIs" dxfId="1154" priority="22" operator="equal">
      <formula>TRUE</formula>
    </cfRule>
  </conditionalFormatting>
  <conditionalFormatting sqref="W43">
    <cfRule type="cellIs" dxfId="1153" priority="19" operator="equal">
      <formula>FALSE</formula>
    </cfRule>
    <cfRule type="cellIs" dxfId="1152" priority="20" operator="equal">
      <formula>TRUE</formula>
    </cfRule>
  </conditionalFormatting>
  <conditionalFormatting sqref="AB43:AC43">
    <cfRule type="cellIs" dxfId="1151" priority="17" operator="equal">
      <formula>FALSE</formula>
    </cfRule>
    <cfRule type="cellIs" dxfId="1150" priority="18" operator="equal">
      <formula>TRUE</formula>
    </cfRule>
  </conditionalFormatting>
  <conditionalFormatting sqref="AG43">
    <cfRule type="cellIs" dxfId="1149" priority="15" operator="equal">
      <formula>FALSE</formula>
    </cfRule>
    <cfRule type="cellIs" dxfId="1148" priority="16" operator="equal">
      <formula>TRUE</formula>
    </cfRule>
  </conditionalFormatting>
  <conditionalFormatting sqref="AF43">
    <cfRule type="cellIs" dxfId="1147" priority="13" operator="equal">
      <formula>FALSE</formula>
    </cfRule>
    <cfRule type="cellIs" dxfId="1146" priority="14" operator="equal">
      <formula>TRUE</formula>
    </cfRule>
  </conditionalFormatting>
  <conditionalFormatting sqref="V43">
    <cfRule type="cellIs" dxfId="1145" priority="11" operator="equal">
      <formula>FALSE</formula>
    </cfRule>
    <cfRule type="cellIs" dxfId="1144" priority="12" operator="equal">
      <formula>TRUE</formula>
    </cfRule>
  </conditionalFormatting>
  <conditionalFormatting sqref="AE43">
    <cfRule type="cellIs" dxfId="1143" priority="9" operator="equal">
      <formula>FALSE</formula>
    </cfRule>
    <cfRule type="cellIs" dxfId="1142" priority="10" operator="equal">
      <formula>TRUE</formula>
    </cfRule>
  </conditionalFormatting>
  <conditionalFormatting sqref="AD43">
    <cfRule type="cellIs" dxfId="1141" priority="7" operator="equal">
      <formula>FALSE</formula>
    </cfRule>
    <cfRule type="cellIs" dxfId="1140" priority="8" operator="equal">
      <formula>TRUE</formula>
    </cfRule>
  </conditionalFormatting>
  <conditionalFormatting sqref="U43">
    <cfRule type="cellIs" dxfId="1139" priority="5" operator="equal">
      <formula>FALSE</formula>
    </cfRule>
    <cfRule type="cellIs" dxfId="1138" priority="6" operator="equal">
      <formula>TRUE</formula>
    </cfRule>
  </conditionalFormatting>
  <conditionalFormatting sqref="K43">
    <cfRule type="cellIs" dxfId="1137" priority="3" operator="equal">
      <formula>FALSE</formula>
    </cfRule>
    <cfRule type="cellIs" dxfId="1136" priority="4" operator="equal">
      <formula>TRUE</formula>
    </cfRule>
  </conditionalFormatting>
  <conditionalFormatting sqref="L43">
    <cfRule type="cellIs" dxfId="1135" priority="1" operator="equal">
      <formula>FALSE</formula>
    </cfRule>
    <cfRule type="cellIs" dxfId="1134" priority="2" operator="equal">
      <formula>TRUE</formula>
    </cfRule>
  </conditionalFormatting>
  <hyperlinks>
    <hyperlink ref="A1" location="Index!A1" display="&lt;&lt;Back to Index" xr:uid="{B1F915EC-EDE5-4D1F-B6D7-A55C506A8AEF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E977-F6BE-41C2-A478-E2515844C8C1}">
  <sheetPr>
    <tabColor rgb="FF00B050"/>
  </sheetPr>
  <dimension ref="A1:AH47"/>
  <sheetViews>
    <sheetView zoomScaleNormal="100" workbookViewId="0">
      <selection sqref="A1:B1"/>
    </sheetView>
  </sheetViews>
  <sheetFormatPr defaultColWidth="8.85546875" defaultRowHeight="15" x14ac:dyDescent="0.25"/>
  <cols>
    <col min="1" max="1" width="1.85546875" style="3" customWidth="1"/>
    <col min="2" max="2" width="33.85546875" style="3" bestFit="1" customWidth="1"/>
    <col min="3" max="5" width="13.140625" style="3" customWidth="1"/>
    <col min="6" max="6" width="26.85546875" style="3" customWidth="1"/>
    <col min="7" max="7" width="5.85546875" style="3" customWidth="1"/>
    <col min="8" max="10" width="10.85546875" style="3" customWidth="1"/>
    <col min="11" max="11" width="1.85546875" style="3" customWidth="1"/>
    <col min="12" max="12" width="10.85546875" style="3" customWidth="1"/>
    <col min="13" max="13" width="12.140625" style="3" customWidth="1"/>
    <col min="14" max="14" width="13.140625" style="3" customWidth="1"/>
    <col min="15" max="15" width="10.85546875" style="3" customWidth="1"/>
    <col min="16" max="16" width="5.85546875" style="3" customWidth="1"/>
    <col min="17" max="19" width="10.85546875" style="3" customWidth="1"/>
    <col min="20" max="20" width="1.85546875" style="3" customWidth="1"/>
    <col min="21" max="21" width="10.85546875" style="3" customWidth="1"/>
    <col min="22" max="22" width="12.140625" style="3" customWidth="1"/>
    <col min="23" max="23" width="13.140625" style="3" customWidth="1"/>
    <col min="24" max="24" width="10.85546875" style="3" customWidth="1"/>
    <col min="25" max="25" width="5.85546875" style="3" customWidth="1"/>
    <col min="26" max="28" width="10.85546875" style="3" customWidth="1"/>
    <col min="29" max="29" width="1.85546875" style="3" customWidth="1"/>
    <col min="30" max="30" width="10.85546875" style="3" customWidth="1"/>
    <col min="31" max="31" width="12.140625" style="3" customWidth="1"/>
    <col min="32" max="32" width="8.85546875" style="3" customWidth="1"/>
    <col min="33" max="33" width="10.85546875" style="3" customWidth="1"/>
    <col min="34" max="16384" width="8.85546875" style="3"/>
  </cols>
  <sheetData>
    <row r="1" spans="1:34" ht="10.35" customHeight="1" x14ac:dyDescent="0.25">
      <c r="A1" s="286" t="s">
        <v>21</v>
      </c>
      <c r="B1" s="291"/>
    </row>
    <row r="2" spans="1:34" s="14" customFormat="1" ht="22.5" customHeight="1" x14ac:dyDescent="0.25">
      <c r="A2" s="15" t="s">
        <v>5</v>
      </c>
    </row>
    <row r="3" spans="1:34" s="67" customFormat="1" ht="15.75" thickBot="1" x14ac:dyDescent="0.3">
      <c r="C3" s="67" t="str">
        <f>$A$2&amp;" "&amp;C6&amp;" "&amp;C7</f>
        <v>SAPN Residential without CL</v>
      </c>
      <c r="D3" s="67" t="str">
        <f>$A$2&amp;" "&amp;D6&amp;" "&amp;D7</f>
        <v>SAPN Residential with CL</v>
      </c>
      <c r="E3" s="67" t="str">
        <f>$A$2&amp;" "&amp;E6&amp;" "&amp;E7</f>
        <v>SAPN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75" x14ac:dyDescent="0.25">
      <c r="B4" s="34" t="s">
        <v>20</v>
      </c>
      <c r="F4" s="34"/>
      <c r="G4" s="79" t="s">
        <v>98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1"/>
    </row>
    <row r="5" spans="1:34" ht="5.0999999999999996" customHeight="1" x14ac:dyDescent="0.25">
      <c r="B5" s="5"/>
      <c r="G5" s="82"/>
      <c r="H5" s="83"/>
      <c r="AH5" s="84"/>
    </row>
    <row r="6" spans="1:34" ht="20.100000000000001" customHeight="1" x14ac:dyDescent="0.25">
      <c r="B6" s="315" t="str">
        <f>A2</f>
        <v>SAPN</v>
      </c>
      <c r="C6" s="45" t="s">
        <v>6</v>
      </c>
      <c r="D6" s="45" t="s">
        <v>6</v>
      </c>
      <c r="E6" s="45" t="s">
        <v>83</v>
      </c>
      <c r="G6" s="82"/>
      <c r="H6" s="83"/>
      <c r="AH6" s="84"/>
    </row>
    <row r="7" spans="1:34" ht="20.100000000000001" customHeight="1" x14ac:dyDescent="0.25">
      <c r="B7" s="315"/>
      <c r="C7" s="46" t="s">
        <v>146</v>
      </c>
      <c r="D7" s="46" t="s">
        <v>147</v>
      </c>
      <c r="E7" s="46" t="s">
        <v>146</v>
      </c>
      <c r="G7" s="82"/>
      <c r="AH7" s="84"/>
    </row>
    <row r="8" spans="1:34" ht="2.1" customHeight="1" x14ac:dyDescent="0.25">
      <c r="C8" s="20"/>
      <c r="D8" s="20"/>
      <c r="E8" s="20"/>
      <c r="G8" s="82"/>
      <c r="AH8" s="84"/>
    </row>
    <row r="9" spans="1:34" s="43" customFormat="1" ht="30" customHeight="1" x14ac:dyDescent="0.25">
      <c r="B9" s="49" t="str">
        <f>"DMO "&amp;FY&amp;" price ($ pa, inc GST)"</f>
        <v>DMO 2023-24 price ($ pa, inc GST)</v>
      </c>
      <c r="C9" s="147">
        <f ca="1">ROUND(H38,0)</f>
        <v>2241</v>
      </c>
      <c r="D9" s="147">
        <f ca="1">ROUND(Q38,0)</f>
        <v>2760</v>
      </c>
      <c r="E9" s="147">
        <f ca="1">ROUND(Z38,0)</f>
        <v>5690</v>
      </c>
      <c r="F9" s="3"/>
      <c r="G9" s="8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85"/>
    </row>
    <row r="10" spans="1:34" ht="2.1" customHeight="1" x14ac:dyDescent="0.25">
      <c r="B10" s="50"/>
      <c r="C10" s="51"/>
      <c r="D10" s="51"/>
      <c r="E10" s="51"/>
      <c r="F10" s="43"/>
      <c r="G10" s="86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84"/>
    </row>
    <row r="11" spans="1:34" ht="20.100000000000001" customHeight="1" x14ac:dyDescent="0.25">
      <c r="B11" s="52" t="s">
        <v>51</v>
      </c>
      <c r="C11" s="53">
        <f>SUM(C12:C13)</f>
        <v>4000</v>
      </c>
      <c r="D11" s="53">
        <f>SUM(D12:D13)</f>
        <v>6000</v>
      </c>
      <c r="E11" s="53">
        <f>SUM(E12:E13)</f>
        <v>10000</v>
      </c>
      <c r="G11" s="82"/>
      <c r="AH11" s="84"/>
    </row>
    <row r="12" spans="1:34" ht="20.100000000000001" customHeight="1" x14ac:dyDescent="0.25">
      <c r="B12" s="54" t="s">
        <v>55</v>
      </c>
      <c r="C12" s="55">
        <f t="array" ref="C12">INDEX(Usage!$B$5:$M$18,MATCH($B6,Usage!$B$5:$B$18,0),MATCH(C$6&amp;C$7&amp;"Flat rate"&amp;"Total",Usage!$B$5:$M$5&amp;Usage!$B$6:$M$6&amp;Usage!$B$7:$M$7&amp;Usage!$B$13:$M$13,0))</f>
        <v>4000</v>
      </c>
      <c r="D12" s="55">
        <f t="array" ref="D12">INDEX(Usage!$B$5:$M$18,MATCH($B6,Usage!$B$5:$B$18,0),MATCH(D$6&amp;D$7&amp;"Flat rate"&amp;"Total",Usage!$B$5:$M$5&amp;Usage!$B$6:$M$6&amp;Usage!$B$7:$M$7&amp;Usage!$B$13:$M$13,0))</f>
        <v>4200</v>
      </c>
      <c r="E12" s="55">
        <f t="array" ref="E12">INDEX(Usage!$B$5:$M$18,MATCH($B6,Usage!$B$5:$B$18,0),MATCH(E$6&amp;E$7&amp;"Flat rate"&amp;"Total",Usage!$B$5:$M$5&amp;Usage!$B$6:$M$6&amp;Usage!$B$7:$M$7&amp;Usage!$B$13:$M$13,0))</f>
        <v>10000</v>
      </c>
      <c r="G12" s="82"/>
      <c r="AH12" s="84"/>
    </row>
    <row r="13" spans="1:34" ht="20.100000000000001" customHeight="1" x14ac:dyDescent="0.25">
      <c r="B13" s="54" t="s">
        <v>54</v>
      </c>
      <c r="C13" s="55"/>
      <c r="D13" s="55">
        <f t="array" ref="D13">INDEX(Usage!$B$5:$M$18,MATCH($B6,Usage!$B$5:$B$18,0),MATCH(D$6&amp;D$7&amp;"CL"&amp;"Total",Usage!$B$5:$M$5&amp;Usage!$B$6:$M$6&amp;Usage!$B$7:$M$7&amp;Usage!$B$13:$M$13,0))</f>
        <v>1800</v>
      </c>
      <c r="E13" s="55"/>
      <c r="G13" s="82"/>
      <c r="AH13" s="84"/>
    </row>
    <row r="14" spans="1:34" ht="2.1" customHeight="1" x14ac:dyDescent="0.25">
      <c r="B14" s="56"/>
      <c r="C14" s="56"/>
      <c r="D14" s="56"/>
      <c r="E14" s="56"/>
      <c r="G14" s="82"/>
      <c r="AH14" s="84"/>
    </row>
    <row r="15" spans="1:34" ht="20.100000000000001" customHeight="1" x14ac:dyDescent="0.25">
      <c r="B15" s="54" t="str">
        <f>"Change from DMO "&amp;PY&amp; " price ($)"</f>
        <v>Change from DMO 2022-23 price ($)</v>
      </c>
      <c r="C15" s="114">
        <f ca="1">C9-H32</f>
        <v>401</v>
      </c>
      <c r="D15" s="114">
        <f ca="1">D9-Q32</f>
        <v>485</v>
      </c>
      <c r="E15" s="114">
        <f ca="1">E9-Z32</f>
        <v>1151</v>
      </c>
      <c r="G15" s="82"/>
      <c r="AH15" s="84"/>
    </row>
    <row r="16" spans="1:34" ht="20.100000000000001" customHeight="1" thickBot="1" x14ac:dyDescent="0.3">
      <c r="B16" s="57" t="str">
        <f>"Change from DMO "&amp;PY&amp; " price (%)"</f>
        <v>Change from DMO 2022-23 price (%)</v>
      </c>
      <c r="C16" s="95">
        <f ca="1">C9/H32-1</f>
        <v>0.2179347826086957</v>
      </c>
      <c r="D16" s="95">
        <f ca="1">D9/Q32-1</f>
        <v>0.2131868131868131</v>
      </c>
      <c r="E16" s="95">
        <f ca="1">E9/Z32-1</f>
        <v>0.25358008371888086</v>
      </c>
      <c r="G16" s="82"/>
      <c r="AH16" s="84"/>
    </row>
    <row r="17" spans="2:34" ht="15.75" thickTop="1" x14ac:dyDescent="0.25">
      <c r="B17" s="76" t="s">
        <v>97</v>
      </c>
      <c r="G17" s="82"/>
      <c r="AH17" s="84"/>
    </row>
    <row r="18" spans="2:34" x14ac:dyDescent="0.25">
      <c r="G18" s="82"/>
      <c r="AH18" s="84"/>
    </row>
    <row r="19" spans="2:34" x14ac:dyDescent="0.25">
      <c r="C19" s="74"/>
      <c r="D19" s="149"/>
      <c r="G19" s="82"/>
      <c r="AH19" s="84"/>
    </row>
    <row r="20" spans="2:34" ht="15.75" x14ac:dyDescent="0.25">
      <c r="B20" s="34"/>
      <c r="D20" s="149"/>
      <c r="G20" s="82"/>
      <c r="AH20" s="84"/>
    </row>
    <row r="21" spans="2:34" ht="15" customHeight="1" thickBot="1" x14ac:dyDescent="0.3">
      <c r="F21" s="34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9"/>
    </row>
    <row r="22" spans="2:34" s="35" customFormat="1" ht="15.75" x14ac:dyDescent="0.25">
      <c r="F22" s="3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5" customFormat="1" ht="15.75" hidden="1" x14ac:dyDescent="0.25">
      <c r="F23" s="34"/>
      <c r="G23" s="3"/>
      <c r="H23" s="3" t="str">
        <f>$H$27</f>
        <v>Residential</v>
      </c>
      <c r="I23" s="3" t="str">
        <f>$H$27</f>
        <v>Residential</v>
      </c>
      <c r="J23" s="3" t="str">
        <f>$H$27</f>
        <v>Residential</v>
      </c>
      <c r="K23" s="3"/>
      <c r="L23" s="3" t="str">
        <f>$H$27</f>
        <v>Residential</v>
      </c>
      <c r="M23" s="3" t="str">
        <f>$H$27</f>
        <v>Residential</v>
      </c>
      <c r="N23" s="3" t="str">
        <f>$H$27</f>
        <v>Residential</v>
      </c>
      <c r="O23" s="3" t="str">
        <f>$H$27</f>
        <v>Residential</v>
      </c>
      <c r="P23" s="3"/>
      <c r="Q23" s="3" t="str">
        <f>$Q$27</f>
        <v>Residential</v>
      </c>
      <c r="R23" s="3" t="str">
        <f>$Q$27</f>
        <v>Residential</v>
      </c>
      <c r="S23" s="3" t="str">
        <f>$Q$27</f>
        <v>Residential</v>
      </c>
      <c r="T23" s="3"/>
      <c r="U23" s="3" t="str">
        <f>$Q$27</f>
        <v>Residential</v>
      </c>
      <c r="V23" s="3" t="str">
        <f>$Q$27</f>
        <v>Residential</v>
      </c>
      <c r="W23" s="3" t="str">
        <f>$Q$27</f>
        <v>Residential</v>
      </c>
      <c r="X23" s="3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5" customFormat="1" ht="15.75" hidden="1" x14ac:dyDescent="0.25">
      <c r="F24" s="34"/>
      <c r="G24" s="3"/>
      <c r="H24" s="3" t="str">
        <f>$H$28</f>
        <v>without CL</v>
      </c>
      <c r="I24" s="3" t="str">
        <f>$H$28</f>
        <v>without CL</v>
      </c>
      <c r="J24" s="3" t="str">
        <f>$H$28</f>
        <v>without CL</v>
      </c>
      <c r="K24" s="3"/>
      <c r="L24" s="3" t="str">
        <f>$H$28</f>
        <v>without CL</v>
      </c>
      <c r="M24" s="3" t="str">
        <f>$H$28</f>
        <v>without CL</v>
      </c>
      <c r="N24" s="3" t="str">
        <f>$H$28</f>
        <v>without CL</v>
      </c>
      <c r="O24" s="3" t="str">
        <f>$H$28</f>
        <v>without CL</v>
      </c>
      <c r="P24" s="3"/>
      <c r="Q24" s="3" t="str">
        <f>$Q$28</f>
        <v>with CL</v>
      </c>
      <c r="R24" s="3" t="str">
        <f>$Q$28</f>
        <v>with CL</v>
      </c>
      <c r="S24" s="3" t="str">
        <f>$Q$28</f>
        <v>with CL</v>
      </c>
      <c r="T24" s="3"/>
      <c r="U24" s="3" t="str">
        <f>$Q$28</f>
        <v>with CL</v>
      </c>
      <c r="V24" s="3" t="str">
        <f>$Q$28</f>
        <v>with CL</v>
      </c>
      <c r="W24" s="3" t="str">
        <f>$Q$28</f>
        <v>with CL</v>
      </c>
      <c r="X24" s="3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5" customFormat="1" ht="15.75" hidden="1" x14ac:dyDescent="0.25">
      <c r="F25" s="34"/>
      <c r="G25" s="3"/>
      <c r="H25" s="3"/>
      <c r="I25" s="3" t="str">
        <f>$I$29</f>
        <v>2022-23</v>
      </c>
      <c r="J25" s="3" t="str">
        <f>$I$29</f>
        <v>2022-23</v>
      </c>
      <c r="K25" s="3"/>
      <c r="L25" s="3" t="str">
        <f>$L$29</f>
        <v>2023-24</v>
      </c>
      <c r="M25" s="3" t="str">
        <f>$L$29</f>
        <v>2023-24</v>
      </c>
      <c r="N25" s="3" t="str">
        <f>$L$29</f>
        <v>2023-24</v>
      </c>
      <c r="O25" s="3" t="str">
        <f>$L$29</f>
        <v>2023-24</v>
      </c>
      <c r="P25" s="3"/>
      <c r="Q25" s="3"/>
      <c r="R25" s="3" t="str">
        <f>$R$29</f>
        <v>2022-23</v>
      </c>
      <c r="S25" s="3" t="str">
        <f>$R$29</f>
        <v>2022-23</v>
      </c>
      <c r="T25" s="3"/>
      <c r="U25" s="3" t="str">
        <f>$U$29</f>
        <v>2023-24</v>
      </c>
      <c r="V25" s="3" t="str">
        <f>$U$29</f>
        <v>2023-24</v>
      </c>
      <c r="W25" s="3" t="str">
        <f>$U$29</f>
        <v>2023-24</v>
      </c>
      <c r="X25" s="3" t="str">
        <f>$U$29</f>
        <v>2023-24</v>
      </c>
      <c r="Y25" s="3"/>
      <c r="Z25" s="3"/>
      <c r="AA25" s="3" t="str">
        <f>$AA$29</f>
        <v>2022-23</v>
      </c>
      <c r="AB25" s="3" t="str">
        <f>$AA$29</f>
        <v>2022-23</v>
      </c>
      <c r="AC25" s="3"/>
      <c r="AD25" s="3" t="str">
        <f>$AD$29</f>
        <v>2023-24</v>
      </c>
      <c r="AE25" s="3" t="str">
        <f>$AD$29</f>
        <v>2023-24</v>
      </c>
      <c r="AF25" s="3" t="str">
        <f>$AD$29</f>
        <v>2023-24</v>
      </c>
      <c r="AG25" s="3" t="str">
        <f>$AD$29</f>
        <v>2023-24</v>
      </c>
    </row>
    <row r="26" spans="2:34" s="35" customFormat="1" ht="15.75" x14ac:dyDescent="0.25">
      <c r="F26" s="34" t="s">
        <v>46</v>
      </c>
      <c r="G26" s="94" t="s">
        <v>148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5" customFormat="1" x14ac:dyDescent="0.25">
      <c r="F27" s="316" t="s">
        <v>35</v>
      </c>
      <c r="G27" s="77"/>
      <c r="H27" s="317" t="s">
        <v>6</v>
      </c>
      <c r="I27" s="317"/>
      <c r="J27" s="317"/>
      <c r="K27" s="317"/>
      <c r="L27" s="317"/>
      <c r="M27" s="317"/>
      <c r="N27" s="317"/>
      <c r="O27" s="317"/>
      <c r="P27" s="42"/>
      <c r="Q27" s="317" t="s">
        <v>6</v>
      </c>
      <c r="R27" s="317"/>
      <c r="S27" s="317"/>
      <c r="T27" s="317"/>
      <c r="U27" s="317"/>
      <c r="V27" s="317"/>
      <c r="W27" s="317"/>
      <c r="X27" s="317"/>
      <c r="Y27" s="42"/>
      <c r="Z27" s="317" t="s">
        <v>83</v>
      </c>
      <c r="AA27" s="317"/>
      <c r="AB27" s="317"/>
      <c r="AC27" s="317"/>
      <c r="AD27" s="317"/>
      <c r="AE27" s="317"/>
      <c r="AF27" s="317"/>
      <c r="AG27" s="317"/>
    </row>
    <row r="28" spans="2:34" ht="15.75" thickBot="1" x14ac:dyDescent="0.3">
      <c r="F28" s="316"/>
      <c r="G28" s="77"/>
      <c r="H28" s="319" t="s">
        <v>146</v>
      </c>
      <c r="I28" s="319"/>
      <c r="J28" s="319"/>
      <c r="K28" s="319"/>
      <c r="L28" s="319"/>
      <c r="M28" s="319"/>
      <c r="N28" s="319"/>
      <c r="O28" s="319"/>
      <c r="P28" s="42"/>
      <c r="Q28" s="319" t="s">
        <v>147</v>
      </c>
      <c r="R28" s="319"/>
      <c r="S28" s="319"/>
      <c r="T28" s="319"/>
      <c r="U28" s="319"/>
      <c r="V28" s="319"/>
      <c r="W28" s="319"/>
      <c r="X28" s="319"/>
      <c r="Y28" s="42"/>
      <c r="Z28" s="319" t="s">
        <v>146</v>
      </c>
      <c r="AA28" s="319"/>
      <c r="AB28" s="319"/>
      <c r="AC28" s="319"/>
      <c r="AD28" s="319"/>
      <c r="AE28" s="319"/>
      <c r="AF28" s="319"/>
      <c r="AG28" s="319"/>
    </row>
    <row r="29" spans="2:34" ht="15" customHeight="1" thickTop="1" x14ac:dyDescent="0.25">
      <c r="F29" s="316"/>
      <c r="G29" s="78"/>
      <c r="H29" s="42" t="s">
        <v>73</v>
      </c>
      <c r="I29" s="318" t="str">
        <f>PY</f>
        <v>2022-23</v>
      </c>
      <c r="J29" s="318"/>
      <c r="K29" s="42"/>
      <c r="L29" s="318" t="str">
        <f>FY</f>
        <v>2023-24</v>
      </c>
      <c r="M29" s="318"/>
      <c r="N29" s="318"/>
      <c r="O29" s="318"/>
      <c r="P29" s="42"/>
      <c r="Q29" s="42" t="s">
        <v>73</v>
      </c>
      <c r="R29" s="318" t="str">
        <f>PY</f>
        <v>2022-23</v>
      </c>
      <c r="S29" s="318"/>
      <c r="T29" s="42"/>
      <c r="U29" s="318" t="str">
        <f>FY</f>
        <v>2023-24</v>
      </c>
      <c r="V29" s="318"/>
      <c r="W29" s="318"/>
      <c r="X29" s="318"/>
      <c r="Y29" s="42"/>
      <c r="Z29" s="42" t="s">
        <v>73</v>
      </c>
      <c r="AA29" s="318" t="str">
        <f>PY</f>
        <v>2022-23</v>
      </c>
      <c r="AB29" s="318"/>
      <c r="AC29" s="42"/>
      <c r="AD29" s="318" t="str">
        <f>FY</f>
        <v>2023-24</v>
      </c>
      <c r="AE29" s="318"/>
      <c r="AF29" s="318"/>
      <c r="AG29" s="318"/>
    </row>
    <row r="30" spans="2:34" ht="38.25" x14ac:dyDescent="0.25">
      <c r="F30" s="316"/>
      <c r="G30" s="78"/>
      <c r="H30" s="202"/>
      <c r="I30" s="203" t="s">
        <v>24</v>
      </c>
      <c r="J30" s="203" t="s">
        <v>26</v>
      </c>
      <c r="K30" s="203"/>
      <c r="L30" s="203" t="s">
        <v>23</v>
      </c>
      <c r="M30" s="204" t="s">
        <v>188</v>
      </c>
      <c r="N30" s="203" t="s">
        <v>24</v>
      </c>
      <c r="O30" s="203" t="s">
        <v>26</v>
      </c>
      <c r="P30" s="203"/>
      <c r="Q30" s="203"/>
      <c r="R30" s="203" t="s">
        <v>24</v>
      </c>
      <c r="S30" s="203" t="s">
        <v>26</v>
      </c>
      <c r="T30" s="203"/>
      <c r="U30" s="203" t="s">
        <v>23</v>
      </c>
      <c r="V30" s="204" t="s">
        <v>53</v>
      </c>
      <c r="W30" s="203" t="s">
        <v>24</v>
      </c>
      <c r="X30" s="203" t="s">
        <v>26</v>
      </c>
      <c r="Y30" s="203"/>
      <c r="Z30" s="203"/>
      <c r="AA30" s="203" t="s">
        <v>24</v>
      </c>
      <c r="AB30" s="203" t="s">
        <v>26</v>
      </c>
      <c r="AC30" s="203"/>
      <c r="AD30" s="203" t="s">
        <v>23</v>
      </c>
      <c r="AE30" s="204" t="s">
        <v>53</v>
      </c>
      <c r="AF30" s="203" t="s">
        <v>24</v>
      </c>
      <c r="AG30" s="203" t="s">
        <v>26</v>
      </c>
    </row>
    <row r="31" spans="2:34" ht="15" customHeight="1" x14ac:dyDescent="0.25">
      <c r="F31" s="316"/>
      <c r="G31" s="78"/>
      <c r="H31" s="203" t="s">
        <v>74</v>
      </c>
      <c r="I31" s="203" t="s">
        <v>48</v>
      </c>
      <c r="J31" s="203" t="s">
        <v>30</v>
      </c>
      <c r="K31" s="203"/>
      <c r="L31" s="203" t="s">
        <v>30</v>
      </c>
      <c r="M31" s="203" t="s">
        <v>30</v>
      </c>
      <c r="N31" s="203" t="s">
        <v>48</v>
      </c>
      <c r="O31" s="203" t="s">
        <v>30</v>
      </c>
      <c r="P31" s="203"/>
      <c r="Q31" s="203"/>
      <c r="R31" s="203" t="s">
        <v>48</v>
      </c>
      <c r="S31" s="203" t="s">
        <v>30</v>
      </c>
      <c r="T31" s="203"/>
      <c r="U31" s="203" t="s">
        <v>30</v>
      </c>
      <c r="V31" s="203" t="s">
        <v>30</v>
      </c>
      <c r="W31" s="203" t="s">
        <v>48</v>
      </c>
      <c r="X31" s="203" t="s">
        <v>30</v>
      </c>
      <c r="Y31" s="203"/>
      <c r="Z31" s="203"/>
      <c r="AA31" s="203" t="s">
        <v>48</v>
      </c>
      <c r="AB31" s="203" t="s">
        <v>30</v>
      </c>
      <c r="AC31" s="203"/>
      <c r="AD31" s="203" t="s">
        <v>30</v>
      </c>
      <c r="AE31" s="203" t="s">
        <v>30</v>
      </c>
      <c r="AF31" s="203" t="s">
        <v>48</v>
      </c>
      <c r="AG31" s="203" t="s">
        <v>30</v>
      </c>
    </row>
    <row r="32" spans="2:34" ht="15" customHeight="1" x14ac:dyDescent="0.25">
      <c r="F32" s="47" t="str">
        <f>"DMO "&amp;PY&amp;" price"</f>
        <v>DMO 2022-23 price</v>
      </c>
      <c r="G32" s="47"/>
      <c r="H32" s="205">
        <f t="array" ref="H32">INDEX('Detail inputs'!$B$3:$K$273,MATCH($B$6&amp;H$27&amp;H$28&amp;H$29,'Detail inputs'!$B$3:$B$273&amp;'Detail inputs'!$D$3:$D$273&amp;'Detail inputs'!$E$3:$E$273&amp;'Detail inputs'!$F$3:$F$273&amp;'Detail inputs'!$G$3:$G$273,0),MATCH(I$29,'Detail inputs'!$B$3:$K$3,0))</f>
        <v>1840</v>
      </c>
      <c r="I32" s="206"/>
      <c r="J32" s="206"/>
      <c r="K32" s="206"/>
      <c r="L32" s="206"/>
      <c r="M32" s="206"/>
      <c r="N32" s="206"/>
      <c r="O32" s="206"/>
      <c r="P32" s="206"/>
      <c r="Q32" s="205">
        <f t="array" ref="Q32">INDEX('Detail inputs'!$B$3:$K$273,MATCH($B$6&amp;Q$27&amp;Q$28&amp;Q$29,'Detail inputs'!$B$3:$B$273&amp;'Detail inputs'!$D$3:$D$273&amp;'Detail inputs'!$E$3:$E$273&amp;'Detail inputs'!$F$3:$F$273&amp;'Detail inputs'!$G$3:$G$273,0),MATCH(R$29,'Detail inputs'!$B$3:$K$3,0))</f>
        <v>2275</v>
      </c>
      <c r="R32" s="205"/>
      <c r="S32" s="206"/>
      <c r="T32" s="206"/>
      <c r="U32" s="206"/>
      <c r="V32" s="206"/>
      <c r="W32" s="207"/>
      <c r="X32" s="206"/>
      <c r="Y32" s="207"/>
      <c r="Z32" s="205">
        <f t="array" ref="Z32">INDEX('Detail inputs'!$B$3:$K$273,MATCH($B$6&amp;Z$27&amp;Z$28&amp;Z$29,'Detail inputs'!$B$3:$B$273&amp;'Detail inputs'!$D$3:$D$273&amp;'Detail inputs'!$E$3:$E$273&amp;'Detail inputs'!$F$3:$F$273&amp;'Detail inputs'!$G$3:$G$273,0),MATCH(AA$29,'Detail inputs'!$B$3:$K$3,0))</f>
        <v>4539</v>
      </c>
      <c r="AA32" s="205"/>
      <c r="AB32" s="206"/>
      <c r="AC32" s="206"/>
      <c r="AD32" s="206"/>
      <c r="AE32" s="206"/>
      <c r="AF32" s="206"/>
      <c r="AG32" s="206"/>
    </row>
    <row r="33" spans="2:33" ht="15" customHeight="1" x14ac:dyDescent="0.25">
      <c r="F33" s="48" t="s">
        <v>68</v>
      </c>
      <c r="G33" s="48"/>
      <c r="H33" s="207"/>
      <c r="I33" s="205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826.75890000000004</v>
      </c>
      <c r="J33" s="206">
        <f t="shared" ref="J33:J37" ca="1" si="0">I33/H$32</f>
        <v>0.4493254891304348</v>
      </c>
      <c r="K33" s="206"/>
      <c r="L33" s="208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4.0620596887430693E-3</v>
      </c>
      <c r="M33" s="206">
        <f ca="1">J33*L33</f>
        <v>1.8251869565215015E-3</v>
      </c>
      <c r="N33" s="205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830.11724399999969</v>
      </c>
      <c r="O33" s="206">
        <f ca="1">N33/H$38</f>
        <v>0.37040285615321794</v>
      </c>
      <c r="P33" s="206"/>
      <c r="Q33" s="206"/>
      <c r="R33" s="205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1015.9589000000001</v>
      </c>
      <c r="S33" s="206">
        <f t="shared" ref="S33:S37" ca="1" si="1">R33/Q$32</f>
        <v>0.44657534065934068</v>
      </c>
      <c r="T33" s="206"/>
      <c r="U33" s="208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3.5940099545361814E-3</v>
      </c>
      <c r="V33" s="206">
        <f ca="1">S33*U33</f>
        <v>1.6049962197800568E-3</v>
      </c>
      <c r="W33" s="205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1019.6102663999998</v>
      </c>
      <c r="X33" s="206">
        <f ca="1">W33/Q$38</f>
        <v>0.36946037888996058</v>
      </c>
      <c r="Y33" s="207"/>
      <c r="Z33" s="207"/>
      <c r="AA33" s="205">
        <f t="array" aca="1" ref="AA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A$29&amp;AA$30,INDIRECT("'"&amp;$F33&amp;"'!$B$4:$T$4")&amp;INDIRECT("'"&amp;$F33&amp;"'!$B$5:$T$5"),0))</f>
        <v>1930.4626000000003</v>
      </c>
      <c r="AB33" s="206">
        <f t="shared" ref="AB33:AB37" ca="1" si="2">AA33/Z$32</f>
        <v>0.42530570610266583</v>
      </c>
      <c r="AC33" s="206"/>
      <c r="AD33" s="208">
        <f t="array" aca="1" ref="AD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D$30,INDIRECT("'"&amp;$F33&amp;"'!$B$4:$T$4")&amp;INDIRECT("'"&amp;$F33&amp;"'!$B$5:$T$5"),0))</f>
        <v>1.4877667601411515E-2</v>
      </c>
      <c r="AE33" s="206">
        <f ca="1">AB33*AD33</f>
        <v>6.3275569243790792E-3</v>
      </c>
      <c r="AF33" s="205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1959.1833808797571</v>
      </c>
      <c r="AG33" s="206">
        <f ca="1">AF33/Z$38</f>
        <v>0.34432289197765986</v>
      </c>
    </row>
    <row r="34" spans="2:33" ht="15" customHeight="1" x14ac:dyDescent="0.25">
      <c r="F34" s="48" t="s">
        <v>69</v>
      </c>
      <c r="G34" s="48"/>
      <c r="H34" s="207"/>
      <c r="I34" s="205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591.93200000000002</v>
      </c>
      <c r="J34" s="206">
        <f t="shared" ca="1" si="0"/>
        <v>0.32170217391304351</v>
      </c>
      <c r="K34" s="206"/>
      <c r="L34" s="208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0.660001486657251</v>
      </c>
      <c r="M34" s="206">
        <f ca="1">J34*L34</f>
        <v>0.21232391304347822</v>
      </c>
      <c r="N34" s="205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982.60799999999995</v>
      </c>
      <c r="O34" s="206">
        <f ca="1">N34/H$38</f>
        <v>0.43844506581410236</v>
      </c>
      <c r="P34" s="206"/>
      <c r="Q34" s="206"/>
      <c r="R34" s="205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767.09819999999991</v>
      </c>
      <c r="S34" s="206">
        <f t="shared" ca="1" si="1"/>
        <v>0.33718602197802194</v>
      </c>
      <c r="T34" s="206"/>
      <c r="U34" s="208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0.61699088851987938</v>
      </c>
      <c r="V34" s="206">
        <f ca="1">S34*U34</f>
        <v>0.20804070329670332</v>
      </c>
      <c r="W34" s="205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1240.3907999999999</v>
      </c>
      <c r="X34" s="206">
        <f ca="1">W34/Q$38</f>
        <v>0.44946120105055604</v>
      </c>
      <c r="Y34" s="207"/>
      <c r="Z34" s="207"/>
      <c r="AA34" s="205">
        <f t="array" aca="1" ref="AA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A$29&amp;AA$30,INDIRECT("'"&amp;$F34&amp;"'!$B$4:$T$4")&amp;INDIRECT("'"&amp;$F34&amp;"'!$B$5:$T$5"),0))</f>
        <v>1479.83</v>
      </c>
      <c r="AB34" s="206">
        <f t="shared" ca="1" si="2"/>
        <v>0.32602555628993168</v>
      </c>
      <c r="AC34" s="206"/>
      <c r="AD34" s="208">
        <f t="array" aca="1" ref="AD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D$30,INDIRECT("'"&amp;$F34&amp;"'!$B$4:$T$4")&amp;INDIRECT("'"&amp;$F34&amp;"'!$B$5:$T$5"),0))</f>
        <v>0.66000148665725122</v>
      </c>
      <c r="AE34" s="206">
        <f ca="1">AB34*AD34</f>
        <v>0.21517735183961226</v>
      </c>
      <c r="AF34" s="205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2456.52</v>
      </c>
      <c r="AG34" s="206">
        <f ca="1">AF34/Z$38</f>
        <v>0.43172889217809945</v>
      </c>
    </row>
    <row r="35" spans="2:33" ht="15" customHeight="1" x14ac:dyDescent="0.25">
      <c r="F35" s="48" t="s">
        <v>70</v>
      </c>
      <c r="G35" s="48"/>
      <c r="H35" s="207"/>
      <c r="I35" s="205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89.671999999999997</v>
      </c>
      <c r="J35" s="206">
        <f t="shared" ca="1" si="0"/>
        <v>4.8734782608695654E-2</v>
      </c>
      <c r="K35" s="206"/>
      <c r="L35" s="208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-0.10304219823356231</v>
      </c>
      <c r="M35" s="206">
        <f ca="1">J35*L35</f>
        <v>-5.0217391304347827E-3</v>
      </c>
      <c r="N35" s="205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80.432000000000002</v>
      </c>
      <c r="O35" s="206">
        <f ca="1">N35/H$38</f>
        <v>3.588919847340942E-2</v>
      </c>
      <c r="P35" s="206"/>
      <c r="Q35" s="206"/>
      <c r="R35" s="205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134.50800000000001</v>
      </c>
      <c r="S35" s="206">
        <f t="shared" ca="1" si="1"/>
        <v>5.9124395604395606E-2</v>
      </c>
      <c r="T35" s="206"/>
      <c r="U35" s="208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-0.10304219823356231</v>
      </c>
      <c r="V35" s="206">
        <f ca="1">S35*U35</f>
        <v>-6.092307692307692E-3</v>
      </c>
      <c r="W35" s="205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120.64800000000001</v>
      </c>
      <c r="X35" s="206">
        <f ca="1">W35/Q$38</f>
        <v>4.3717346971895867E-2</v>
      </c>
      <c r="Y35" s="207"/>
      <c r="Z35" s="207"/>
      <c r="AA35" s="205">
        <f t="array" aca="1" ref="AA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A$29&amp;AA$30,INDIRECT("'"&amp;$F35&amp;"'!$B$4:$T$4")&amp;INDIRECT("'"&amp;$F35&amp;"'!$B$5:$T$5"),0))</f>
        <v>224.18</v>
      </c>
      <c r="AB35" s="206">
        <f t="shared" ca="1" si="2"/>
        <v>4.938973342145847E-2</v>
      </c>
      <c r="AC35" s="206"/>
      <c r="AD35" s="208">
        <f t="array" aca="1" ref="AD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D$30,INDIRECT("'"&amp;$F35&amp;"'!$B$4:$T$4")&amp;INDIRECT("'"&amp;$F35&amp;"'!$B$5:$T$5"),0))</f>
        <v>-0.10304219823356231</v>
      </c>
      <c r="AE35" s="206">
        <f ca="1">AB35*AD35</f>
        <v>-5.0892267019167214E-3</v>
      </c>
      <c r="AF35" s="205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201.08</v>
      </c>
      <c r="AG35" s="206">
        <f ca="1">AF35/Z$38</f>
        <v>3.5339441827940438E-2</v>
      </c>
    </row>
    <row r="36" spans="2:33" ht="15" customHeight="1" x14ac:dyDescent="0.25">
      <c r="F36" s="48" t="s">
        <v>204</v>
      </c>
      <c r="G36" s="48"/>
      <c r="H36" s="207"/>
      <c r="I36" s="205" cm="1">
        <f t="array" aca="1" ref="I36" ca="1">INDEX(INDIRECT("'"&amp;$F36&amp;"'!$B$3:$T$300"),MATCH($B$6&amp;H$27&amp;H$28&amp;"Total inc GST",INDIRECT("'"&amp;$F36&amp;"'!$B$3:$B$300")&amp;INDIRECT("'"&amp;$F36&amp;"'!$C$3:$C$300")&amp;INDIRECT("'"&amp;$F36&amp;"'!$D$3:$D$300")&amp;INDIRECT("'"&amp;$F36&amp;"'!$G$3:$G$300"),0),MATCH(I$29&amp;I$30,INDIRECT("'"&amp;$F36&amp;"'!$B$4:$T$4")&amp;INDIRECT("'"&amp;$F36&amp;"'!$B$5:$T$5"),0))</f>
        <v>221.39109961520896</v>
      </c>
      <c r="J36" s="206">
        <f t="shared" ca="1" si="0"/>
        <v>0.12032124979087444</v>
      </c>
      <c r="K36" s="206"/>
      <c r="L36" s="208">
        <f ca="1">IFERROR((N36-I36)/I36,"New cost component")</f>
        <v>-3.5663386072850745E-2</v>
      </c>
      <c r="M36" s="208">
        <f ca="1">(N36-I36)/H32</f>
        <v>-4.2910631840598666E-3</v>
      </c>
      <c r="N36" s="205" cm="1">
        <f t="array" aca="1" ref="N36" ca="1">INDEX(INDIRECT("'"&amp;$F36&amp;"'!$B$3:$T$300"),MATCH($B$6&amp;H$27&amp;H$28&amp;"Total inc GST",INDIRECT("'"&amp;$F36&amp;"'!$B$3:$B$300")&amp;INDIRECT("'"&amp;$F36&amp;"'!$C$3:$C$300")&amp;INDIRECT("'"&amp;$F36&amp;"'!$D$3:$D$300")&amp;INDIRECT("'"&amp;$F36&amp;"'!$G$3:$G$300"),0),MATCH(L$29&amp;N$30,INDIRECT("'"&amp;$F36&amp;"'!$B$4:$T$4")&amp;INDIRECT("'"&amp;$F36&amp;"'!$B$5:$T$5"),0))</f>
        <v>213.4955433565388</v>
      </c>
      <c r="O36" s="206">
        <f ca="1">N36/H$38</f>
        <v>9.5262879559270028E-2</v>
      </c>
      <c r="P36" s="206"/>
      <c r="Q36" s="206"/>
      <c r="R36" s="205" cm="1">
        <f t="array" aca="1" ref="R36" ca="1">INDEX(INDIRECT("'"&amp;$F36&amp;"'!$B$3:$T$300"),MATCH($B$6&amp;Q$27&amp;Q$28&amp;"Total inc GST",INDIRECT("'"&amp;$F36&amp;"'!$B$3:$B$300")&amp;INDIRECT("'"&amp;$F36&amp;"'!$C$3:$C$300")&amp;INDIRECT("'"&amp;$F36&amp;"'!$D$3:$D$300")&amp;INDIRECT("'"&amp;$F36&amp;"'!$G$3:$G$300"),0),MATCH(R$29&amp;R$30,INDIRECT("'"&amp;$F36&amp;"'!$B$4:$T$4")&amp;INDIRECT("'"&amp;$F36&amp;"'!$B$5:$T$5"),0))</f>
        <v>221.39109961520896</v>
      </c>
      <c r="S36" s="206">
        <f t="shared" ca="1" si="1"/>
        <v>9.7314769061630307E-2</v>
      </c>
      <c r="T36" s="206"/>
      <c r="U36" s="208">
        <f ca="1">IFERROR((W36-R36)/R36,"New cost component")</f>
        <v>-3.5663386072850745E-2</v>
      </c>
      <c r="V36" s="208">
        <f ca="1">(W36-R36)/Q32</f>
        <v>-3.4705741796352326E-3</v>
      </c>
      <c r="W36" s="205" cm="1">
        <f t="array" aca="1" ref="W36" ca="1">INDEX(INDIRECT("'"&amp;$F36&amp;"'!$B$3:$T$300"),MATCH($B$6&amp;Q$27&amp;Q$28&amp;"Total inc GST",INDIRECT("'"&amp;$F36&amp;"'!$B$3:$B$300")&amp;INDIRECT("'"&amp;$F36&amp;"'!$C$3:$C$300")&amp;INDIRECT("'"&amp;$F36&amp;"'!$D$3:$D$300")&amp;INDIRECT("'"&amp;$F36&amp;"'!$G$3:$G$300"),0),MATCH(U$29&amp;W$30,INDIRECT("'"&amp;$F36&amp;"'!$B$4:$T$4")&amp;INDIRECT("'"&amp;$F36&amp;"'!$B$5:$T$5"),0))</f>
        <v>213.4955433565388</v>
      </c>
      <c r="X36" s="206">
        <f ca="1">W36/Q$38</f>
        <v>7.7361073087587398E-2</v>
      </c>
      <c r="Y36" s="207"/>
      <c r="Z36" s="207"/>
      <c r="AA36" s="205" cm="1">
        <f t="array" aca="1" ref="AA36" ca="1">INDEX(INDIRECT("'"&amp;$F36&amp;"'!$B$3:$T$300"),MATCH($B$6&amp;Z$27&amp;Z$28&amp;"Total inc GST",INDIRECT("'"&amp;$F36&amp;"'!$B$3:$B$300")&amp;INDIRECT("'"&amp;$F36&amp;"'!$C$3:$C$300")&amp;INDIRECT("'"&amp;$F36&amp;"'!$D$3:$D$300")&amp;INDIRECT("'"&amp;$F36&amp;"'!$G$3:$G$300"),0),MATCH(AA$29&amp;AA$30,INDIRECT("'"&amp;$F36&amp;"'!$B$4:$T$4")&amp;INDIRECT("'"&amp;$F36&amp;"'!$B$5:$T$5"),0))</f>
        <v>223.44779574020896</v>
      </c>
      <c r="AB36" s="206">
        <f t="shared" ca="1" si="2"/>
        <v>4.9228419418420127E-2</v>
      </c>
      <c r="AC36" s="206"/>
      <c r="AD36" s="208">
        <f ca="1">IFERROR((AF36-AA36)/AA36,"New cost component")</f>
        <v>-1.6851485661512025E-2</v>
      </c>
      <c r="AE36" s="208">
        <f ca="1">(AF36-AA36)/Z32</f>
        <v>-8.2957200396840687E-4</v>
      </c>
      <c r="AF36" s="205" cm="1">
        <f t="array" aca="1" ref="AF36" ca="1">INDEX(INDIRECT("'"&amp;$F36&amp;"'!$B$3:$T$300"),MATCH($B$6&amp;Z$27&amp;Z$28&amp;"Total inc GST",INDIRECT("'"&amp;$F36&amp;"'!$B$3:$B$300")&amp;INDIRECT("'"&amp;$F36&amp;"'!$C$3:$C$300")&amp;INDIRECT("'"&amp;$F36&amp;"'!$D$3:$D$300")&amp;INDIRECT("'"&amp;$F36&amp;"'!$G$3:$G$300"),0),MATCH(AD$29&amp;AF$30,INDIRECT("'"&amp;$F36&amp;"'!$B$4:$T$4")&amp;INDIRECT("'"&amp;$F36&amp;"'!$B$5:$T$5"),0))</f>
        <v>219.68236841419636</v>
      </c>
      <c r="AG36" s="206">
        <f ca="1">AF36/Z$38</f>
        <v>3.8608774016300335E-2</v>
      </c>
    </row>
    <row r="37" spans="2:33" ht="15" customHeight="1" x14ac:dyDescent="0.25">
      <c r="F37" s="48" t="s">
        <v>206</v>
      </c>
      <c r="G37" s="48"/>
      <c r="H37" s="207"/>
      <c r="I37" s="205">
        <f ca="1">SUM(I33:I36)/(1-SUMIFS('Detail inputs'!$I:$I,'Detail inputs'!$B:$B,$B$6,'Detail inputs'!$G:$G,$F$37,'Detail inputs'!$D:$D,$H$27,'Detail inputs'!$E:$E,$H28))-SUM(I33:I36)</f>
        <v>110.4098297626731</v>
      </c>
      <c r="J37" s="206">
        <f t="shared" ca="1" si="0"/>
        <v>6.0005342262322334E-2</v>
      </c>
      <c r="K37" s="206"/>
      <c r="L37" s="208">
        <f ca="1">IFERROR((N37-I37)/I37,"New cost component")</f>
        <v>0.21789155442055538</v>
      </c>
      <c r="M37" s="208">
        <f ca="1">(N37-I37)/H32</f>
        <v>1.3074657299074859E-2</v>
      </c>
      <c r="N37" s="205">
        <f ca="1">SUM(N33:N36)/(1-SUMIFS('Detail inputs'!$J:$J,'Detail inputs'!$B:$B,$B$6,'Detail inputs'!$G:$G,$F$37,'Detail inputs'!$D:$D,$H$27,'Detail inputs'!$E:$E,$H28))-SUM(N33:N36)</f>
        <v>134.46719919297084</v>
      </c>
      <c r="O37" s="206">
        <f ca="1">N37/H$38</f>
        <v>6.0000000000000116E-2</v>
      </c>
      <c r="P37" s="206"/>
      <c r="Q37" s="206"/>
      <c r="R37" s="205">
        <f ca="1">SUM(R33:R36)/(1-SUMIFS('Detail inputs'!$I:$I,'Detail inputs'!$B:$B,$B$6,'Detail inputs'!$G:$G,$F$37,'Detail inputs'!$D:$D,$Q$27,'Detail inputs'!$E:$E,$Q28))-SUM(R33:R36)</f>
        <v>136.52911912437503</v>
      </c>
      <c r="S37" s="206">
        <f t="shared" ca="1" si="1"/>
        <v>6.0012799615109906E-2</v>
      </c>
      <c r="T37" s="206"/>
      <c r="U37" s="208">
        <f ca="1">IFERROR((W37-R37)/R37,"New cost component")</f>
        <v>0.21280866350756461</v>
      </c>
      <c r="V37" s="208">
        <f ca="1">(W37-R37)/Q32</f>
        <v>1.2771243679438826E-2</v>
      </c>
      <c r="W37" s="205">
        <f ca="1">SUM(W33:W36)/(1-SUMIFS('Detail inputs'!$J:$J,'Detail inputs'!$B:$B,$B$6,'Detail inputs'!$G:$G,$F$37,'Detail inputs'!$D:$D,$Q$27,'Detail inputs'!$E:$E,$Q28))-SUM(W33:W36)</f>
        <v>165.58369849509836</v>
      </c>
      <c r="X37" s="206">
        <f ca="1">W37/Q$38</f>
        <v>6.0000000000000053E-2</v>
      </c>
      <c r="Y37" s="207"/>
      <c r="Z37" s="207"/>
      <c r="AA37" s="205">
        <f ca="1">SUM(AA33:AA36)/(1-SUMIFS('Detail inputs'!$I:$I,'Detail inputs'!$B:$B,$B$6,'Detail inputs'!$G:$G,$F$37,'Detail inputs'!$D:$D,$Z$27,'Detail inputs'!$E:$E,$Z28))-SUM(AA33:AA36)</f>
        <v>680.80948160121307</v>
      </c>
      <c r="AB37" s="206">
        <f t="shared" ca="1" si="2"/>
        <v>0.14999107327631925</v>
      </c>
      <c r="AC37" s="206"/>
      <c r="AD37" s="208">
        <f ca="1">IFERROR((AF37-AA37)/AA37,"New cost component")</f>
        <v>0.25364581255596247</v>
      </c>
      <c r="AE37" s="208">
        <f ca="1">(AF37-AA37)/Z32</f>
        <v>3.8044607657312907E-2</v>
      </c>
      <c r="AF37" s="205">
        <f ca="1">SUM(AF33:AF36)/(1-SUMIFS('Detail inputs'!$J:$J,'Detail inputs'!$B:$B,$B$6,'Detail inputs'!$G:$G,$F$37,'Detail inputs'!$D:$D,$Z$27,'Detail inputs'!$E:$E,$Z28))-SUM(AF33:AF36)</f>
        <v>853.49395575775634</v>
      </c>
      <c r="AG37" s="206">
        <f ca="1">AF37/Z$38</f>
        <v>0.15</v>
      </c>
    </row>
    <row r="38" spans="2:33" ht="15.75" thickBot="1" x14ac:dyDescent="0.3">
      <c r="B38" s="76"/>
      <c r="F38" s="73" t="str">
        <f>"DMO "&amp;FY&amp;" price"</f>
        <v>DMO 2023-24 price</v>
      </c>
      <c r="G38" s="73"/>
      <c r="H38" s="209">
        <f ca="1">SUM(N33:N37)</f>
        <v>2241.1199865495096</v>
      </c>
      <c r="I38" s="210"/>
      <c r="J38" s="210"/>
      <c r="K38" s="210"/>
      <c r="L38" s="210">
        <f ca="1">H38/H32-1</f>
        <v>0.21799999268995096</v>
      </c>
      <c r="M38" s="210"/>
      <c r="N38" s="210"/>
      <c r="O38" s="210"/>
      <c r="P38" s="210"/>
      <c r="Q38" s="209">
        <f ca="1">SUM(W33:W37)</f>
        <v>2759.7283082516369</v>
      </c>
      <c r="R38" s="209"/>
      <c r="S38" s="210"/>
      <c r="T38" s="210"/>
      <c r="U38" s="210">
        <f ca="1">Q38/Q32-1</f>
        <v>0.21306738824247784</v>
      </c>
      <c r="V38" s="210"/>
      <c r="W38" s="211"/>
      <c r="X38" s="211"/>
      <c r="Y38" s="211"/>
      <c r="Z38" s="209">
        <f ca="1">SUM(AF33:AF37)</f>
        <v>5689.9597050517095</v>
      </c>
      <c r="AA38" s="209"/>
      <c r="AB38" s="210"/>
      <c r="AC38" s="210"/>
      <c r="AD38" s="210">
        <f ca="1">Z38/Z32-1</f>
        <v>0.25357120622421458</v>
      </c>
      <c r="AE38" s="210"/>
      <c r="AF38" s="210"/>
      <c r="AG38" s="210"/>
    </row>
    <row r="39" spans="2:33" ht="15.75" thickTop="1" x14ac:dyDescent="0.25">
      <c r="F39" s="107"/>
    </row>
    <row r="40" spans="2:33" x14ac:dyDescent="0.25">
      <c r="F40" s="94"/>
    </row>
    <row r="42" spans="2:33" x14ac:dyDescent="0.25">
      <c r="F42" s="107"/>
      <c r="O42" s="162"/>
    </row>
    <row r="43" spans="2:33" s="92" customFormat="1" ht="12" x14ac:dyDescent="0.25">
      <c r="H43" s="93"/>
    </row>
    <row r="47" spans="2:33" x14ac:dyDescent="0.25">
      <c r="H47" s="74"/>
    </row>
  </sheetData>
  <mergeCells count="15">
    <mergeCell ref="A1:B1"/>
    <mergeCell ref="B6:B7"/>
    <mergeCell ref="F27:F31"/>
    <mergeCell ref="H27:O27"/>
    <mergeCell ref="Q27:X27"/>
    <mergeCell ref="L29:O29"/>
    <mergeCell ref="R29:S29"/>
    <mergeCell ref="U29:X29"/>
    <mergeCell ref="Z27:AG27"/>
    <mergeCell ref="H28:O28"/>
    <mergeCell ref="Q28:X28"/>
    <mergeCell ref="Z28:AG28"/>
    <mergeCell ref="I29:J29"/>
    <mergeCell ref="AA29:AB29"/>
    <mergeCell ref="AD29:AG29"/>
  </mergeCells>
  <conditionalFormatting sqref="Y38:AE38 F38:M38 P38:V38 F32:AG37">
    <cfRule type="expression" dxfId="1133" priority="29">
      <formula>MOD(ROW(),2)=0</formula>
    </cfRule>
    <cfRule type="expression" dxfId="1132" priority="30">
      <formula>AND(MOD(ROW(),2)=0,F$30="Proportion",$F32="Overall change in costs (%)")</formula>
    </cfRule>
    <cfRule type="expression" dxfId="1131" priority="31">
      <formula>AND(MOD(ROW(),1)=0,F$30="Proportion",$F32="Overall change in costs (%)")</formula>
    </cfRule>
  </conditionalFormatting>
  <conditionalFormatting sqref="P43:R43 G43:J43 Y43:AA43 M43:N43">
    <cfRule type="cellIs" dxfId="1130" priority="27" operator="equal">
      <formula>FALSE</formula>
    </cfRule>
    <cfRule type="cellIs" dxfId="1129" priority="28" operator="equal">
      <formula>TRUE</formula>
    </cfRule>
  </conditionalFormatting>
  <conditionalFormatting sqref="O38 X38 AG38">
    <cfRule type="expression" dxfId="1128" priority="32">
      <formula>MOD(ROW(),2)=0</formula>
    </cfRule>
    <cfRule type="expression" dxfId="1127" priority="33">
      <formula>AND(MOD(ROW(),2)=0,N$30="Proportion",$F38="Overall change in costs (%)")</formula>
    </cfRule>
    <cfRule type="expression" dxfId="1126" priority="34">
      <formula>AND(MOD(ROW(),1)=0,N$30="Proportion",$F38="Overall change in costs (%)")</formula>
    </cfRule>
  </conditionalFormatting>
  <conditionalFormatting sqref="N38 W38 AF38">
    <cfRule type="expression" dxfId="1125" priority="35">
      <formula>MOD(ROW(),2)=0</formula>
    </cfRule>
    <cfRule type="expression" dxfId="1124" priority="36">
      <formula>AND(MOD(ROW(),2)=0,#REF!="Proportion",$F38="Overall change in costs (%)")</formula>
    </cfRule>
    <cfRule type="expression" dxfId="1123" priority="37">
      <formula>AND(MOD(ROW(),1)=0,#REF!="Proportion",$F38="Overall change in costs (%)")</formula>
    </cfRule>
  </conditionalFormatting>
  <conditionalFormatting sqref="O43">
    <cfRule type="cellIs" dxfId="1122" priority="25" operator="equal">
      <formula>FALSE</formula>
    </cfRule>
    <cfRule type="cellIs" dxfId="1121" priority="26" operator="equal">
      <formula>TRUE</formula>
    </cfRule>
  </conditionalFormatting>
  <conditionalFormatting sqref="S43:T43">
    <cfRule type="cellIs" dxfId="1120" priority="23" operator="equal">
      <formula>FALSE</formula>
    </cfRule>
    <cfRule type="cellIs" dxfId="1119" priority="24" operator="equal">
      <formula>TRUE</formula>
    </cfRule>
  </conditionalFormatting>
  <conditionalFormatting sqref="X43">
    <cfRule type="cellIs" dxfId="1118" priority="21" operator="equal">
      <formula>FALSE</formula>
    </cfRule>
    <cfRule type="cellIs" dxfId="1117" priority="22" operator="equal">
      <formula>TRUE</formula>
    </cfRule>
  </conditionalFormatting>
  <conditionalFormatting sqref="W43">
    <cfRule type="cellIs" dxfId="1116" priority="19" operator="equal">
      <formula>FALSE</formula>
    </cfRule>
    <cfRule type="cellIs" dxfId="1115" priority="20" operator="equal">
      <formula>TRUE</formula>
    </cfRule>
  </conditionalFormatting>
  <conditionalFormatting sqref="AB43:AC43">
    <cfRule type="cellIs" dxfId="1114" priority="17" operator="equal">
      <formula>FALSE</formula>
    </cfRule>
    <cfRule type="cellIs" dxfId="1113" priority="18" operator="equal">
      <formula>TRUE</formula>
    </cfRule>
  </conditionalFormatting>
  <conditionalFormatting sqref="AG43">
    <cfRule type="cellIs" dxfId="1112" priority="15" operator="equal">
      <formula>FALSE</formula>
    </cfRule>
    <cfRule type="cellIs" dxfId="1111" priority="16" operator="equal">
      <formula>TRUE</formula>
    </cfRule>
  </conditionalFormatting>
  <conditionalFormatting sqref="AF43">
    <cfRule type="cellIs" dxfId="1110" priority="13" operator="equal">
      <formula>FALSE</formula>
    </cfRule>
    <cfRule type="cellIs" dxfId="1109" priority="14" operator="equal">
      <formula>TRUE</formula>
    </cfRule>
  </conditionalFormatting>
  <conditionalFormatting sqref="V43">
    <cfRule type="cellIs" dxfId="1108" priority="11" operator="equal">
      <formula>FALSE</formula>
    </cfRule>
    <cfRule type="cellIs" dxfId="1107" priority="12" operator="equal">
      <formula>TRUE</formula>
    </cfRule>
  </conditionalFormatting>
  <conditionalFormatting sqref="AE43">
    <cfRule type="cellIs" dxfId="1106" priority="9" operator="equal">
      <formula>FALSE</formula>
    </cfRule>
    <cfRule type="cellIs" dxfId="1105" priority="10" operator="equal">
      <formula>TRUE</formula>
    </cfRule>
  </conditionalFormatting>
  <conditionalFormatting sqref="AD43">
    <cfRule type="cellIs" dxfId="1104" priority="7" operator="equal">
      <formula>FALSE</formula>
    </cfRule>
    <cfRule type="cellIs" dxfId="1103" priority="8" operator="equal">
      <formula>TRUE</formula>
    </cfRule>
  </conditionalFormatting>
  <conditionalFormatting sqref="U43">
    <cfRule type="cellIs" dxfId="1102" priority="5" operator="equal">
      <formula>FALSE</formula>
    </cfRule>
    <cfRule type="cellIs" dxfId="1101" priority="6" operator="equal">
      <formula>TRUE</formula>
    </cfRule>
  </conditionalFormatting>
  <conditionalFormatting sqref="K43">
    <cfRule type="cellIs" dxfId="1100" priority="3" operator="equal">
      <formula>FALSE</formula>
    </cfRule>
    <cfRule type="cellIs" dxfId="1099" priority="4" operator="equal">
      <formula>TRUE</formula>
    </cfRule>
  </conditionalFormatting>
  <conditionalFormatting sqref="L43">
    <cfRule type="cellIs" dxfId="1098" priority="1" operator="equal">
      <formula>FALSE</formula>
    </cfRule>
    <cfRule type="cellIs" dxfId="1097" priority="2" operator="equal">
      <formula>TRUE</formula>
    </cfRule>
  </conditionalFormatting>
  <hyperlinks>
    <hyperlink ref="A1" location="Index!A1" display="&lt;&lt;Back to Index" xr:uid="{6DADBC45-1FFB-4BC5-9011-514343227849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70C0"/>
  </sheetPr>
  <dimension ref="F9:F14"/>
  <sheetViews>
    <sheetView workbookViewId="0"/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179</v>
      </c>
    </row>
    <row r="10" spans="6:6" ht="36" x14ac:dyDescent="0.25">
      <c r="F10" s="2" t="str">
        <f>"DMO "&amp;FY</f>
        <v>DMO 2023-24</v>
      </c>
    </row>
    <row r="11" spans="6:6" ht="23.25" x14ac:dyDescent="0.25">
      <c r="F11" s="4" t="s">
        <v>180</v>
      </c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</sheetData>
  <pageMargins left="0.7" right="0.7" top="0.75" bottom="0.75" header="0.3" footer="0.3"/>
  <headerFooter>
    <oddHeader>&amp;C&amp;"Calibri"&amp;12&amp;KFF0000 OFFICIAL&amp;1#_x000D_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70C0"/>
  </sheetPr>
  <dimension ref="A1:U182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8.85546875" defaultRowHeight="15" outlineLevelRow="1" x14ac:dyDescent="0.25"/>
  <cols>
    <col min="1" max="1" width="1.85546875" style="3" customWidth="1"/>
    <col min="2" max="3" width="15.85546875" style="3" customWidth="1"/>
    <col min="4" max="4" width="18.140625" style="3" customWidth="1"/>
    <col min="5" max="5" width="10.85546875" style="3" customWidth="1"/>
    <col min="6" max="6" width="10.85546875" style="20" customWidth="1"/>
    <col min="7" max="7" width="10.85546875" style="3" customWidth="1"/>
    <col min="8" max="10" width="10.85546875" style="63" customWidth="1"/>
    <col min="11" max="11" width="11.85546875" style="20" bestFit="1" customWidth="1"/>
    <col min="12" max="12" width="0.85546875" style="20" customWidth="1"/>
    <col min="13" max="13" width="10.85546875" style="20" customWidth="1"/>
    <col min="14" max="14" width="0.85546875" style="20" customWidth="1"/>
    <col min="15" max="17" width="10.85546875" style="63" customWidth="1"/>
    <col min="18" max="18" width="11.85546875" style="20" bestFit="1" customWidth="1"/>
    <col min="19" max="16384" width="8.85546875" style="3"/>
  </cols>
  <sheetData>
    <row r="1" spans="1:21" ht="10.35" customHeight="1" x14ac:dyDescent="0.25">
      <c r="A1" s="286" t="s">
        <v>21</v>
      </c>
      <c r="B1" s="291"/>
    </row>
    <row r="2" spans="1:21" s="14" customFormat="1" ht="22.5" customHeight="1" x14ac:dyDescent="0.25">
      <c r="A2" s="15" t="s">
        <v>71</v>
      </c>
      <c r="F2" s="21"/>
      <c r="H2" s="64"/>
      <c r="I2" s="64"/>
      <c r="J2" s="64"/>
      <c r="K2" s="21"/>
      <c r="L2" s="21"/>
      <c r="M2" s="21"/>
      <c r="N2" s="21"/>
      <c r="O2" s="64"/>
      <c r="P2" s="64"/>
      <c r="Q2" s="64"/>
      <c r="R2" s="21"/>
    </row>
    <row r="3" spans="1:21" s="29" customFormat="1" ht="17.850000000000001" customHeight="1" x14ac:dyDescent="0.25">
      <c r="B3" s="30"/>
      <c r="C3" s="30"/>
      <c r="D3" s="30"/>
      <c r="E3" s="30"/>
      <c r="F3" s="44"/>
      <c r="G3" s="30"/>
      <c r="H3" s="320" t="str">
        <f>PY</f>
        <v>2022-23</v>
      </c>
      <c r="I3" s="320"/>
      <c r="J3" s="320"/>
      <c r="K3" s="320"/>
      <c r="L3" s="36"/>
      <c r="M3" s="41" t="str">
        <f>FY</f>
        <v>2023-24</v>
      </c>
      <c r="N3" s="36"/>
      <c r="O3" s="320" t="str">
        <f>FY</f>
        <v>2023-24</v>
      </c>
      <c r="P3" s="320"/>
      <c r="Q3" s="320"/>
      <c r="R3" s="320"/>
    </row>
    <row r="4" spans="1:21" s="29" customFormat="1" ht="12.75" customHeight="1" x14ac:dyDescent="0.25">
      <c r="B4" s="30"/>
      <c r="C4" s="30"/>
      <c r="D4" s="30"/>
      <c r="E4" s="30"/>
      <c r="F4" s="40" t="str">
        <f>$H$3</f>
        <v>2022-23</v>
      </c>
      <c r="G4" s="30"/>
      <c r="H4" s="65" t="str">
        <f>$H$3</f>
        <v>2022-23</v>
      </c>
      <c r="I4" s="65" t="str">
        <f>$H$3</f>
        <v>2022-23</v>
      </c>
      <c r="J4" s="65" t="str">
        <f>$H$3</f>
        <v>2022-23</v>
      </c>
      <c r="K4" s="40" t="str">
        <f>H3</f>
        <v>2022-23</v>
      </c>
      <c r="L4" s="40"/>
      <c r="M4" s="40" t="str">
        <f>FY</f>
        <v>2023-24</v>
      </c>
      <c r="N4" s="40"/>
      <c r="O4" s="65" t="str">
        <f>$O$3</f>
        <v>2023-24</v>
      </c>
      <c r="P4" s="65" t="str">
        <f>$O$3</f>
        <v>2023-24</v>
      </c>
      <c r="Q4" s="65" t="str">
        <f>$O$3</f>
        <v>2023-24</v>
      </c>
      <c r="R4" s="40" t="str">
        <f>O3</f>
        <v>2023-24</v>
      </c>
    </row>
    <row r="5" spans="1:21" s="5" customFormat="1" ht="17.850000000000001" customHeight="1" x14ac:dyDescent="0.25">
      <c r="B5" s="24" t="s">
        <v>1</v>
      </c>
      <c r="C5" s="24" t="s">
        <v>12</v>
      </c>
      <c r="D5" s="24" t="s">
        <v>25</v>
      </c>
      <c r="E5" s="24" t="s">
        <v>13</v>
      </c>
      <c r="F5" s="12" t="s">
        <v>27</v>
      </c>
      <c r="G5" s="24" t="s">
        <v>35</v>
      </c>
      <c r="H5" s="194" t="s">
        <v>49</v>
      </c>
      <c r="I5" s="194" t="s">
        <v>50</v>
      </c>
      <c r="J5" s="194" t="s">
        <v>24</v>
      </c>
      <c r="K5" s="178" t="s">
        <v>26</v>
      </c>
      <c r="L5" s="178"/>
      <c r="M5" s="178" t="s">
        <v>23</v>
      </c>
      <c r="N5" s="178"/>
      <c r="O5" s="194" t="s">
        <v>49</v>
      </c>
      <c r="P5" s="194" t="s">
        <v>50</v>
      </c>
      <c r="Q5" s="194" t="s">
        <v>24</v>
      </c>
      <c r="R5" s="178" t="s">
        <v>26</v>
      </c>
    </row>
    <row r="6" spans="1:21" s="31" customFormat="1" ht="17.850000000000001" customHeight="1" x14ac:dyDescent="0.25">
      <c r="B6" s="32"/>
      <c r="C6" s="32"/>
      <c r="D6" s="32"/>
      <c r="E6" s="32"/>
      <c r="F6" s="33" t="s">
        <v>59</v>
      </c>
      <c r="G6" s="32"/>
      <c r="H6" s="195" t="s">
        <v>74</v>
      </c>
      <c r="I6" s="195" t="s">
        <v>47</v>
      </c>
      <c r="J6" s="195" t="s">
        <v>48</v>
      </c>
      <c r="K6" s="196" t="s">
        <v>30</v>
      </c>
      <c r="L6" s="196"/>
      <c r="M6" s="196" t="s">
        <v>30</v>
      </c>
      <c r="N6" s="196"/>
      <c r="O6" s="195" t="s">
        <v>74</v>
      </c>
      <c r="P6" s="195" t="s">
        <v>47</v>
      </c>
      <c r="Q6" s="195" t="s">
        <v>48</v>
      </c>
      <c r="R6" s="196" t="s">
        <v>30</v>
      </c>
    </row>
    <row r="7" spans="1:21" x14ac:dyDescent="0.25">
      <c r="F7" s="175"/>
      <c r="H7" s="172"/>
      <c r="I7" s="172"/>
      <c r="J7" s="172"/>
      <c r="K7" s="191"/>
      <c r="L7" s="191"/>
      <c r="M7" s="191"/>
      <c r="N7" s="188"/>
      <c r="O7" s="172"/>
      <c r="P7" s="172"/>
      <c r="Q7" s="172"/>
      <c r="R7" s="191"/>
    </row>
    <row r="8" spans="1:21" x14ac:dyDescent="0.25">
      <c r="B8" s="5" t="s">
        <v>2</v>
      </c>
      <c r="C8" s="5" t="s">
        <v>6</v>
      </c>
      <c r="D8" s="5" t="s">
        <v>146</v>
      </c>
      <c r="F8" s="175"/>
      <c r="H8" s="172"/>
      <c r="I8" s="172"/>
      <c r="J8" s="172"/>
      <c r="K8" s="191"/>
      <c r="L8" s="191"/>
      <c r="M8" s="191"/>
      <c r="N8" s="188"/>
      <c r="O8" s="172"/>
      <c r="P8" s="172"/>
      <c r="Q8" s="172"/>
      <c r="R8" s="191"/>
    </row>
    <row r="9" spans="1:21" x14ac:dyDescent="0.25">
      <c r="B9" s="3" t="str">
        <f>B$8</f>
        <v>Ausgrid</v>
      </c>
      <c r="C9" s="3" t="str">
        <f t="shared" ref="C9:D14" si="0">C$8</f>
        <v>Residential</v>
      </c>
      <c r="D9" s="3" t="str">
        <f t="shared" si="0"/>
        <v>without CL</v>
      </c>
      <c r="E9" s="3" t="s">
        <v>22</v>
      </c>
      <c r="F9" s="175">
        <f t="array" ref="F9">IFERROR(INDEX(Usage!$B$5:$P$18,MATCH($B9,Usage!$B$5:$B$18,0),MATCH($C9&amp;$D9&amp;$E9,Usage!$B$5:$S$5&amp;Usage!$B$6:$S$6&amp;Usage!$B$7:$S$7,0)),0)</f>
        <v>3900</v>
      </c>
      <c r="G9" s="3" t="s">
        <v>63</v>
      </c>
      <c r="H9" s="172" cm="1">
        <f t="array" ref="H9">INDEX('Key inputs'!$B$17:$N$41,MATCH($B9&amp;$C9&amp;$E9,'Key inputs'!$B$17:$B$41&amp;'Key inputs'!$C$17:$C$41&amp;'Key inputs'!$D$17:$D$41,0),MATCH($G9&amp;H$4&amp;H$5,'Key inputs'!$B$18:$N$18&amp;'Key inputs'!$B$19:$N$19&amp;'Key inputs'!$B$20:$N$20,0))</f>
        <v>119.04913000000001</v>
      </c>
      <c r="I9" s="172">
        <f t="array" ref="I9">INDEX('Key inputs'!$B$17:$N$41,MATCH($B9&amp;$C9&amp;$E9,'Key inputs'!$B$17:$B$41&amp;'Key inputs'!$C$17:$C$41&amp;'Key inputs'!$D$17:$D$41,0),MATCH($G9&amp;I$4&amp;I$5,'Key inputs'!$B$18:$N$18&amp;'Key inputs'!$B$19:$N$19&amp;'Key inputs'!$B$20:$N$20,0))</f>
        <v>88.05</v>
      </c>
      <c r="J9" s="172">
        <f>H9+I9*$F9/1000</f>
        <v>462.44412999999997</v>
      </c>
      <c r="K9" s="191">
        <f>IFERROR(J9/J12,"")</f>
        <v>0.94477746964890674</v>
      </c>
      <c r="L9" s="191"/>
      <c r="M9" s="191">
        <f>IF(OR(J9=0,J9="",Q9=""),"",Q9/J9-1)</f>
        <v>5.4932778808056026E-2</v>
      </c>
      <c r="N9" s="188"/>
      <c r="O9" s="172">
        <f t="array" ref="O9">INDEX('Key inputs'!$B$17:$N$41,MATCH($B9&amp;$C9&amp;$E9,'Key inputs'!$B$17:$B$41&amp;'Key inputs'!$C$17:$C$41&amp;'Key inputs'!$D$17:$D$41,0),MATCH($G9&amp;O$4&amp;O$5,'Key inputs'!$B$18:$N$18&amp;'Key inputs'!$B$19:$N$19&amp;'Key inputs'!$B$20:$N$20,0))</f>
        <v>135.81946472442635</v>
      </c>
      <c r="P9" s="172" cm="1">
        <f t="array" ref="P9">INDEX('Key inputs'!$B$17:$N$41,MATCH($B9&amp;$C9&amp;$E9,'Key inputs'!$B$17:$B$41&amp;'Key inputs'!$C$17:$C$41&amp;'Key inputs'!$D$17:$D$41,0),MATCH($G9&amp;P$4&amp;P$5,'Key inputs'!$B$18:$N$18&amp;'Key inputs'!$B$19:$N$19&amp;'Key inputs'!$B$20:$N$20,0))</f>
        <v>90.263591379473709</v>
      </c>
      <c r="Q9" s="172">
        <f>O9+P9*$F9/1000</f>
        <v>487.84747110437388</v>
      </c>
      <c r="R9" s="191">
        <f>IFERROR(Q9/Q12,"")</f>
        <v>0.92677651911667036</v>
      </c>
    </row>
    <row r="10" spans="1:21" x14ac:dyDescent="0.25">
      <c r="B10" s="3" t="str">
        <f t="shared" ref="B10:B14" si="1">B$8</f>
        <v>Ausgrid</v>
      </c>
      <c r="C10" s="3" t="str">
        <f t="shared" si="0"/>
        <v>Residential</v>
      </c>
      <c r="D10" s="3" t="str">
        <f t="shared" si="0"/>
        <v>without CL</v>
      </c>
      <c r="E10" s="3" t="s">
        <v>22</v>
      </c>
      <c r="F10" s="175">
        <f t="array" ref="F10">IFERROR(INDEX(Usage!$B$5:$P$18,MATCH($B10,Usage!$B$5:$B$18,0),MATCH($C10&amp;$D10&amp;$E10,Usage!$B$5:$S$5&amp;Usage!$B$6:$S$6&amp;Usage!$B$7:$S$7,0)),0)</f>
        <v>3900</v>
      </c>
      <c r="G10" s="3" t="s">
        <v>67</v>
      </c>
      <c r="H10" s="172">
        <f t="array" ref="H10">INDEX('Key inputs'!$B$17:$N$41,MATCH($B10&amp;$C10&amp;$E10,'Key inputs'!$B$17:$B$41&amp;'Key inputs'!$C$17:$C$41&amp;'Key inputs'!$D$17:$D$41,0),MATCH($G10&amp;H$4&amp;H$5,'Key inputs'!$B$18:$N$18&amp;'Key inputs'!$B$19:$N$19&amp;'Key inputs'!$B$20:$N$20,0))</f>
        <v>27.03</v>
      </c>
      <c r="I10" s="172">
        <f>IFERROR(INDEX('Detail inputs'!$B$3:$K$196,MATCH($B10&amp;$C10&amp;$E10&amp;$G10&amp;I$5,'Detail inputs'!$B$3:$B$196&amp;'Detail inputs'!$D$3:$D$196&amp;'Detail inputs'!$F$3:$F$196&amp;'Detail inputs'!$G$3:$G$196&amp;'Detail inputs'!$H$3:$H$196,0),MATCH(I$4,'Detail inputs'!$B$3:$K$3,0)),0)</f>
        <v>0</v>
      </c>
      <c r="J10" s="172">
        <f>H10+I10*$F10/1000</f>
        <v>27.03</v>
      </c>
      <c r="K10" s="191">
        <f>IFERROR(J10/J12,"")</f>
        <v>5.5222530351093334E-2</v>
      </c>
      <c r="L10" s="191"/>
      <c r="M10" s="191">
        <f t="shared" ref="M10:M14" si="2">IF(OR(J10=0,J10="",Q10=""),"",Q10/J10-1)</f>
        <v>6.4002959674435589E-2</v>
      </c>
      <c r="N10" s="188"/>
      <c r="O10" s="172">
        <f t="array" ref="O10">INDEX('Key inputs'!$B$17:$N$41,MATCH($B10&amp;$C10&amp;$E10,'Key inputs'!$B$17:$B$41&amp;'Key inputs'!$C$17:$C$41&amp;'Key inputs'!$D$17:$D$41,0),MATCH($G10&amp;O$4&amp;O$5,'Key inputs'!$B$18:$N$18&amp;'Key inputs'!$B$19:$N$19&amp;'Key inputs'!$B$20:$N$20,0))</f>
        <v>28.759999999999998</v>
      </c>
      <c r="P10" s="172">
        <f>IFERROR(INDEX('Detail inputs'!$B$3:$K$196,MATCH($B10&amp;$C10&amp;$E10&amp;$G10&amp;P$5,'Detail inputs'!$B$3:$B$196&amp;'Detail inputs'!$D$3:$D$196&amp;'Detail inputs'!$F$3:$F$196&amp;'Detail inputs'!$G$3:$G$196&amp;'Detail inputs'!$H$3:$H$196,0),MATCH(P$4,'Detail inputs'!$B$3:$K$3,0)),0)</f>
        <v>0</v>
      </c>
      <c r="Q10" s="172">
        <f>O10+P10*$F10/1000</f>
        <v>28.759999999999998</v>
      </c>
      <c r="R10" s="191">
        <f>IFERROR(Q10/Q12,"")</f>
        <v>5.4636119419573359E-2</v>
      </c>
    </row>
    <row r="11" spans="1:21" x14ac:dyDescent="0.25">
      <c r="B11" s="3" t="str">
        <f t="shared" si="1"/>
        <v>Ausgrid</v>
      </c>
      <c r="C11" s="3" t="str">
        <f t="shared" si="0"/>
        <v>Residential</v>
      </c>
      <c r="D11" s="3" t="str">
        <f t="shared" si="0"/>
        <v>without CL</v>
      </c>
      <c r="E11" s="3" t="s">
        <v>22</v>
      </c>
      <c r="F11" s="175">
        <f t="array" ref="F11">IFERROR(INDEX(Usage!$B$5:$P$18,MATCH($B11,Usage!$B$5:$B$18,0),MATCH($C11&amp;$D11&amp;$E11,Usage!$B$5:$S$5&amp;Usage!$B$6:$S$6&amp;Usage!$B$7:$S$7,0)),0)</f>
        <v>3900</v>
      </c>
      <c r="G11" s="3" t="s">
        <v>248</v>
      </c>
      <c r="H11" s="172" cm="1">
        <f t="array" ref="H11">IFERROR(INDEX('Detail inputs'!$B$3:$K$196,MATCH($B11&amp;$G11&amp;H$5,'Detail inputs'!$B$3:$B$196&amp;'Detail inputs'!$G$3:$G$196&amp;'Detail inputs'!$H$3:$H$196,0),MATCH(H$4,'Detail inputs'!$B$3:$K$3,0)),0)</f>
        <v>0</v>
      </c>
      <c r="I11" s="172" cm="1">
        <f t="array" ref="I11">IFERROR(INDEX('Detail inputs'!$B$3:$K$196,MATCH($B11&amp;$G11&amp;I$5,'Detail inputs'!$B$3:$B$196&amp;'Detail inputs'!$G$3:$G$196&amp;'Detail inputs'!$H$3:$H$196,0),MATCH(I$4,'Detail inputs'!$B$3:$K$3,0)),0)</f>
        <v>0</v>
      </c>
      <c r="J11" s="172">
        <f>H11+I11*$F11/1000</f>
        <v>0</v>
      </c>
      <c r="K11" s="191">
        <f>IFERROR(J11/J12,"")</f>
        <v>0</v>
      </c>
      <c r="L11" s="191"/>
      <c r="M11" s="191" t="str">
        <f>IF(OR(J11=0,J11="",Q11=""),"",Q11/J11-1)</f>
        <v/>
      </c>
      <c r="N11" s="188"/>
      <c r="O11" s="172" cm="1">
        <f t="array" ref="O11">IFERROR(INDEX('Detail inputs'!$B$3:$K$196,MATCH($B11&amp;$G11&amp;O$5,'Detail inputs'!$B$3:$B$196&amp;'Detail inputs'!$G$3:$G$196&amp;'Detail inputs'!$H$3:$H$196,0),MATCH(O$4,'Detail inputs'!$B$3:$K$3,0)),0)</f>
        <v>0</v>
      </c>
      <c r="P11" s="172" cm="1">
        <f t="array" ref="P11">IFERROR(INDEX('Detail inputs'!$B$3:$K$196,MATCH($B11&amp;$G11&amp;P$5,'Detail inputs'!$B$3:$B$196&amp;'Detail inputs'!$G$3:$G$196&amp;'Detail inputs'!$H$3:$H$196,0),MATCH(P$4,'Detail inputs'!$B$3:$K$3,0)),0)</f>
        <v>2.508777659835062</v>
      </c>
      <c r="Q11" s="172">
        <f>O11+P11*$F11/1000</f>
        <v>9.784232873356741</v>
      </c>
      <c r="R11" s="191">
        <f>IFERROR(Q11/Q12,"")</f>
        <v>1.8587361463756408E-2</v>
      </c>
      <c r="U11" s="5"/>
    </row>
    <row r="12" spans="1:21" s="5" customFormat="1" x14ac:dyDescent="0.25">
      <c r="B12" s="3" t="str">
        <f t="shared" si="1"/>
        <v>Ausgrid</v>
      </c>
      <c r="C12" s="3" t="str">
        <f t="shared" si="0"/>
        <v>Residential</v>
      </c>
      <c r="D12" s="3" t="str">
        <f t="shared" si="0"/>
        <v>without CL</v>
      </c>
      <c r="E12" s="3" t="s">
        <v>22</v>
      </c>
      <c r="F12" s="175">
        <f t="array" ref="F12">IFERROR(INDEX(Usage!$B$5:$P$18,MATCH($B12,Usage!$B$5:$B$18,0),MATCH($C12&amp;$D12&amp;$E12,Usage!$B$5:$S$5&amp;Usage!$B$6:$S$6&amp;Usage!$B$7:$S$7,0)),0)</f>
        <v>3900</v>
      </c>
      <c r="G12" s="3" t="s">
        <v>61</v>
      </c>
      <c r="H12" s="172"/>
      <c r="I12" s="172"/>
      <c r="J12" s="172">
        <f>SUM(J9:J11)</f>
        <v>489.47412999999995</v>
      </c>
      <c r="K12" s="192"/>
      <c r="L12" s="199"/>
      <c r="M12" s="191">
        <f t="shared" si="2"/>
        <v>7.5422931908026847E-2</v>
      </c>
      <c r="N12" s="197"/>
      <c r="O12" s="172"/>
      <c r="P12" s="172"/>
      <c r="Q12" s="172">
        <f>SUM(Q9:Q11)</f>
        <v>526.39170397773057</v>
      </c>
      <c r="R12" s="192"/>
    </row>
    <row r="13" spans="1:21" s="5" customFormat="1" outlineLevel="1" x14ac:dyDescent="0.25">
      <c r="B13" s="3" t="str">
        <f t="shared" si="1"/>
        <v>Ausgrid</v>
      </c>
      <c r="C13" s="3" t="str">
        <f t="shared" si="0"/>
        <v>Residential</v>
      </c>
      <c r="D13" s="3" t="str">
        <f t="shared" si="0"/>
        <v>without CL</v>
      </c>
      <c r="E13" s="3"/>
      <c r="F13" s="175"/>
      <c r="G13" s="3" t="s">
        <v>41</v>
      </c>
      <c r="H13" s="172"/>
      <c r="I13" s="172"/>
      <c r="J13" s="172">
        <f>J12*GST</f>
        <v>48.947412999999997</v>
      </c>
      <c r="K13" s="192"/>
      <c r="L13" s="199"/>
      <c r="M13" s="191">
        <f t="shared" si="2"/>
        <v>7.5422931908026625E-2</v>
      </c>
      <c r="N13" s="197"/>
      <c r="O13" s="172"/>
      <c r="P13" s="172"/>
      <c r="Q13" s="172">
        <f>Q12*GST</f>
        <v>52.639170397773057</v>
      </c>
      <c r="R13" s="192"/>
    </row>
    <row r="14" spans="1:21" s="5" customFormat="1" x14ac:dyDescent="0.25">
      <c r="B14" s="3" t="str">
        <f t="shared" si="1"/>
        <v>Ausgrid</v>
      </c>
      <c r="C14" s="3" t="str">
        <f t="shared" si="0"/>
        <v>Residential</v>
      </c>
      <c r="D14" s="3" t="str">
        <f t="shared" si="0"/>
        <v>without CL</v>
      </c>
      <c r="E14" s="3"/>
      <c r="F14" s="175"/>
      <c r="G14" s="5" t="s">
        <v>87</v>
      </c>
      <c r="H14" s="174"/>
      <c r="I14" s="174"/>
      <c r="J14" s="174">
        <f>SUM(J12:J13)</f>
        <v>538.42154299999993</v>
      </c>
      <c r="K14" s="193"/>
      <c r="L14" s="200"/>
      <c r="M14" s="193">
        <f t="shared" si="2"/>
        <v>7.5422931908026625E-2</v>
      </c>
      <c r="N14" s="198"/>
      <c r="O14" s="174"/>
      <c r="P14" s="174"/>
      <c r="Q14" s="174">
        <f>SUM(Q12:Q13)</f>
        <v>579.03087437550357</v>
      </c>
      <c r="R14" s="193"/>
    </row>
    <row r="15" spans="1:21" x14ac:dyDescent="0.25">
      <c r="F15" s="175"/>
      <c r="H15" s="172"/>
      <c r="I15" s="172"/>
      <c r="J15" s="172"/>
      <c r="K15" s="191"/>
      <c r="L15" s="199"/>
      <c r="M15" s="191"/>
      <c r="N15" s="197"/>
      <c r="O15" s="172"/>
      <c r="P15" s="172"/>
      <c r="Q15" s="172"/>
      <c r="R15" s="191"/>
    </row>
    <row r="16" spans="1:21" x14ac:dyDescent="0.25">
      <c r="B16" s="5" t="s">
        <v>2</v>
      </c>
      <c r="C16" s="5" t="s">
        <v>6</v>
      </c>
      <c r="D16" s="5" t="s">
        <v>147</v>
      </c>
      <c r="F16" s="175"/>
      <c r="H16" s="172"/>
      <c r="I16" s="172"/>
      <c r="J16" s="172"/>
      <c r="K16" s="191"/>
      <c r="L16" s="199"/>
      <c r="M16" s="191"/>
      <c r="N16" s="197"/>
      <c r="O16" s="172"/>
      <c r="P16" s="172"/>
      <c r="Q16" s="172"/>
      <c r="R16" s="191"/>
    </row>
    <row r="17" spans="2:19" x14ac:dyDescent="0.25">
      <c r="B17" s="3" t="str">
        <f t="shared" ref="B17:D29" si="3">B$16</f>
        <v>Ausgrid</v>
      </c>
      <c r="C17" s="3" t="str">
        <f t="shared" si="3"/>
        <v>Residential</v>
      </c>
      <c r="D17" s="3" t="str">
        <f t="shared" si="3"/>
        <v>with CL</v>
      </c>
      <c r="E17" s="3" t="s">
        <v>22</v>
      </c>
      <c r="F17" s="175">
        <f t="array" ref="F17">IFERROR(INDEX(Usage!$B$5:$P$18,MATCH($B17,Usage!$B$5:$B$18,0),MATCH($C17&amp;$D17&amp;$E17,Usage!$B$5:$S$5&amp;Usage!$B$6:$S$6&amp;Usage!$B$7:$S$7,0)),0)</f>
        <v>4800</v>
      </c>
      <c r="G17" s="22" t="s">
        <v>63</v>
      </c>
      <c r="H17" s="172" cm="1">
        <f t="array" ref="H17">INDEX('Key inputs'!$B$17:$N$41,MATCH($B17&amp;$C17&amp;$E17,'Key inputs'!$B$17:$B$41&amp;'Key inputs'!$C$17:$C$41&amp;'Key inputs'!$D$17:$D$41,0),MATCH($G17&amp;H$4&amp;H$5,'Key inputs'!$B$18:$N$18&amp;'Key inputs'!$B$19:$N$19&amp;'Key inputs'!$B$20:$N$20,0))</f>
        <v>119.04913000000001</v>
      </c>
      <c r="I17" s="172">
        <f t="array" ref="I17">INDEX('Key inputs'!$B$17:$N$41,MATCH($B17&amp;$C17&amp;$E17,'Key inputs'!$B$17:$B$41&amp;'Key inputs'!$C$17:$C$41&amp;'Key inputs'!$D$17:$D$41,0),MATCH($G17&amp;I$4&amp;I$5,'Key inputs'!$B$18:$N$18&amp;'Key inputs'!$B$19:$N$19&amp;'Key inputs'!$B$20:$N$20,0))</f>
        <v>88.05</v>
      </c>
      <c r="J17" s="172">
        <f>H17+I17*$F17/1000</f>
        <v>541.68912999999998</v>
      </c>
      <c r="K17" s="191">
        <f>IFERROR(J17/J19,"")</f>
        <v>0.95247214560902849</v>
      </c>
      <c r="L17" s="191"/>
      <c r="M17" s="191">
        <f t="shared" ref="M17:M29" si="4">IF(OR(J17=0,J17="",Q17=""),"",Q17/J17-1)</f>
        <v>5.0574345743102045E-2</v>
      </c>
      <c r="N17" s="188"/>
      <c r="O17" s="172">
        <f t="array" ref="O17">INDEX('Key inputs'!$B$17:$N$41,MATCH($B17&amp;$C17&amp;$E17,'Key inputs'!$B$17:$B$41&amp;'Key inputs'!$C$17:$C$41&amp;'Key inputs'!$D$17:$D$41,0),MATCH($G17&amp;O$4&amp;O$5,'Key inputs'!$B$18:$N$18&amp;'Key inputs'!$B$19:$N$19&amp;'Key inputs'!$B$20:$N$20,0))</f>
        <v>135.81946472442635</v>
      </c>
      <c r="P17" s="172">
        <f t="array" ref="P17">INDEX('Key inputs'!$B$17:$N$41,MATCH($B17&amp;$C17&amp;$E17,'Key inputs'!$B$17:$B$41&amp;'Key inputs'!$C$17:$C$41&amp;'Key inputs'!$D$17:$D$41,0),MATCH($G17&amp;P$4&amp;P$5,'Key inputs'!$B$18:$N$18&amp;'Key inputs'!$B$19:$N$19&amp;'Key inputs'!$B$20:$N$20,0))</f>
        <v>90.263591379473709</v>
      </c>
      <c r="Q17" s="172">
        <f>O17+P17*$F17/1000</f>
        <v>569.08470334590015</v>
      </c>
      <c r="R17" s="191">
        <f>IFERROR(Q17/Q19,"")</f>
        <v>0.95189386166835355</v>
      </c>
    </row>
    <row r="18" spans="2:19" x14ac:dyDescent="0.25">
      <c r="B18" s="3" t="str">
        <f t="shared" si="3"/>
        <v>Ausgrid</v>
      </c>
      <c r="C18" s="3" t="str">
        <f t="shared" si="3"/>
        <v>Residential</v>
      </c>
      <c r="D18" s="3" t="str">
        <f t="shared" si="3"/>
        <v>with CL</v>
      </c>
      <c r="E18" s="3" t="s">
        <v>22</v>
      </c>
      <c r="F18" s="175">
        <f t="array" ref="F18">IFERROR(INDEX(Usage!$B$5:$P$18,MATCH($B18,Usage!$B$5:$B$18,0),MATCH($C18&amp;$D18&amp;$E18,Usage!$B$5:$S$5&amp;Usage!$B$6:$S$6&amp;Usage!$B$7:$S$7,0)),0)</f>
        <v>4800</v>
      </c>
      <c r="G18" s="22" t="s">
        <v>67</v>
      </c>
      <c r="H18" s="172" cm="1">
        <f t="array" ref="H18">INDEX('Key inputs'!$B$17:$N$41,MATCH($B18&amp;$C18&amp;$E18,'Key inputs'!$B$17:$B$41&amp;'Key inputs'!$C$17:$C$41&amp;'Key inputs'!$D$17:$D$41,0),MATCH($G18&amp;H$4&amp;H$5,'Key inputs'!$B$18:$N$18&amp;'Key inputs'!$B$19:$N$19&amp;'Key inputs'!$B$20:$N$20,0))</f>
        <v>27.03</v>
      </c>
      <c r="I18" s="172">
        <f>IFERROR(INDEX('Detail inputs'!$B$3:$K$196,MATCH($B18&amp;$C18&amp;$E18&amp;$G18&amp;I$5,'Detail inputs'!$B$3:$B$196&amp;'Detail inputs'!$D$3:$D$196&amp;'Detail inputs'!$F$3:$F$196&amp;'Detail inputs'!$G$3:$G$196&amp;'Detail inputs'!$H$3:$H$196,0),MATCH(I$4,'Detail inputs'!$B$3:$K$3,0)),0)</f>
        <v>0</v>
      </c>
      <c r="J18" s="172">
        <f>H18+I18*$F18/1000</f>
        <v>27.03</v>
      </c>
      <c r="K18" s="191">
        <f>IFERROR(J18/J19,"")</f>
        <v>4.752785439097152E-2</v>
      </c>
      <c r="L18" s="191"/>
      <c r="M18" s="191">
        <f t="shared" si="4"/>
        <v>6.4002959674435589E-2</v>
      </c>
      <c r="N18" s="188"/>
      <c r="O18" s="172">
        <f t="array" ref="O18">INDEX('Key inputs'!$B$17:$N$41,MATCH($B18&amp;$C18&amp;$E18,'Key inputs'!$B$17:$B$41&amp;'Key inputs'!$C$17:$C$41&amp;'Key inputs'!$D$17:$D$41,0),MATCH($G18&amp;O$4&amp;O$5,'Key inputs'!$B$18:$N$18&amp;'Key inputs'!$B$19:$N$19&amp;'Key inputs'!$B$20:$N$20,0))</f>
        <v>28.759999999999998</v>
      </c>
      <c r="P18" s="172">
        <f>IFERROR(INDEX('Detail inputs'!$B$3:$K$196,MATCH($B18&amp;$C18&amp;$E18&amp;$G18&amp;P$5,'Detail inputs'!$B$3:$B$196&amp;'Detail inputs'!$D$3:$D$196&amp;'Detail inputs'!$F$3:$F$196&amp;'Detail inputs'!$G$3:$G$196&amp;'Detail inputs'!$H$3:$H$196,0),MATCH(P$4,'Detail inputs'!$B$3:$K$3,0)),0)</f>
        <v>0</v>
      </c>
      <c r="Q18" s="172">
        <f>O18+P18*$F18/1000</f>
        <v>28.759999999999998</v>
      </c>
      <c r="R18" s="191">
        <f>IFERROR(Q18/Q19,"")</f>
        <v>4.8106138331646432E-2</v>
      </c>
    </row>
    <row r="19" spans="2:19" x14ac:dyDescent="0.25">
      <c r="B19" s="3" t="str">
        <f t="shared" si="3"/>
        <v>Ausgrid</v>
      </c>
      <c r="C19" s="3" t="str">
        <f t="shared" si="3"/>
        <v>Residential</v>
      </c>
      <c r="D19" s="3" t="str">
        <f t="shared" si="3"/>
        <v>with CL</v>
      </c>
      <c r="E19" s="3" t="s">
        <v>22</v>
      </c>
      <c r="F19" s="175">
        <f t="array" ref="F19">IFERROR(INDEX(Usage!$B$5:$P$18,MATCH($B19,Usage!$B$5:$B$18,0),MATCH($C19&amp;$D19&amp;$E19,Usage!$B$5:$S$5&amp;Usage!$B$6:$S$6&amp;Usage!$B$7:$S$7,0)),0)</f>
        <v>4800</v>
      </c>
      <c r="G19" s="3" t="s">
        <v>61</v>
      </c>
      <c r="H19" s="172"/>
      <c r="I19" s="172"/>
      <c r="J19" s="172">
        <f>SUM(J17:J18)</f>
        <v>568.71912999999995</v>
      </c>
      <c r="K19" s="191"/>
      <c r="L19" s="199"/>
      <c r="M19" s="191">
        <f t="shared" si="4"/>
        <v>5.1212578950703191E-2</v>
      </c>
      <c r="N19" s="197"/>
      <c r="O19" s="172"/>
      <c r="P19" s="172"/>
      <c r="Q19" s="172">
        <f>SUM(Q17:Q18)</f>
        <v>597.84470334590014</v>
      </c>
      <c r="R19" s="191"/>
    </row>
    <row r="20" spans="2:19" x14ac:dyDescent="0.25">
      <c r="B20" s="3" t="str">
        <f t="shared" si="3"/>
        <v>Ausgrid</v>
      </c>
      <c r="C20" s="3" t="str">
        <f t="shared" si="3"/>
        <v>Residential</v>
      </c>
      <c r="D20" s="3" t="str">
        <f t="shared" si="3"/>
        <v>with CL</v>
      </c>
      <c r="E20" s="3" t="s">
        <v>16</v>
      </c>
      <c r="F20" s="175">
        <f t="array" ref="F20">IFERROR(INDEX(Usage!$B$5:$P$18,MATCH($B20,Usage!$B$5:$B$18,0),MATCH($C20&amp;$D20&amp;$E20,Usage!$B$5:$S$5&amp;Usage!$B$6:$S$6&amp;Usage!$B$7:$S$7,0)),0)</f>
        <v>1340</v>
      </c>
      <c r="G20" s="22" t="s">
        <v>63</v>
      </c>
      <c r="H20" s="172" cm="1">
        <f t="array" ref="H20">INDEX('Key inputs'!$B$17:$N$41,MATCH($B20&amp;$C20&amp;$E20,'Key inputs'!$B$17:$B$41&amp;'Key inputs'!$C$17:$C$41&amp;'Key inputs'!$D$17:$D$41,0),MATCH($G20&amp;H$4&amp;H$5,'Key inputs'!$B$18:$N$18&amp;'Key inputs'!$B$19:$N$19&amp;'Key inputs'!$B$20:$N$20,0))</f>
        <v>2.8973699999999996</v>
      </c>
      <c r="I20" s="172">
        <f t="array" ref="I20">INDEX('Key inputs'!$B$17:$N$41,MATCH($B20&amp;$C20&amp;$E20,'Key inputs'!$B$17:$B$41&amp;'Key inputs'!$C$17:$C$41&amp;'Key inputs'!$D$17:$D$41,0),MATCH($G20&amp;I$4&amp;I$5,'Key inputs'!$B$18:$N$18&amp;'Key inputs'!$B$19:$N$19&amp;'Key inputs'!$B$20:$N$20,0))</f>
        <v>17.485999999999997</v>
      </c>
      <c r="J20" s="172">
        <f>H20*INDEX(Usage!$B$4:$M$18,MATCH($B20,Usage!$B$4:$B$18,0),MATCH(IF($E20="CL1","CL1 Proportion","CL2 Proportion"),Usage!$B$8:$M$8,0))+I20*$F20/1000</f>
        <v>25.372477899999996</v>
      </c>
      <c r="K20" s="191">
        <f>IFERROR(J20/J22,"")</f>
        <v>0.80147883453260849</v>
      </c>
      <c r="L20" s="191"/>
      <c r="M20" s="191">
        <f t="shared" si="4"/>
        <v>-0.23849785683982627</v>
      </c>
      <c r="N20" s="188"/>
      <c r="O20" s="172">
        <f t="array" ref="O20">INDEX('Key inputs'!$B$17:$N$41,MATCH($B20&amp;$C20&amp;$E20,'Key inputs'!$B$17:$B$41&amp;'Key inputs'!$C$17:$C$41&amp;'Key inputs'!$D$17:$D$41,0),MATCH($G20&amp;O$4&amp;O$5,'Key inputs'!$B$18:$N$18&amp;'Key inputs'!$B$19:$N$19&amp;'Key inputs'!$B$20:$N$20,0))</f>
        <v>3.7769716285605806</v>
      </c>
      <c r="P20" s="172">
        <f t="array" ref="P20">INDEX('Key inputs'!$B$17:$N$41,MATCH($B20&amp;$C20&amp;$E20,'Key inputs'!$B$17:$B$41&amp;'Key inputs'!$C$17:$C$41&amp;'Key inputs'!$D$17:$D$41,0),MATCH($G20&amp;P$4&amp;P$5,'Key inputs'!$B$18:$N$18&amp;'Key inputs'!$B$19:$N$19&amp;'Key inputs'!$B$20:$N$20,0))</f>
        <v>12.5303173932825</v>
      </c>
      <c r="Q20" s="172">
        <f>O20*INDEX(Usage!$B$4:$M$18,MATCH($B20,Usage!$B$4:$B$18,0),MATCH(IF($E20="CL1","CL1 Proportion","CL2 Proportion"),Usage!$B$8:$M$8,0))+P20*$F20/1000</f>
        <v>19.32119629813414</v>
      </c>
      <c r="R20" s="191">
        <f>IFERROR(Q20/Q22,"")</f>
        <v>0.74558922042932085</v>
      </c>
    </row>
    <row r="21" spans="2:19" x14ac:dyDescent="0.25">
      <c r="B21" s="3" t="str">
        <f t="shared" si="3"/>
        <v>Ausgrid</v>
      </c>
      <c r="C21" s="3" t="str">
        <f t="shared" si="3"/>
        <v>Residential</v>
      </c>
      <c r="D21" s="3" t="str">
        <f t="shared" si="3"/>
        <v>with CL</v>
      </c>
      <c r="E21" s="3" t="s">
        <v>16</v>
      </c>
      <c r="F21" s="175">
        <f t="array" ref="F21">IFERROR(INDEX(Usage!$B$5:$P$18,MATCH($B21,Usage!$B$5:$B$18,0),MATCH($C21&amp;$D21&amp;$E21,Usage!$B$5:$S$5&amp;Usage!$B$6:$S$6&amp;Usage!$B$7:$S$7,0)),0)</f>
        <v>1340</v>
      </c>
      <c r="G21" s="22" t="s">
        <v>67</v>
      </c>
      <c r="H21" s="172" cm="1">
        <f t="array" ref="H21">INDEX('Key inputs'!$B$17:$N$41,MATCH($B21&amp;$C21&amp;$E21,'Key inputs'!$B$17:$B$41&amp;'Key inputs'!$C$17:$C$41&amp;'Key inputs'!$D$17:$D$41,0),MATCH($G21&amp;H$4&amp;H$5,'Key inputs'!$B$18:$N$18&amp;'Key inputs'!$B$19:$N$19&amp;'Key inputs'!$B$20:$N$20,0))</f>
        <v>9.379999999999999</v>
      </c>
      <c r="I21" s="172">
        <f>IFERROR(INDEX('Detail inputs'!$B$3:$K$196,MATCH($B21&amp;$C21&amp;$E21&amp;$G21&amp;I$5,'Detail inputs'!$B$3:$B$196&amp;'Detail inputs'!$D$3:$D$196&amp;'Detail inputs'!$F$3:$F$196&amp;'Detail inputs'!$G$3:$G$196&amp;'Detail inputs'!$H$3:$H$196,0),MATCH(I$4,'Detail inputs'!$B$3:$K$3,0)),0)</f>
        <v>0</v>
      </c>
      <c r="J21" s="172">
        <f>H21*INDEX(Usage!$B$4:$M$18,MATCH($B21,Usage!$B$4:$B$18,0),MATCH(IF($E21="CL1","CL1 Proportion","CL2 Proportion"),Usage!$B$8:$M$8,0))+I21*$F21/1000</f>
        <v>6.2845999999999993</v>
      </c>
      <c r="K21" s="191">
        <f>IFERROR(J21/J22,"")</f>
        <v>0.1985211654673914</v>
      </c>
      <c r="L21" s="191"/>
      <c r="M21" s="191">
        <f t="shared" si="4"/>
        <v>4.9040511727079128E-2</v>
      </c>
      <c r="N21" s="188"/>
      <c r="O21" s="172">
        <f t="array" ref="O21">INDEX('Key inputs'!$B$17:$N$41,MATCH($B21&amp;$C21&amp;$E21,'Key inputs'!$B$17:$B$41&amp;'Key inputs'!$C$17:$C$41&amp;'Key inputs'!$D$17:$D$41,0),MATCH($G21&amp;O$4&amp;O$5,'Key inputs'!$B$18:$N$18&amp;'Key inputs'!$B$19:$N$19&amp;'Key inputs'!$B$20:$N$20,0))</f>
        <v>9.84</v>
      </c>
      <c r="P21" s="172">
        <f>IFERROR(INDEX('Detail inputs'!$B$3:$K$196,MATCH($B21&amp;$C21&amp;$E21&amp;$G21&amp;P$5,'Detail inputs'!$B$3:$B$196&amp;'Detail inputs'!$D$3:$D$196&amp;'Detail inputs'!$F$3:$F$196&amp;'Detail inputs'!$G$3:$G$196&amp;'Detail inputs'!$H$3:$H$196,0),MATCH(P$4,'Detail inputs'!$B$3:$K$3,0)),0)</f>
        <v>0</v>
      </c>
      <c r="Q21" s="172">
        <f>O21*INDEX(Usage!$B$4:$M$18,MATCH($B21,Usage!$B$4:$B$18,0),MATCH(IF($E21="CL1","CL1 Proportion","CL2 Proportion"),Usage!$B$8:$M$8,0))+P21*$F21/1000</f>
        <v>6.5928000000000004</v>
      </c>
      <c r="R21" s="191">
        <f>IFERROR(Q21/Q22,"")</f>
        <v>0.25441077957067915</v>
      </c>
      <c r="S21" s="269"/>
    </row>
    <row r="22" spans="2:19" x14ac:dyDescent="0.25">
      <c r="B22" s="3" t="str">
        <f t="shared" si="3"/>
        <v>Ausgrid</v>
      </c>
      <c r="C22" s="3" t="str">
        <f t="shared" si="3"/>
        <v>Residential</v>
      </c>
      <c r="D22" s="3" t="str">
        <f t="shared" si="3"/>
        <v>with CL</v>
      </c>
      <c r="E22" s="3" t="s">
        <v>16</v>
      </c>
      <c r="F22" s="175">
        <f t="array" ref="F22">IFERROR(INDEX(Usage!$B$5:$P$18,MATCH($B22,Usage!$B$5:$B$18,0),MATCH($C22&amp;$D22&amp;$E22,Usage!$B$5:$S$5&amp;Usage!$B$6:$S$6&amp;Usage!$B$7:$S$7,0)),0)</f>
        <v>1340</v>
      </c>
      <c r="G22" s="3" t="s">
        <v>61</v>
      </c>
      <c r="H22" s="172"/>
      <c r="I22" s="172"/>
      <c r="J22" s="172">
        <f>SUM(J20:J21)</f>
        <v>31.657077899999997</v>
      </c>
      <c r="K22" s="191"/>
      <c r="L22" s="199"/>
      <c r="M22" s="191">
        <f t="shared" si="4"/>
        <v>-0.18141540479533191</v>
      </c>
      <c r="N22" s="197"/>
      <c r="O22" s="172"/>
      <c r="P22" s="172"/>
      <c r="Q22" s="172">
        <f>SUM(Q20:Q21)</f>
        <v>25.913996298134141</v>
      </c>
      <c r="R22" s="191"/>
    </row>
    <row r="23" spans="2:19" x14ac:dyDescent="0.25">
      <c r="B23" s="3" t="str">
        <f t="shared" si="3"/>
        <v>Ausgrid</v>
      </c>
      <c r="C23" s="3" t="str">
        <f t="shared" si="3"/>
        <v>Residential</v>
      </c>
      <c r="D23" s="3" t="str">
        <f t="shared" si="3"/>
        <v>with CL</v>
      </c>
      <c r="E23" s="3" t="s">
        <v>17</v>
      </c>
      <c r="F23" s="175">
        <f t="array" ref="F23">IFERROR(INDEX(Usage!$B$5:$P$18,MATCH($B23,Usage!$B$5:$B$18,0),MATCH($C23&amp;$D23&amp;$E23,Usage!$B$5:$S$5&amp;Usage!$B$6:$S$6&amp;Usage!$B$7:$S$7,0)),0)</f>
        <v>660</v>
      </c>
      <c r="G23" s="22" t="s">
        <v>63</v>
      </c>
      <c r="H23" s="172">
        <f t="array" ref="H23">INDEX('Key inputs'!$B$17:$N$41,MATCH($B23&amp;$C23&amp;$E23,'Key inputs'!$B$17:$B$41&amp;'Key inputs'!$C$17:$C$41&amp;'Key inputs'!$D$17:$D$41,0),MATCH($G23&amp;H$4&amp;H$5,'Key inputs'!$B$18:$N$18&amp;'Key inputs'!$B$19:$N$19&amp;'Key inputs'!$B$20:$N$20,0))</f>
        <v>38.207470000000001</v>
      </c>
      <c r="I23" s="172">
        <f t="array" ref="I23">INDEX('Key inputs'!$B$17:$N$41,MATCH($B23&amp;$C23&amp;$E23,'Key inputs'!$B$17:$B$41&amp;'Key inputs'!$C$17:$C$41&amp;'Key inputs'!$D$17:$D$41,0),MATCH($G23&amp;I$4&amp;I$5,'Key inputs'!$B$18:$N$18&amp;'Key inputs'!$B$19:$N$19&amp;'Key inputs'!$B$20:$N$20,0))</f>
        <v>40.092999999999996</v>
      </c>
      <c r="J23" s="172">
        <f>H23*INDEX(Usage!$B$4:$M$18,MATCH($B23,Usage!$B$4:$B$18,0),MATCH(IF($E23="CL1","CL1 Proportion","CL2 Proportion"),Usage!$B$8:$M$8,0))+I23*$F23/1000</f>
        <v>39.069845099999995</v>
      </c>
      <c r="K23" s="191">
        <f>IFERROR(J23/J25,"")</f>
        <v>0.92658882943384102</v>
      </c>
      <c r="L23" s="191"/>
      <c r="M23" s="191">
        <f t="shared" si="4"/>
        <v>-0.17991442355747111</v>
      </c>
      <c r="N23" s="188"/>
      <c r="O23" s="172">
        <f t="array" ref="O23">INDEX('Key inputs'!$B$17:$N$41,MATCH($B23&amp;$C23&amp;$E23,'Key inputs'!$B$17:$B$41&amp;'Key inputs'!$C$17:$C$41&amp;'Key inputs'!$D$17:$D$41,0),MATCH($G23&amp;O$4&amp;O$5,'Key inputs'!$B$18:$N$18&amp;'Key inputs'!$B$19:$N$19&amp;'Key inputs'!$B$20:$N$20,0))</f>
        <v>26.818435471307637</v>
      </c>
      <c r="P23" s="172">
        <f t="array" ref="P23">INDEX('Key inputs'!$B$17:$N$41,MATCH($B23&amp;$C23&amp;$E23,'Key inputs'!$B$17:$B$41&amp;'Key inputs'!$C$17:$C$41&amp;'Key inputs'!$D$17:$D$41,0),MATCH($G23&amp;P$4&amp;P$5,'Key inputs'!$B$18:$N$18&amp;'Key inputs'!$B$19:$N$19&amp;'Key inputs'!$B$20:$N$20,0))</f>
        <v>35.137170810336805</v>
      </c>
      <c r="Q23" s="172">
        <f>O23*INDEX(Usage!$B$4:$M$18,MATCH($B23,Usage!$B$4:$B$18,0),MATCH(IF($E23="CL1","CL1 Proportion","CL2 Proportion"),Usage!$B$8:$M$8,0))+P23*$F23/1000</f>
        <v>32.040616440353809</v>
      </c>
      <c r="R23" s="191">
        <f>IFERROR(Q23/Q25,"")</f>
        <v>0.90797957120728434</v>
      </c>
    </row>
    <row r="24" spans="2:19" x14ac:dyDescent="0.25">
      <c r="B24" s="3" t="str">
        <f t="shared" si="3"/>
        <v>Ausgrid</v>
      </c>
      <c r="C24" s="3" t="str">
        <f t="shared" si="3"/>
        <v>Residential</v>
      </c>
      <c r="D24" s="3" t="str">
        <f t="shared" si="3"/>
        <v>with CL</v>
      </c>
      <c r="E24" s="3" t="s">
        <v>17</v>
      </c>
      <c r="F24" s="175">
        <f t="array" ref="F24">IFERROR(INDEX(Usage!$B$5:$P$18,MATCH($B24,Usage!$B$5:$B$18,0),MATCH($C24&amp;$D24&amp;$E24,Usage!$B$5:$S$5&amp;Usage!$B$6:$S$6&amp;Usage!$B$7:$S$7,0)),0)</f>
        <v>660</v>
      </c>
      <c r="G24" s="22" t="s">
        <v>67</v>
      </c>
      <c r="H24" s="172">
        <f t="array" ref="H24">INDEX('Key inputs'!$B$17:$N$41,MATCH($B24&amp;$C24&amp;$E24,'Key inputs'!$B$17:$B$41&amp;'Key inputs'!$C$17:$C$41&amp;'Key inputs'!$D$17:$D$41,0),MATCH($G24&amp;H$4&amp;H$5,'Key inputs'!$B$18:$N$18&amp;'Key inputs'!$B$19:$N$19&amp;'Key inputs'!$B$20:$N$20,0))</f>
        <v>9.379999999999999</v>
      </c>
      <c r="I24" s="172">
        <f>IFERROR(INDEX('Detail inputs'!$B$3:$K$196,MATCH($B24&amp;$C24&amp;$E24&amp;$G24&amp;I$5,'Detail inputs'!$B$3:$B$196&amp;'Detail inputs'!$D$3:$D$196&amp;'Detail inputs'!$F$3:$F$196&amp;'Detail inputs'!$G$3:$G$196&amp;'Detail inputs'!$H$3:$H$196,0),MATCH(I$4,'Detail inputs'!$B$3:$K$3,0)),0)</f>
        <v>0</v>
      </c>
      <c r="J24" s="172">
        <f>H24*INDEX(Usage!$B$4:$M$18,MATCH($B24,Usage!$B$4:$B$18,0),MATCH(IF($E24="CL1","CL1 Proportion","CL2 Proportion"),Usage!$B$8:$M$8,0))+I24*$F24/1000</f>
        <v>3.0953999999999993</v>
      </c>
      <c r="K24" s="191">
        <f>IFERROR(J24/J25,"")</f>
        <v>7.3411170566158993E-2</v>
      </c>
      <c r="L24" s="191"/>
      <c r="M24" s="191">
        <f t="shared" si="4"/>
        <v>4.9040511727078906E-2</v>
      </c>
      <c r="N24" s="188"/>
      <c r="O24" s="172">
        <f t="array" ref="O24">INDEX('Key inputs'!$B$17:$N$41,MATCH($B24&amp;$C24&amp;$E24,'Key inputs'!$B$17:$B$41&amp;'Key inputs'!$C$17:$C$41&amp;'Key inputs'!$D$17:$D$41,0),MATCH($G24&amp;O$4&amp;O$5,'Key inputs'!$B$18:$N$18&amp;'Key inputs'!$B$19:$N$19&amp;'Key inputs'!$B$20:$N$20,0))</f>
        <v>9.84</v>
      </c>
      <c r="P24" s="172">
        <f>IFERROR(INDEX('Detail inputs'!$B$3:$K$196,MATCH($B24&amp;$C24&amp;$E24&amp;$G24&amp;P$5,'Detail inputs'!$B$3:$B$196&amp;'Detail inputs'!$D$3:$D$196&amp;'Detail inputs'!$F$3:$F$196&amp;'Detail inputs'!$G$3:$G$196&amp;'Detail inputs'!$H$3:$H$196,0),MATCH(P$4,'Detail inputs'!$B$3:$K$3,0)),0)</f>
        <v>0</v>
      </c>
      <c r="Q24" s="172">
        <f>O24*INDEX(Usage!$B$4:$M$18,MATCH($B24,Usage!$B$4:$B$18,0),MATCH(IF($E24="CL1","CL1 Proportion","CL2 Proportion"),Usage!$B$8:$M$8,0))+P24*$F24/1000</f>
        <v>3.2471999999999994</v>
      </c>
      <c r="R24" s="191">
        <f>IFERROR(Q24/Q25,"")</f>
        <v>9.2020428792715686E-2</v>
      </c>
    </row>
    <row r="25" spans="2:19" x14ac:dyDescent="0.25">
      <c r="B25" s="3" t="str">
        <f t="shared" si="3"/>
        <v>Ausgrid</v>
      </c>
      <c r="C25" s="3" t="str">
        <f t="shared" si="3"/>
        <v>Residential</v>
      </c>
      <c r="D25" s="3" t="str">
        <f t="shared" si="3"/>
        <v>with CL</v>
      </c>
      <c r="E25" s="3" t="s">
        <v>17</v>
      </c>
      <c r="F25" s="175">
        <f t="array" ref="F25">IFERROR(INDEX(Usage!$B$5:$P$18,MATCH($B25,Usage!$B$5:$B$18,0),MATCH($C25&amp;$D25&amp;$E25,Usage!$B$5:$S$5&amp;Usage!$B$6:$S$6&amp;Usage!$B$7:$S$7,0)),0)</f>
        <v>660</v>
      </c>
      <c r="G25" s="3" t="s">
        <v>61</v>
      </c>
      <c r="H25" s="172"/>
      <c r="I25" s="172"/>
      <c r="J25" s="172">
        <f>SUM(J23:J24)</f>
        <v>42.165245099999993</v>
      </c>
      <c r="K25" s="191"/>
      <c r="L25" s="199"/>
      <c r="M25" s="191">
        <f t="shared" si="4"/>
        <v>-0.16310657375133308</v>
      </c>
      <c r="N25" s="197"/>
      <c r="O25" s="172"/>
      <c r="P25" s="172"/>
      <c r="Q25" s="172">
        <f>SUM(Q23:Q24)</f>
        <v>35.287816440353808</v>
      </c>
      <c r="R25" s="191"/>
    </row>
    <row r="26" spans="2:19" x14ac:dyDescent="0.25">
      <c r="B26" s="3" t="str">
        <f t="shared" si="3"/>
        <v>Ausgrid</v>
      </c>
      <c r="C26" s="3" t="str">
        <f t="shared" si="3"/>
        <v>Residential</v>
      </c>
      <c r="D26" s="3" t="str">
        <f t="shared" si="3"/>
        <v>with CL</v>
      </c>
      <c r="E26" s="3" t="s">
        <v>61</v>
      </c>
      <c r="F26" s="175">
        <f t="array" ref="F26">IFERROR(INDEX(Usage!$B$5:$P$18,MATCH($B26,Usage!$B$5:$B$18,0),MATCH($C26&amp;$D26&amp;$E26,Usage!$B$5:$S$5&amp;Usage!$B$6:$S$6&amp;Usage!$B$7:$S$7,0)),0)</f>
        <v>6800</v>
      </c>
      <c r="G26" s="3" t="s">
        <v>248</v>
      </c>
      <c r="H26" s="172" cm="1">
        <f t="array" ref="H26">IFERROR(INDEX('Detail inputs'!$B$3:$K$196,MATCH($B26&amp;$G26&amp;H$5,'Detail inputs'!$B$3:$B$196&amp;'Detail inputs'!$G$3:$G$196&amp;'Detail inputs'!$H$3:$H$196,0),MATCH(H$4,'Detail inputs'!$B$3:$K$3,0)),0)</f>
        <v>0</v>
      </c>
      <c r="I26" s="172" cm="1">
        <f t="array" ref="I26">IFERROR(INDEX('Detail inputs'!$B$3:$K$196,MATCH($B26&amp;$G26&amp;I$5,'Detail inputs'!$B$3:$B$196&amp;'Detail inputs'!$G$3:$G$196&amp;'Detail inputs'!$H$3:$H$196,0),MATCH(I$4,'Detail inputs'!$B$3:$K$3,0)),0)</f>
        <v>0</v>
      </c>
      <c r="J26" s="172">
        <f>H26+I26*$F26/1000</f>
        <v>0</v>
      </c>
      <c r="K26" s="191">
        <f>IFERROR(J26/J27,"")</f>
        <v>0</v>
      </c>
      <c r="L26" s="191"/>
      <c r="M26" s="191" t="str">
        <f t="shared" si="4"/>
        <v/>
      </c>
      <c r="N26" s="188"/>
      <c r="O26" s="172" cm="1">
        <f t="array" ref="O26">IFERROR(INDEX('Detail inputs'!$B$3:$K$196,MATCH($B26&amp;$G26&amp;O$5,'Detail inputs'!$B$3:$B$196&amp;'Detail inputs'!$G$3:$G$196&amp;'Detail inputs'!$H$3:$H$196,0),MATCH(O$4,'Detail inputs'!$B$3:$K$3,0)),0)</f>
        <v>0</v>
      </c>
      <c r="P26" s="172" cm="1">
        <f t="array" ref="P26">IFERROR(INDEX('Detail inputs'!$B$3:$K$196,MATCH($B26&amp;$G26&amp;P$5,'Detail inputs'!$B$3:$B$196&amp;'Detail inputs'!$G$3:$G$196&amp;'Detail inputs'!$H$3:$H$196,0),MATCH(P$4,'Detail inputs'!$B$3:$K$3,0)),0)</f>
        <v>2.508777659835062</v>
      </c>
      <c r="Q26" s="172">
        <f>O26+P26*$F26/1000</f>
        <v>17.05968808687842</v>
      </c>
      <c r="R26" s="191">
        <f>IFERROR(Q26/Q27,"")</f>
        <v>2.523226082178796E-2</v>
      </c>
    </row>
    <row r="27" spans="2:19" x14ac:dyDescent="0.25">
      <c r="B27" s="3" t="str">
        <f t="shared" si="3"/>
        <v>Ausgrid</v>
      </c>
      <c r="C27" s="3" t="str">
        <f t="shared" si="3"/>
        <v>Residential</v>
      </c>
      <c r="D27" s="3" t="str">
        <f t="shared" si="3"/>
        <v>with CL</v>
      </c>
      <c r="E27" s="3" t="s">
        <v>61</v>
      </c>
      <c r="F27" s="175">
        <f t="array" ref="F27">IFERROR(INDEX(Usage!$B$5:$P$18,MATCH($B27,Usage!$B$5:$B$18,0),MATCH($C27&amp;$D27&amp;$E27,Usage!$B$5:$S$5&amp;Usage!$B$6:$S$6&amp;Usage!$B$7:$S$7,0)),0)</f>
        <v>6800</v>
      </c>
      <c r="G27" s="3" t="s">
        <v>61</v>
      </c>
      <c r="H27" s="172"/>
      <c r="I27" s="172"/>
      <c r="J27" s="172">
        <f>SUM(J19,J22,J25,J26)</f>
        <v>642.54145299999993</v>
      </c>
      <c r="K27" s="192"/>
      <c r="L27" s="199"/>
      <c r="M27" s="191">
        <f t="shared" si="4"/>
        <v>5.2237487580846675E-2</v>
      </c>
      <c r="N27" s="197"/>
      <c r="O27" s="172"/>
      <c r="P27" s="172"/>
      <c r="Q27" s="172">
        <f>SUM(Q19,Q22,Q25,Q26)</f>
        <v>676.10620417126654</v>
      </c>
      <c r="R27" s="192"/>
    </row>
    <row r="28" spans="2:19" s="5" customFormat="1" outlineLevel="1" x14ac:dyDescent="0.25">
      <c r="B28" s="3" t="str">
        <f t="shared" si="3"/>
        <v>Ausgrid</v>
      </c>
      <c r="C28" s="3" t="str">
        <f t="shared" si="3"/>
        <v>Residential</v>
      </c>
      <c r="D28" s="3" t="str">
        <f t="shared" si="3"/>
        <v>with CL</v>
      </c>
      <c r="E28" s="3"/>
      <c r="F28" s="175"/>
      <c r="G28" s="3" t="s">
        <v>41</v>
      </c>
      <c r="H28" s="172"/>
      <c r="I28" s="172"/>
      <c r="J28" s="172">
        <f>J27*GST</f>
        <v>64.25414529999999</v>
      </c>
      <c r="K28" s="192"/>
      <c r="L28" s="199"/>
      <c r="M28" s="191">
        <f t="shared" si="4"/>
        <v>5.2237487580846675E-2</v>
      </c>
      <c r="N28" s="197"/>
      <c r="O28" s="172"/>
      <c r="P28" s="172"/>
      <c r="Q28" s="172">
        <f>Q27*GST</f>
        <v>67.610620417126654</v>
      </c>
      <c r="R28" s="192"/>
    </row>
    <row r="29" spans="2:19" s="5" customFormat="1" x14ac:dyDescent="0.25">
      <c r="B29" s="3" t="str">
        <f t="shared" si="3"/>
        <v>Ausgrid</v>
      </c>
      <c r="C29" s="3" t="str">
        <f t="shared" si="3"/>
        <v>Residential</v>
      </c>
      <c r="D29" s="3" t="str">
        <f t="shared" si="3"/>
        <v>with CL</v>
      </c>
      <c r="E29" s="3"/>
      <c r="F29" s="175"/>
      <c r="G29" s="5" t="s">
        <v>87</v>
      </c>
      <c r="H29" s="174"/>
      <c r="I29" s="174"/>
      <c r="J29" s="174">
        <f>SUM(J27:J28)</f>
        <v>706.79559829999994</v>
      </c>
      <c r="K29" s="193"/>
      <c r="L29" s="200"/>
      <c r="M29" s="193">
        <f t="shared" si="4"/>
        <v>5.2237487580846453E-2</v>
      </c>
      <c r="N29" s="198"/>
      <c r="O29" s="174"/>
      <c r="P29" s="174"/>
      <c r="Q29" s="174">
        <f>SUM(Q27:Q28)</f>
        <v>743.71682458839314</v>
      </c>
      <c r="R29" s="193"/>
    </row>
    <row r="30" spans="2:19" x14ac:dyDescent="0.25">
      <c r="F30" s="175"/>
      <c r="H30" s="172"/>
      <c r="I30" s="172"/>
      <c r="J30" s="172"/>
      <c r="K30" s="191"/>
      <c r="L30" s="199"/>
      <c r="M30" s="191"/>
      <c r="N30" s="197"/>
      <c r="O30" s="172"/>
      <c r="P30" s="172"/>
      <c r="Q30" s="172"/>
      <c r="R30" s="191"/>
    </row>
    <row r="31" spans="2:19" x14ac:dyDescent="0.25">
      <c r="B31" s="5" t="s">
        <v>2</v>
      </c>
      <c r="C31" s="5" t="s">
        <v>15</v>
      </c>
      <c r="D31" s="5" t="s">
        <v>146</v>
      </c>
      <c r="E31" s="5"/>
      <c r="F31" s="201"/>
      <c r="H31" s="172"/>
      <c r="I31" s="172"/>
      <c r="J31" s="172"/>
      <c r="K31" s="191"/>
      <c r="L31" s="199"/>
      <c r="M31" s="191"/>
      <c r="N31" s="197"/>
      <c r="O31" s="172"/>
      <c r="P31" s="172"/>
      <c r="Q31" s="172"/>
      <c r="R31" s="191"/>
    </row>
    <row r="32" spans="2:19" x14ac:dyDescent="0.25">
      <c r="B32" s="3" t="str">
        <f t="shared" ref="B32:D37" si="5">B$31</f>
        <v>Ausgrid</v>
      </c>
      <c r="C32" s="3" t="str">
        <f t="shared" si="5"/>
        <v>Small business</v>
      </c>
      <c r="D32" s="3" t="str">
        <f t="shared" si="5"/>
        <v>without CL</v>
      </c>
      <c r="E32" s="3" t="s">
        <v>22</v>
      </c>
      <c r="F32" s="175">
        <f t="array" ref="F32">IFERROR(INDEX(Usage!$B$5:$P$18,MATCH($B32,Usage!$B$5:$B$18,0),MATCH($C32&amp;$D32&amp;$E32,Usage!$B$5:$S$5&amp;Usage!$B$6:$S$6&amp;Usage!$B$7:$S$7,0)),0)</f>
        <v>10000</v>
      </c>
      <c r="G32" s="3" t="s">
        <v>63</v>
      </c>
      <c r="H32" s="172" cm="1">
        <f t="array" ref="H32">INDEX('Key inputs'!$B$17:$N$41,MATCH($B32&amp;$C32&amp;$E32,'Key inputs'!$B$17:$B$41&amp;'Key inputs'!$C$17:$C$41&amp;'Key inputs'!$D$17:$D$41,0),MATCH($G32&amp;H$4&amp;H$5,'Key inputs'!$B$18:$N$18&amp;'Key inputs'!$B$19:$N$19&amp;'Key inputs'!$B$20:$N$20,0))</f>
        <v>471.70775000000003</v>
      </c>
      <c r="I32" s="172">
        <f t="array" ref="I32">INDEX('Key inputs'!$B$17:$N$41,MATCH($B32&amp;$C32&amp;$E32,'Key inputs'!$B$17:$B$41&amp;'Key inputs'!$C$17:$C$41&amp;'Key inputs'!$D$17:$D$41,0),MATCH($G32&amp;I$4&amp;I$5,'Key inputs'!$B$18:$N$18&amp;'Key inputs'!$B$19:$N$19&amp;'Key inputs'!$B$20:$N$20,0))</f>
        <v>77.342000000000013</v>
      </c>
      <c r="J32" s="172">
        <f>H32+I32*$F32/1000</f>
        <v>1245.1277500000001</v>
      </c>
      <c r="K32" s="191">
        <f>IFERROR(J32/J35,"")</f>
        <v>0.97236274155512481</v>
      </c>
      <c r="L32" s="191"/>
      <c r="M32" s="191">
        <f t="shared" ref="M32:M37" si="6">IF(OR(J32=0,J32="",Q32=""),"",Q32/J32-1)</f>
        <v>5.4145337682896866E-2</v>
      </c>
      <c r="N32" s="188"/>
      <c r="O32" s="172">
        <f t="array" ref="O32">INDEX('Key inputs'!$B$17:$N$41,MATCH($B32&amp;$C32&amp;$E32,'Key inputs'!$B$17:$B$41&amp;'Key inputs'!$C$17:$C$41&amp;'Key inputs'!$D$17:$D$41,0),MATCH($G32&amp;O$4&amp;O$5,'Key inputs'!$B$18:$N$18&amp;'Key inputs'!$B$19:$N$19&amp;'Key inputs'!$B$20:$N$20,0))</f>
        <v>510.88104724016665</v>
      </c>
      <c r="P32" s="172">
        <f t="array" ref="P32">INDEX('Key inputs'!$B$17:$N$41,MATCH($B32&amp;$C32&amp;$E32,'Key inputs'!$B$17:$B$41&amp;'Key inputs'!$C$17:$C$41&amp;'Key inputs'!$D$17:$D$41,0),MATCH($G32&amp;P$4&amp;P$5,'Key inputs'!$B$18:$N$18&amp;'Key inputs'!$B$19:$N$19&amp;'Key inputs'!$B$20:$N$20,0))</f>
        <v>80.16645652419291</v>
      </c>
      <c r="Q32" s="172">
        <f>O32+P32*$F32/1000</f>
        <v>1312.5456124820957</v>
      </c>
      <c r="R32" s="191">
        <f>IFERROR(Q32/Q35,"")</f>
        <v>0.95447215045572775</v>
      </c>
    </row>
    <row r="33" spans="2:18" x14ac:dyDescent="0.25">
      <c r="B33" s="3" t="str">
        <f t="shared" si="5"/>
        <v>Ausgrid</v>
      </c>
      <c r="C33" s="3" t="str">
        <f t="shared" si="5"/>
        <v>Small business</v>
      </c>
      <c r="D33" s="3" t="str">
        <f t="shared" si="5"/>
        <v>without CL</v>
      </c>
      <c r="E33" s="3" t="s">
        <v>22</v>
      </c>
      <c r="F33" s="175">
        <f t="array" ref="F33">IFERROR(INDEX(Usage!$B$5:$P$18,MATCH($B33,Usage!$B$5:$B$18,0),MATCH($C33&amp;$D33&amp;$E33,Usage!$B$5:$S$5&amp;Usage!$B$6:$S$6&amp;Usage!$B$7:$S$7,0)),0)</f>
        <v>10000</v>
      </c>
      <c r="G33" s="3" t="s">
        <v>67</v>
      </c>
      <c r="H33" s="172">
        <f t="array" ref="H33">INDEX('Key inputs'!$B$17:$N$41,MATCH($B33&amp;$C33&amp;$E33,'Key inputs'!$B$17:$B$41&amp;'Key inputs'!$C$17:$C$41&amp;'Key inputs'!$D$17:$D$41,0),MATCH($G33&amp;H$4&amp;H$5,'Key inputs'!$B$18:$N$18&amp;'Key inputs'!$B$19:$N$19&amp;'Key inputs'!$B$20:$N$20,0))</f>
        <v>35.39</v>
      </c>
      <c r="I33" s="172">
        <f>IFERROR(INDEX('Detail inputs'!$B$3:$K$196,MATCH($B33&amp;$C33&amp;$E33&amp;$G33&amp;I$5,'Detail inputs'!$B$3:$B$196&amp;'Detail inputs'!$D$3:$D$196&amp;'Detail inputs'!$F$3:$F$196&amp;'Detail inputs'!$G$3:$G$196&amp;'Detail inputs'!$H$3:$H$196,0),MATCH(I$4,'Detail inputs'!$B$3:$K$3,0)),0)</f>
        <v>0</v>
      </c>
      <c r="J33" s="172">
        <f>H33+I33*$F33/1000</f>
        <v>35.39</v>
      </c>
      <c r="K33" s="191">
        <f>IFERROR(J33/J35,"")</f>
        <v>2.7637258444875124E-2</v>
      </c>
      <c r="L33" s="191"/>
      <c r="M33" s="191">
        <f t="shared" si="6"/>
        <v>6.018649335970605E-2</v>
      </c>
      <c r="N33" s="188"/>
      <c r="O33" s="172">
        <f t="array" ref="O33">INDEX('Key inputs'!$B$17:$N$41,MATCH($B33&amp;$C33&amp;$E33,'Key inputs'!$B$17:$B$41&amp;'Key inputs'!$C$17:$C$41&amp;'Key inputs'!$D$17:$D$41,0),MATCH($G33&amp;O$4&amp;O$5,'Key inputs'!$B$18:$N$18&amp;'Key inputs'!$B$19:$N$19&amp;'Key inputs'!$B$20:$N$20,0))</f>
        <v>37.519999999999996</v>
      </c>
      <c r="P33" s="172">
        <f>IFERROR(INDEX('Detail inputs'!$B$3:$K$196,MATCH($B33&amp;$C33&amp;$E33&amp;$G33&amp;P$5,'Detail inputs'!$B$3:$B$196&amp;'Detail inputs'!$D$3:$D$196&amp;'Detail inputs'!$F$3:$F$196&amp;'Detail inputs'!$G$3:$G$196&amp;'Detail inputs'!$H$3:$H$196,0),MATCH(P$4,'Detail inputs'!$B$3:$K$3,0)),0)</f>
        <v>0</v>
      </c>
      <c r="Q33" s="172">
        <f>O33+P33*$F33/1000</f>
        <v>37.519999999999996</v>
      </c>
      <c r="R33" s="191">
        <f>IFERROR(Q33/Q35,"")</f>
        <v>2.7284229016145831E-2</v>
      </c>
    </row>
    <row r="34" spans="2:18" x14ac:dyDescent="0.25">
      <c r="B34" s="3" t="str">
        <f t="shared" si="5"/>
        <v>Ausgrid</v>
      </c>
      <c r="C34" s="3" t="str">
        <f t="shared" si="5"/>
        <v>Small business</v>
      </c>
      <c r="D34" s="3" t="str">
        <f t="shared" si="5"/>
        <v>without CL</v>
      </c>
      <c r="E34" s="3" t="s">
        <v>22</v>
      </c>
      <c r="F34" s="175">
        <f t="array" ref="F34">IFERROR(INDEX(Usage!$B$5:$P$18,MATCH($B34,Usage!$B$5:$B$18,0),MATCH($C34&amp;$D34&amp;$E34,Usage!$B$5:$S$5&amp;Usage!$B$6:$S$6&amp;Usage!$B$7:$S$7,0)),0)</f>
        <v>10000</v>
      </c>
      <c r="G34" s="3" t="s">
        <v>248</v>
      </c>
      <c r="H34" s="172" cm="1">
        <f t="array" ref="H34">IFERROR(INDEX('Detail inputs'!$B$3:$K$196,MATCH($B34&amp;$G34&amp;H$5,'Detail inputs'!$B$3:$B$196&amp;'Detail inputs'!$G$3:$G$196&amp;'Detail inputs'!$H$3:$H$196,0),MATCH(H$4,'Detail inputs'!$B$3:$K$3,0)),0)</f>
        <v>0</v>
      </c>
      <c r="I34" s="172" cm="1">
        <f t="array" ref="I34">IFERROR(INDEX('Detail inputs'!$B$3:$K$196,MATCH($B34&amp;$G34&amp;I$5,'Detail inputs'!$B$3:$B$196&amp;'Detail inputs'!$G$3:$G$196&amp;'Detail inputs'!$H$3:$H$196,0),MATCH(I$4,'Detail inputs'!$B$3:$K$3,0)),0)</f>
        <v>0</v>
      </c>
      <c r="J34" s="172">
        <f>H34+I34*$F34/1000</f>
        <v>0</v>
      </c>
      <c r="K34" s="191">
        <f>IFERROR(J34/J35,"")</f>
        <v>0</v>
      </c>
      <c r="L34" s="191"/>
      <c r="M34" s="191" t="str">
        <f t="shared" si="6"/>
        <v/>
      </c>
      <c r="N34" s="188"/>
      <c r="O34" s="172" cm="1">
        <f t="array" ref="O34">IFERROR(INDEX('Detail inputs'!$B$3:$K$196,MATCH($B34&amp;$G34&amp;O$5,'Detail inputs'!$B$3:$B$196&amp;'Detail inputs'!$G$3:$G$196&amp;'Detail inputs'!$H$3:$H$196,0),MATCH(O$4,'Detail inputs'!$B$3:$K$3,0)),0)</f>
        <v>0</v>
      </c>
      <c r="P34" s="172" cm="1">
        <f t="array" ref="P34">IFERROR(INDEX('Detail inputs'!$B$3:$K$196,MATCH($B34&amp;$G34&amp;P$5,'Detail inputs'!$B$3:$B$196&amp;'Detail inputs'!$G$3:$G$196&amp;'Detail inputs'!$H$3:$H$196,0),MATCH(P$4,'Detail inputs'!$B$3:$K$3,0)),0)</f>
        <v>2.508777659835062</v>
      </c>
      <c r="Q34" s="172">
        <f>O34+P34*$F34/1000</f>
        <v>25.087776598350619</v>
      </c>
      <c r="R34" s="191">
        <f>IFERROR(Q34/Q35,"")</f>
        <v>1.8243620528126395E-2</v>
      </c>
    </row>
    <row r="35" spans="2:18" x14ac:dyDescent="0.25">
      <c r="B35" s="3" t="str">
        <f t="shared" si="5"/>
        <v>Ausgrid</v>
      </c>
      <c r="C35" s="3" t="str">
        <f t="shared" si="5"/>
        <v>Small business</v>
      </c>
      <c r="D35" s="3" t="str">
        <f t="shared" si="5"/>
        <v>without CL</v>
      </c>
      <c r="E35" s="3" t="s">
        <v>22</v>
      </c>
      <c r="F35" s="175">
        <f t="array" ref="F35">IFERROR(INDEX(Usage!$B$5:$P$18,MATCH($B35,Usage!$B$5:$B$18,0),MATCH($C35&amp;$D35&amp;$E35,Usage!$B$5:$S$5&amp;Usage!$B$6:$S$6&amp;Usage!$B$7:$S$7,0)),0)</f>
        <v>10000</v>
      </c>
      <c r="G35" s="3" t="s">
        <v>61</v>
      </c>
      <c r="H35" s="172"/>
      <c r="I35" s="172"/>
      <c r="J35" s="172">
        <f>SUM(J32:J34)</f>
        <v>1280.5177500000002</v>
      </c>
      <c r="K35" s="192"/>
      <c r="L35" s="199"/>
      <c r="M35" s="191">
        <f t="shared" si="6"/>
        <v>7.3904199360333989E-2</v>
      </c>
      <c r="N35" s="197"/>
      <c r="O35" s="172"/>
      <c r="P35" s="172"/>
      <c r="Q35" s="172">
        <f>SUM(Q32:Q34)</f>
        <v>1375.1533890804465</v>
      </c>
      <c r="R35" s="192"/>
    </row>
    <row r="36" spans="2:18" s="5" customFormat="1" outlineLevel="1" x14ac:dyDescent="0.25">
      <c r="B36" s="3" t="str">
        <f t="shared" si="5"/>
        <v>Ausgrid</v>
      </c>
      <c r="C36" s="3" t="str">
        <f t="shared" si="5"/>
        <v>Small business</v>
      </c>
      <c r="D36" s="3" t="str">
        <f t="shared" si="5"/>
        <v>without CL</v>
      </c>
      <c r="E36" s="3"/>
      <c r="F36" s="175"/>
      <c r="G36" s="3" t="s">
        <v>41</v>
      </c>
      <c r="H36" s="172"/>
      <c r="I36" s="172"/>
      <c r="J36" s="172">
        <f>J35*GST</f>
        <v>128.05177500000002</v>
      </c>
      <c r="K36" s="192"/>
      <c r="L36" s="199"/>
      <c r="M36" s="191">
        <f t="shared" si="6"/>
        <v>7.3904199360333989E-2</v>
      </c>
      <c r="N36" s="197"/>
      <c r="O36" s="172"/>
      <c r="P36" s="172"/>
      <c r="Q36" s="172">
        <f>Q35*GST</f>
        <v>137.51533890804464</v>
      </c>
      <c r="R36" s="192"/>
    </row>
    <row r="37" spans="2:18" s="5" customFormat="1" x14ac:dyDescent="0.25">
      <c r="B37" s="3" t="str">
        <f t="shared" si="5"/>
        <v>Ausgrid</v>
      </c>
      <c r="C37" s="3" t="str">
        <f t="shared" si="5"/>
        <v>Small business</v>
      </c>
      <c r="D37" s="3" t="str">
        <f t="shared" si="5"/>
        <v>without CL</v>
      </c>
      <c r="E37" s="3"/>
      <c r="F37" s="175"/>
      <c r="G37" s="5" t="s">
        <v>87</v>
      </c>
      <c r="H37" s="174"/>
      <c r="I37" s="174"/>
      <c r="J37" s="174">
        <f>SUM(J35:J36)</f>
        <v>1408.5695250000003</v>
      </c>
      <c r="K37" s="193"/>
      <c r="L37" s="200"/>
      <c r="M37" s="193">
        <f t="shared" si="6"/>
        <v>7.3904199360333767E-2</v>
      </c>
      <c r="N37" s="198"/>
      <c r="O37" s="174"/>
      <c r="P37" s="174"/>
      <c r="Q37" s="174">
        <f>SUM(Q35:Q36)</f>
        <v>1512.6687279884911</v>
      </c>
      <c r="R37" s="193"/>
    </row>
    <row r="38" spans="2:18" x14ac:dyDescent="0.25">
      <c r="F38" s="175"/>
      <c r="G38" s="58"/>
      <c r="H38" s="172"/>
      <c r="I38" s="172"/>
      <c r="J38" s="172"/>
      <c r="K38" s="191"/>
      <c r="L38" s="199"/>
      <c r="M38" s="191"/>
      <c r="N38" s="197"/>
      <c r="O38" s="172"/>
      <c r="P38" s="172"/>
      <c r="Q38" s="172"/>
      <c r="R38" s="191"/>
    </row>
    <row r="39" spans="2:18" x14ac:dyDescent="0.25">
      <c r="B39" s="5" t="s">
        <v>4</v>
      </c>
      <c r="C39" s="5" t="s">
        <v>6</v>
      </c>
      <c r="D39" s="5" t="s">
        <v>146</v>
      </c>
      <c r="F39" s="175"/>
      <c r="G39" s="58"/>
      <c r="H39" s="172"/>
      <c r="I39" s="172"/>
      <c r="J39" s="172"/>
      <c r="K39" s="191"/>
      <c r="L39" s="199"/>
      <c r="M39" s="191" t="str">
        <f>IF(OR(J39=0,Q39=""),"",Q39/J39-1)</f>
        <v/>
      </c>
      <c r="N39" s="197"/>
      <c r="O39" s="172"/>
      <c r="P39" s="172"/>
      <c r="Q39" s="172"/>
      <c r="R39" s="191"/>
    </row>
    <row r="40" spans="2:18" x14ac:dyDescent="0.25">
      <c r="B40" s="3" t="str">
        <f t="shared" ref="B40:D45" si="7">B$39</f>
        <v>Endeavour</v>
      </c>
      <c r="C40" s="3" t="str">
        <f t="shared" si="7"/>
        <v>Residential</v>
      </c>
      <c r="D40" s="3" t="str">
        <f t="shared" si="7"/>
        <v>without CL</v>
      </c>
      <c r="E40" s="3" t="s">
        <v>22</v>
      </c>
      <c r="F40" s="175">
        <f t="array" ref="F40">IFERROR(INDEX(Usage!$B$5:$P$18,MATCH($B40,Usage!$B$5:$B$18,0),MATCH($C40&amp;$D40&amp;$E40,Usage!$B$5:$S$5&amp;Usage!$B$6:$S$6&amp;Usage!$B$7:$S$7,0)),0)</f>
        <v>4900</v>
      </c>
      <c r="G40" s="3" t="s">
        <v>63</v>
      </c>
      <c r="H40" s="172">
        <f t="array" ref="H40">INDEX('Key inputs'!$B$17:$N$41,MATCH($B40&amp;$C40&amp;$E40,'Key inputs'!$B$17:$B$41&amp;'Key inputs'!$C$17:$C$41&amp;'Key inputs'!$D$17:$D$41,0),MATCH($G40&amp;H$4&amp;H$5,'Key inputs'!$B$18:$N$18&amp;'Key inputs'!$B$19:$N$19&amp;'Key inputs'!$B$20:$N$20,0))</f>
        <v>159.61450000000002</v>
      </c>
      <c r="I40" s="172">
        <f t="array" ref="I40">INDEX('Key inputs'!$B$17:$N$41,MATCH($B40&amp;$C40&amp;$E40,'Key inputs'!$B$17:$B$41&amp;'Key inputs'!$C$17:$C$41&amp;'Key inputs'!$D$17:$D$41,0),MATCH($G40&amp;I$4&amp;I$5,'Key inputs'!$B$18:$N$18&amp;'Key inputs'!$B$19:$N$19&amp;'Key inputs'!$B$20:$N$20,0))</f>
        <v>84.179999999999993</v>
      </c>
      <c r="J40" s="172">
        <f>H40+I40*$F40/1000</f>
        <v>572.09649999999988</v>
      </c>
      <c r="K40" s="191">
        <f>IFERROR(J40/J43,"")</f>
        <v>0.96270970532085054</v>
      </c>
      <c r="L40" s="191"/>
      <c r="M40" s="191">
        <f t="shared" ref="M40:M45" si="8">IF(OR(J40=0,J40="",Q40=""),"",Q40/J40-1)</f>
        <v>-1.3524641384801139E-2</v>
      </c>
      <c r="N40" s="188"/>
      <c r="O40" s="172">
        <f t="array" ref="O40">INDEX('Key inputs'!$B$17:$N$41,MATCH($B40&amp;$C40&amp;$E40,'Key inputs'!$B$17:$B$41&amp;'Key inputs'!$C$17:$C$41&amp;'Key inputs'!$D$17:$D$41,0),MATCH($G40&amp;O$4&amp;O$5,'Key inputs'!$B$18:$N$18&amp;'Key inputs'!$B$19:$N$19&amp;'Key inputs'!$B$20:$N$20,0))</f>
        <v>167.59139999999999</v>
      </c>
      <c r="P40" s="172">
        <f t="array" ref="P40">INDEX('Key inputs'!$B$17:$N$41,MATCH($B40&amp;$C40&amp;$E40,'Key inputs'!$B$17:$B$41&amp;'Key inputs'!$C$17:$C$41&amp;'Key inputs'!$D$17:$D$41,0),MATCH($G40&amp;P$4&amp;P$5,'Key inputs'!$B$18:$N$18&amp;'Key inputs'!$B$19:$N$19&amp;'Key inputs'!$B$20:$N$20,0))</f>
        <v>80.972999999999999</v>
      </c>
      <c r="Q40" s="172">
        <f>O40+P40*$F40/1000</f>
        <v>564.35910000000001</v>
      </c>
      <c r="R40" s="191">
        <f>IFERROR(Q40/Q43,"")</f>
        <v>0.93586374909447834</v>
      </c>
    </row>
    <row r="41" spans="2:18" x14ac:dyDescent="0.25">
      <c r="B41" s="3" t="str">
        <f t="shared" si="7"/>
        <v>Endeavour</v>
      </c>
      <c r="C41" s="3" t="str">
        <f t="shared" si="7"/>
        <v>Residential</v>
      </c>
      <c r="D41" s="3" t="str">
        <f t="shared" si="7"/>
        <v>without CL</v>
      </c>
      <c r="E41" s="3" t="s">
        <v>22</v>
      </c>
      <c r="F41" s="175">
        <f t="array" ref="F41">IFERROR(INDEX(Usage!$B$5:$P$18,MATCH($B41,Usage!$B$5:$B$18,0),MATCH($C41&amp;$D41&amp;$E41,Usage!$B$5:$S$5&amp;Usage!$B$6:$S$6&amp;Usage!$B$7:$S$7,0)),0)</f>
        <v>4900</v>
      </c>
      <c r="G41" s="3" t="s">
        <v>67</v>
      </c>
      <c r="H41" s="172">
        <f t="array" ref="H41">INDEX('Key inputs'!$B$17:$N$41,MATCH($B41&amp;$C41&amp;$E41,'Key inputs'!$B$17:$B$41&amp;'Key inputs'!$C$17:$C$41&amp;'Key inputs'!$D$17:$D$41,0),MATCH($G41&amp;H$4&amp;H$5,'Key inputs'!$B$18:$N$18&amp;'Key inputs'!$B$19:$N$19&amp;'Key inputs'!$B$20:$N$20,0))</f>
        <v>22.159999999999997</v>
      </c>
      <c r="I41" s="172">
        <f>IFERROR(INDEX('Detail inputs'!$B$3:$K$196,MATCH($B41&amp;$C41&amp;$E41&amp;$G41&amp;I$5,'Detail inputs'!$B$3:$B$196&amp;'Detail inputs'!$D$3:$D$196&amp;'Detail inputs'!$F$3:$F$196&amp;'Detail inputs'!$G$3:$G$196&amp;'Detail inputs'!$H$3:$H$196,0),MATCH(I$4,'Detail inputs'!$B$3:$K$3,0)),0)</f>
        <v>0</v>
      </c>
      <c r="J41" s="172">
        <f>H41+I41*$F41/1000</f>
        <v>22.159999999999997</v>
      </c>
      <c r="K41" s="191">
        <f>IFERROR(J41/J43,"")</f>
        <v>3.7290294679149495E-2</v>
      </c>
      <c r="L41" s="191"/>
      <c r="M41" s="191">
        <f t="shared" si="8"/>
        <v>9.8826714801444115E-2</v>
      </c>
      <c r="N41" s="188"/>
      <c r="O41" s="172">
        <f t="array" ref="O41">INDEX('Key inputs'!$B$17:$N$41,MATCH($B41&amp;$C41&amp;$E41,'Key inputs'!$B$17:$B$41&amp;'Key inputs'!$C$17:$C$41&amp;'Key inputs'!$D$17:$D$41,0),MATCH($G41&amp;O$4&amp;O$5,'Key inputs'!$B$18:$N$18&amp;'Key inputs'!$B$19:$N$19&amp;'Key inputs'!$B$20:$N$20,0))</f>
        <v>24.349999999999998</v>
      </c>
      <c r="P41" s="172">
        <f>IFERROR(INDEX('Detail inputs'!$B$3:$K$196,MATCH($B41&amp;$C41&amp;$E41&amp;$G41&amp;P$5,'Detail inputs'!$B$3:$B$196&amp;'Detail inputs'!$D$3:$D$196&amp;'Detail inputs'!$F$3:$F$196&amp;'Detail inputs'!$G$3:$G$196&amp;'Detail inputs'!$H$3:$H$196,0),MATCH(P$4,'Detail inputs'!$B$3:$K$3,0)),0)</f>
        <v>0</v>
      </c>
      <c r="Q41" s="172">
        <f>O41+P41*$F41/1000</f>
        <v>24.349999999999998</v>
      </c>
      <c r="R41" s="191">
        <f>IFERROR(Q41/Q43,"")</f>
        <v>4.0379046409370463E-2</v>
      </c>
    </row>
    <row r="42" spans="2:18" x14ac:dyDescent="0.25">
      <c r="B42" s="3" t="str">
        <f t="shared" si="7"/>
        <v>Endeavour</v>
      </c>
      <c r="C42" s="3" t="str">
        <f t="shared" si="7"/>
        <v>Residential</v>
      </c>
      <c r="D42" s="3" t="str">
        <f t="shared" si="7"/>
        <v>without CL</v>
      </c>
      <c r="E42" s="3" t="s">
        <v>22</v>
      </c>
      <c r="F42" s="175">
        <f t="array" ref="F42">IFERROR(INDEX(Usage!$B$5:$P$18,MATCH($B42,Usage!$B$5:$B$18,0),MATCH($C42&amp;$D42&amp;$E42,Usage!$B$5:$S$5&amp;Usage!$B$6:$S$6&amp;Usage!$B$7:$S$7,0)),0)</f>
        <v>4900</v>
      </c>
      <c r="G42" s="3" t="s">
        <v>248</v>
      </c>
      <c r="H42" s="172" cm="1">
        <f t="array" ref="H42">IFERROR(INDEX('Detail inputs'!$B$3:$K$196,MATCH($B42&amp;$G42&amp;H$5,'Detail inputs'!$B$3:$B$196&amp;'Detail inputs'!$G$3:$G$196&amp;'Detail inputs'!$H$3:$H$196,0),MATCH(H$4,'Detail inputs'!$B$3:$K$3,0)),0)</f>
        <v>0</v>
      </c>
      <c r="I42" s="172" cm="1">
        <f t="array" ref="I42">IFERROR(INDEX('Detail inputs'!$B$3:$K$196,MATCH($B42&amp;$G42&amp;I$5,'Detail inputs'!$B$3:$B$196&amp;'Detail inputs'!$G$3:$G$196&amp;'Detail inputs'!$H$3:$H$196,0),MATCH(I$4,'Detail inputs'!$B$3:$K$3,0)),0)</f>
        <v>0</v>
      </c>
      <c r="J42" s="172">
        <f>H42+I42*$F42/1000</f>
        <v>0</v>
      </c>
      <c r="K42" s="191">
        <f>IFERROR(J42/J43,"")</f>
        <v>0</v>
      </c>
      <c r="L42" s="191"/>
      <c r="M42" s="191" t="str">
        <f t="shared" si="8"/>
        <v/>
      </c>
      <c r="N42" s="188"/>
      <c r="O42" s="172" cm="1">
        <f t="array" ref="O42">IFERROR(INDEX('Detail inputs'!$B$3:$K$196,MATCH($B42&amp;$G42&amp;O$5,'Detail inputs'!$B$3:$B$196&amp;'Detail inputs'!$G$3:$G$196&amp;'Detail inputs'!$H$3:$H$196,0),MATCH(O$4,'Detail inputs'!$B$3:$K$3,0)),0)</f>
        <v>0</v>
      </c>
      <c r="P42" s="172" cm="1">
        <f t="array" ref="P42">IFERROR(INDEX('Detail inputs'!$B$3:$K$196,MATCH($B42&amp;$G42&amp;P$5,'Detail inputs'!$B$3:$B$196&amp;'Detail inputs'!$G$3:$G$196&amp;'Detail inputs'!$H$3:$H$196,0),MATCH(P$4,'Detail inputs'!$B$3:$K$3,0)),0)</f>
        <v>2.9237629814663486</v>
      </c>
      <c r="Q42" s="172">
        <f>O42+P42*$F42/1000</f>
        <v>14.326438609185109</v>
      </c>
      <c r="R42" s="191">
        <f>IFERROR(Q42/Q43,"")</f>
        <v>2.3757204496151228E-2</v>
      </c>
    </row>
    <row r="43" spans="2:18" x14ac:dyDescent="0.25">
      <c r="B43" s="3" t="str">
        <f t="shared" si="7"/>
        <v>Endeavour</v>
      </c>
      <c r="C43" s="3" t="str">
        <f t="shared" si="7"/>
        <v>Residential</v>
      </c>
      <c r="D43" s="3" t="str">
        <f t="shared" si="7"/>
        <v>without CL</v>
      </c>
      <c r="E43" s="3" t="s">
        <v>22</v>
      </c>
      <c r="F43" s="175">
        <f t="array" ref="F43">IFERROR(INDEX(Usage!$B$5:$P$18,MATCH($B43,Usage!$B$5:$B$18,0),MATCH($C43&amp;$D43&amp;$E43,Usage!$B$5:$S$5&amp;Usage!$B$6:$S$6&amp;Usage!$B$7:$S$7,0)),0)</f>
        <v>4900</v>
      </c>
      <c r="G43" s="3" t="s">
        <v>61</v>
      </c>
      <c r="H43" s="172"/>
      <c r="I43" s="172"/>
      <c r="J43" s="172">
        <f>SUM(J40:J42)</f>
        <v>594.25649999999985</v>
      </c>
      <c r="K43" s="192"/>
      <c r="L43" s="199"/>
      <c r="M43" s="191">
        <f t="shared" si="8"/>
        <v>1.4773146964627726E-2</v>
      </c>
      <c r="N43" s="197"/>
      <c r="O43" s="172"/>
      <c r="P43" s="172"/>
      <c r="Q43" s="172">
        <f>SUM(Q40:Q42)</f>
        <v>603.0355386091851</v>
      </c>
      <c r="R43" s="192"/>
    </row>
    <row r="44" spans="2:18" outlineLevel="1" x14ac:dyDescent="0.25">
      <c r="B44" s="3" t="str">
        <f t="shared" si="7"/>
        <v>Endeavour</v>
      </c>
      <c r="C44" s="3" t="str">
        <f t="shared" si="7"/>
        <v>Residential</v>
      </c>
      <c r="D44" s="3" t="str">
        <f t="shared" si="7"/>
        <v>without CL</v>
      </c>
      <c r="F44" s="175"/>
      <c r="G44" s="3" t="s">
        <v>41</v>
      </c>
      <c r="H44" s="172"/>
      <c r="I44" s="172"/>
      <c r="J44" s="172">
        <f>J43*GST</f>
        <v>59.42564999999999</v>
      </c>
      <c r="K44" s="192"/>
      <c r="L44" s="199"/>
      <c r="M44" s="191">
        <f t="shared" si="8"/>
        <v>1.4773146964627504E-2</v>
      </c>
      <c r="N44" s="197"/>
      <c r="O44" s="172"/>
      <c r="P44" s="172"/>
      <c r="Q44" s="172">
        <f>Q43*GST</f>
        <v>60.303553860918512</v>
      </c>
      <c r="R44" s="192"/>
    </row>
    <row r="45" spans="2:18" x14ac:dyDescent="0.25">
      <c r="B45" s="3" t="str">
        <f t="shared" si="7"/>
        <v>Endeavour</v>
      </c>
      <c r="C45" s="3" t="str">
        <f t="shared" si="7"/>
        <v>Residential</v>
      </c>
      <c r="D45" s="3" t="str">
        <f t="shared" si="7"/>
        <v>without CL</v>
      </c>
      <c r="F45" s="175"/>
      <c r="G45" s="5" t="s">
        <v>87</v>
      </c>
      <c r="H45" s="174"/>
      <c r="I45" s="174"/>
      <c r="J45" s="174">
        <f>SUM(J43:J44)</f>
        <v>653.68214999999987</v>
      </c>
      <c r="K45" s="193"/>
      <c r="L45" s="200"/>
      <c r="M45" s="193">
        <f t="shared" si="8"/>
        <v>1.4773146964627726E-2</v>
      </c>
      <c r="N45" s="198"/>
      <c r="O45" s="174"/>
      <c r="P45" s="174"/>
      <c r="Q45" s="174">
        <f>SUM(Q43:Q44)</f>
        <v>663.33909247010365</v>
      </c>
      <c r="R45" s="193"/>
    </row>
    <row r="46" spans="2:18" x14ac:dyDescent="0.25">
      <c r="F46" s="175"/>
      <c r="H46" s="172"/>
      <c r="I46" s="172"/>
      <c r="J46" s="172"/>
      <c r="K46" s="191"/>
      <c r="L46" s="199"/>
      <c r="M46" s="191"/>
      <c r="N46" s="197"/>
      <c r="O46" s="172"/>
      <c r="P46" s="172"/>
      <c r="Q46" s="172"/>
      <c r="R46" s="191"/>
    </row>
    <row r="47" spans="2:18" x14ac:dyDescent="0.25">
      <c r="B47" s="5" t="s">
        <v>4</v>
      </c>
      <c r="C47" s="5" t="s">
        <v>6</v>
      </c>
      <c r="D47" s="5" t="s">
        <v>147</v>
      </c>
      <c r="F47" s="175"/>
      <c r="H47" s="172"/>
      <c r="I47" s="172"/>
      <c r="J47" s="172"/>
      <c r="K47" s="191"/>
      <c r="L47" s="199"/>
      <c r="M47" s="191"/>
      <c r="N47" s="197"/>
      <c r="O47" s="172"/>
      <c r="P47" s="172"/>
      <c r="Q47" s="172"/>
      <c r="R47" s="191"/>
    </row>
    <row r="48" spans="2:18" x14ac:dyDescent="0.25">
      <c r="B48" s="3" t="str">
        <f t="shared" ref="B48:D60" si="9">B$47</f>
        <v>Endeavour</v>
      </c>
      <c r="C48" s="3" t="str">
        <f t="shared" si="9"/>
        <v>Residential</v>
      </c>
      <c r="D48" s="3" t="str">
        <f t="shared" si="9"/>
        <v>with CL</v>
      </c>
      <c r="E48" s="3" t="s">
        <v>22</v>
      </c>
      <c r="F48" s="175">
        <f t="array" ref="F48">IFERROR(INDEX(Usage!$B$5:$P$18,MATCH($B48,Usage!$B$5:$B$18,0),MATCH($C48&amp;$D48&amp;$E48,Usage!$B$5:$S$5&amp;Usage!$B$6:$S$6&amp;Usage!$B$7:$S$7,0)),0)</f>
        <v>5200</v>
      </c>
      <c r="G48" s="3" t="s">
        <v>63</v>
      </c>
      <c r="H48" s="172">
        <f t="array" ref="H48">INDEX('Key inputs'!$B$17:$N$41,MATCH($B48&amp;$C48&amp;$E48,'Key inputs'!$B$17:$B$41&amp;'Key inputs'!$C$17:$C$41&amp;'Key inputs'!$D$17:$D$41,0),MATCH($G48&amp;H$4&amp;H$5,'Key inputs'!$B$18:$N$18&amp;'Key inputs'!$B$19:$N$19&amp;'Key inputs'!$B$20:$N$20,0))</f>
        <v>159.61450000000002</v>
      </c>
      <c r="I48" s="172">
        <f t="array" ref="I48">INDEX('Key inputs'!$B$17:$N$41,MATCH($B48&amp;$C48&amp;$E48,'Key inputs'!$B$17:$B$41&amp;'Key inputs'!$C$17:$C$41&amp;'Key inputs'!$D$17:$D$41,0),MATCH($G48&amp;I$4&amp;I$5,'Key inputs'!$B$18:$N$18&amp;'Key inputs'!$B$19:$N$19&amp;'Key inputs'!$B$20:$N$20,0))</f>
        <v>84.179999999999993</v>
      </c>
      <c r="J48" s="172">
        <f>H48+I48*$F48/1000</f>
        <v>597.35050000000001</v>
      </c>
      <c r="K48" s="191">
        <f>IFERROR(J48/J50,"")</f>
        <v>0.96422982338475305</v>
      </c>
      <c r="L48" s="191"/>
      <c r="M48" s="191">
        <f t="shared" ref="M48:M60" si="10">IF(OR(J48=0,J48="",Q48=""),"",Q48/J48-1)</f>
        <v>-1.4563476551873733E-2</v>
      </c>
      <c r="N48" s="188"/>
      <c r="O48" s="172">
        <f t="array" ref="O48">INDEX('Key inputs'!$B$17:$N$41,MATCH($B48&amp;$C48&amp;$E48,'Key inputs'!$B$17:$B$41&amp;'Key inputs'!$C$17:$C$41&amp;'Key inputs'!$D$17:$D$41,0),MATCH($G48&amp;O$4&amp;O$5,'Key inputs'!$B$18:$N$18&amp;'Key inputs'!$B$19:$N$19&amp;'Key inputs'!$B$20:$N$20,0))</f>
        <v>167.59139999999999</v>
      </c>
      <c r="P48" s="172">
        <f t="array" ref="P48">INDEX('Key inputs'!$B$17:$N$41,MATCH($B48&amp;$C48&amp;$E48,'Key inputs'!$B$17:$B$41&amp;'Key inputs'!$C$17:$C$41&amp;'Key inputs'!$D$17:$D$41,0),MATCH($G48&amp;P$4&amp;P$5,'Key inputs'!$B$18:$N$18&amp;'Key inputs'!$B$19:$N$19&amp;'Key inputs'!$B$20:$N$20,0))</f>
        <v>80.972999999999999</v>
      </c>
      <c r="Q48" s="172">
        <f>O48+P48*$F48/1000</f>
        <v>588.65099999999995</v>
      </c>
      <c r="R48" s="191">
        <f>IFERROR(Q48/Q50,"")</f>
        <v>0.9602773894332961</v>
      </c>
    </row>
    <row r="49" spans="2:18" x14ac:dyDescent="0.25">
      <c r="B49" s="3" t="str">
        <f t="shared" si="9"/>
        <v>Endeavour</v>
      </c>
      <c r="C49" s="3" t="str">
        <f t="shared" si="9"/>
        <v>Residential</v>
      </c>
      <c r="D49" s="3" t="str">
        <f t="shared" si="9"/>
        <v>with CL</v>
      </c>
      <c r="E49" s="3" t="s">
        <v>22</v>
      </c>
      <c r="F49" s="175">
        <f t="array" ref="F49">IFERROR(INDEX(Usage!$B$5:$P$18,MATCH($B49,Usage!$B$5:$B$18,0),MATCH($C49&amp;$D49&amp;$E49,Usage!$B$5:$S$5&amp;Usage!$B$6:$S$6&amp;Usage!$B$7:$S$7,0)),0)</f>
        <v>5200</v>
      </c>
      <c r="G49" s="3" t="s">
        <v>67</v>
      </c>
      <c r="H49" s="172">
        <f t="array" ref="H49">INDEX('Key inputs'!$B$17:$N$41,MATCH($B49&amp;$C49&amp;$E49,'Key inputs'!$B$17:$B$41&amp;'Key inputs'!$C$17:$C$41&amp;'Key inputs'!$D$17:$D$41,0),MATCH($G49&amp;H$4&amp;H$5,'Key inputs'!$B$18:$N$18&amp;'Key inputs'!$B$19:$N$19&amp;'Key inputs'!$B$20:$N$20,0))</f>
        <v>22.159999999999997</v>
      </c>
      <c r="I49" s="172">
        <f>IFERROR(INDEX('Detail inputs'!$B$3:$K$196,MATCH($B49&amp;$C49&amp;$E49&amp;$G49&amp;I$5,'Detail inputs'!$B$3:$B$196&amp;'Detail inputs'!$D$3:$D$196&amp;'Detail inputs'!$F$3:$F$196&amp;'Detail inputs'!$G$3:$G$196&amp;'Detail inputs'!$H$3:$H$196,0),MATCH(I$4,'Detail inputs'!$B$3:$K$3,0)),0)</f>
        <v>0</v>
      </c>
      <c r="J49" s="172">
        <f>H49+I49*$F49/1000</f>
        <v>22.159999999999997</v>
      </c>
      <c r="K49" s="191">
        <f>IFERROR(J49/J50,"")</f>
        <v>3.5770176615247035E-2</v>
      </c>
      <c r="L49" s="191"/>
      <c r="M49" s="191">
        <f t="shared" si="10"/>
        <v>9.8826714801444115E-2</v>
      </c>
      <c r="N49" s="188"/>
      <c r="O49" s="172">
        <f t="array" ref="O49">INDEX('Key inputs'!$B$17:$N$41,MATCH($B49&amp;$C49&amp;$E49,'Key inputs'!$B$17:$B$41&amp;'Key inputs'!$C$17:$C$41&amp;'Key inputs'!$D$17:$D$41,0),MATCH($G49&amp;O$4&amp;O$5,'Key inputs'!$B$18:$N$18&amp;'Key inputs'!$B$19:$N$19&amp;'Key inputs'!$B$20:$N$20,0))</f>
        <v>24.349999999999998</v>
      </c>
      <c r="P49" s="172">
        <f>IFERROR(INDEX('Detail inputs'!$B$3:$K$196,MATCH($B49&amp;$C49&amp;$E49&amp;$G49&amp;P$5,'Detail inputs'!$B$3:$B$196&amp;'Detail inputs'!$D$3:$D$196&amp;'Detail inputs'!$F$3:$F$196&amp;'Detail inputs'!$G$3:$G$196&amp;'Detail inputs'!$H$3:$H$196,0),MATCH(P$4,'Detail inputs'!$B$3:$K$3,0)),0)</f>
        <v>0</v>
      </c>
      <c r="Q49" s="172">
        <f>O49+P49*$F49/1000</f>
        <v>24.349999999999998</v>
      </c>
      <c r="R49" s="191">
        <f>IFERROR(Q49/Q50,"")</f>
        <v>3.9722610566703807E-2</v>
      </c>
    </row>
    <row r="50" spans="2:18" x14ac:dyDescent="0.25">
      <c r="B50" s="3" t="str">
        <f t="shared" si="9"/>
        <v>Endeavour</v>
      </c>
      <c r="C50" s="3" t="str">
        <f t="shared" si="9"/>
        <v>Residential</v>
      </c>
      <c r="D50" s="3" t="str">
        <f t="shared" si="9"/>
        <v>with CL</v>
      </c>
      <c r="E50" s="3" t="s">
        <v>22</v>
      </c>
      <c r="F50" s="175">
        <f t="array" ref="F50">IFERROR(INDEX(Usage!$B$5:$P$18,MATCH($B50,Usage!$B$5:$B$18,0),MATCH($C50&amp;$D50&amp;$E50,Usage!$B$5:$S$5&amp;Usage!$B$6:$S$6&amp;Usage!$B$7:$S$7,0)),0)</f>
        <v>5200</v>
      </c>
      <c r="G50" s="3" t="s">
        <v>61</v>
      </c>
      <c r="H50" s="172"/>
      <c r="I50" s="172"/>
      <c r="J50" s="172">
        <f>SUM(J48:J49)</f>
        <v>619.51049999999998</v>
      </c>
      <c r="K50" s="191"/>
      <c r="L50" s="199"/>
      <c r="M50" s="191">
        <f t="shared" si="10"/>
        <v>-1.0507489380728874E-2</v>
      </c>
      <c r="N50" s="197"/>
      <c r="O50" s="172"/>
      <c r="P50" s="172"/>
      <c r="Q50" s="172">
        <f>SUM(Q48:Q49)</f>
        <v>613.00099999999998</v>
      </c>
      <c r="R50" s="191"/>
    </row>
    <row r="51" spans="2:18" x14ac:dyDescent="0.25">
      <c r="B51" s="3" t="str">
        <f t="shared" si="9"/>
        <v>Endeavour</v>
      </c>
      <c r="C51" s="3" t="str">
        <f t="shared" si="9"/>
        <v>Residential</v>
      </c>
      <c r="D51" s="3" t="str">
        <f t="shared" si="9"/>
        <v>with CL</v>
      </c>
      <c r="E51" s="3" t="s">
        <v>16</v>
      </c>
      <c r="F51" s="175">
        <f t="array" ref="F51">IFERROR(INDEX(Usage!$B$5:$P$18,MATCH($B51,Usage!$B$5:$B$18,0),MATCH($C51&amp;$D51&amp;$E51,Usage!$B$5:$S$5&amp;Usage!$B$6:$S$6&amp;Usage!$B$7:$S$7,0)),0)</f>
        <v>1474</v>
      </c>
      <c r="G51" s="3" t="s">
        <v>63</v>
      </c>
      <c r="H51" s="172">
        <f t="array" ref="H51">INDEX('Key inputs'!$B$17:$N$41,MATCH($B51&amp;$C51&amp;$E51,'Key inputs'!$B$17:$B$41&amp;'Key inputs'!$C$17:$C$41&amp;'Key inputs'!$D$17:$D$41,0),MATCH($G51&amp;H$4&amp;H$5,'Key inputs'!$B$18:$N$18&amp;'Key inputs'!$B$19:$N$19&amp;'Key inputs'!$B$20:$N$20,0))</f>
        <v>16.279</v>
      </c>
      <c r="I51" s="172">
        <f t="array" ref="I51">INDEX('Key inputs'!$B$17:$N$41,MATCH($B51&amp;$C51&amp;$E51,'Key inputs'!$B$17:$B$41&amp;'Key inputs'!$C$17:$C$41&amp;'Key inputs'!$D$17:$D$41,0),MATCH($G51&amp;I$4&amp;I$5,'Key inputs'!$B$18:$N$18&amp;'Key inputs'!$B$19:$N$19&amp;'Key inputs'!$B$20:$N$20,0))</f>
        <v>19.273</v>
      </c>
      <c r="J51" s="172">
        <f>H51*INDEX(Usage!$B$4:$M$18,MATCH($B51,Usage!$B$4:$B$18,0),MATCH(IF($E51="CL1","CL1 Proportion","CL2 Proportion"),Usage!$B$8:$M$8,0))+I51*$F51/1000</f>
        <v>39.315331999999998</v>
      </c>
      <c r="K51" s="191">
        <f>IFERROR(J51/J53,"")</f>
        <v>0.89003421831772067</v>
      </c>
      <c r="L51" s="191"/>
      <c r="M51" s="191">
        <f t="shared" si="10"/>
        <v>-4.3466553964239596E-2</v>
      </c>
      <c r="N51" s="188"/>
      <c r="O51" s="172">
        <f t="array" ref="O51">INDEX('Key inputs'!$B$17:$N$41,MATCH($B51&amp;$C51&amp;$E51,'Key inputs'!$B$17:$B$41&amp;'Key inputs'!$C$17:$C$41&amp;'Key inputs'!$D$17:$D$41,0),MATCH($G51&amp;O$4&amp;O$5,'Key inputs'!$B$18:$N$18&amp;'Key inputs'!$B$19:$N$19&amp;'Key inputs'!$B$20:$N$20,0))</f>
        <v>19.5078</v>
      </c>
      <c r="P51" s="172">
        <f t="array" ref="P51">INDEX('Key inputs'!$B$17:$N$41,MATCH($B51&amp;$C51&amp;$E51,'Key inputs'!$B$17:$B$41&amp;'Key inputs'!$C$17:$C$41&amp;'Key inputs'!$D$17:$D$41,0),MATCH($G51&amp;P$4&amp;P$5,'Key inputs'!$B$18:$N$18&amp;'Key inputs'!$B$19:$N$19&amp;'Key inputs'!$B$20:$N$20,0))</f>
        <v>16.646000000000001</v>
      </c>
      <c r="Q51" s="172">
        <f>O51*INDEX(Usage!$B$4:$M$18,MATCH($B51,Usage!$B$4:$B$18,0),MATCH(IF($E51="CL1","CL1 Proportion","CL2 Proportion"),Usage!$B$8:$M$8,0))+P51*$F51/1000</f>
        <v>37.606430000000003</v>
      </c>
      <c r="R51" s="191">
        <f>IFERROR(Q51/Q53,"")</f>
        <v>0.87579771879729751</v>
      </c>
    </row>
    <row r="52" spans="2:18" x14ac:dyDescent="0.25">
      <c r="B52" s="3" t="str">
        <f t="shared" si="9"/>
        <v>Endeavour</v>
      </c>
      <c r="C52" s="3" t="str">
        <f t="shared" si="9"/>
        <v>Residential</v>
      </c>
      <c r="D52" s="3" t="str">
        <f t="shared" si="9"/>
        <v>with CL</v>
      </c>
      <c r="E52" s="3" t="s">
        <v>16</v>
      </c>
      <c r="F52" s="175">
        <f t="array" ref="F52">IFERROR(INDEX(Usage!$B$5:$P$18,MATCH($B52,Usage!$B$5:$B$18,0),MATCH($C52&amp;$D52&amp;$E52,Usage!$B$5:$S$5&amp;Usage!$B$6:$S$6&amp;Usage!$B$7:$S$7,0)),0)</f>
        <v>1474</v>
      </c>
      <c r="G52" s="3" t="s">
        <v>67</v>
      </c>
      <c r="H52" s="172">
        <f t="array" ref="H52">INDEX('Key inputs'!$B$17:$N$41,MATCH($B52&amp;$C52&amp;$E52,'Key inputs'!$B$17:$B$41&amp;'Key inputs'!$C$17:$C$41&amp;'Key inputs'!$D$17:$D$41,0),MATCH($G52&amp;H$4&amp;H$5,'Key inputs'!$B$18:$N$18&amp;'Key inputs'!$B$19:$N$19&amp;'Key inputs'!$B$20:$N$20,0))</f>
        <v>7.25</v>
      </c>
      <c r="I52" s="172">
        <f>IFERROR(INDEX('Detail inputs'!$B$3:$K$196,MATCH($B52&amp;$C52&amp;$E52&amp;$G52&amp;I$5,'Detail inputs'!$B$3:$B$196&amp;'Detail inputs'!$D$3:$D$196&amp;'Detail inputs'!$F$3:$F$196&amp;'Detail inputs'!$G$3:$G$196&amp;'Detail inputs'!$H$3:$H$196,0),MATCH(I$4,'Detail inputs'!$B$3:$K$3,0)),0)</f>
        <v>0</v>
      </c>
      <c r="J52" s="172">
        <f>H52*INDEX(Usage!$B$4:$M$18,MATCH($B52,Usage!$B$4:$B$18,0),MATCH(IF($E52="CL1","CL1 Proportion","CL2 Proportion"),Usage!$B$8:$M$8,0))+I52*$F52/1000</f>
        <v>4.8574999999999999</v>
      </c>
      <c r="K52" s="191">
        <f>IFERROR(J52/J53,"")</f>
        <v>0.10996578168227927</v>
      </c>
      <c r="L52" s="191"/>
      <c r="M52" s="191">
        <f t="shared" si="10"/>
        <v>9.7931034482758861E-2</v>
      </c>
      <c r="N52" s="188"/>
      <c r="O52" s="172">
        <f t="array" ref="O52">INDEX('Key inputs'!$B$17:$N$41,MATCH($B52&amp;$C52&amp;$E52,'Key inputs'!$B$17:$B$41&amp;'Key inputs'!$C$17:$C$41&amp;'Key inputs'!$D$17:$D$41,0),MATCH($G52&amp;O$4&amp;O$5,'Key inputs'!$B$18:$N$18&amp;'Key inputs'!$B$19:$N$19&amp;'Key inputs'!$B$20:$N$20,0))</f>
        <v>7.96</v>
      </c>
      <c r="P52" s="172">
        <f>IFERROR(INDEX('Detail inputs'!$B$3:$K$196,MATCH($B52&amp;$C52&amp;$E52&amp;$G52&amp;P$5,'Detail inputs'!$B$3:$B$196&amp;'Detail inputs'!$D$3:$D$196&amp;'Detail inputs'!$F$3:$F$196&amp;'Detail inputs'!$G$3:$G$196&amp;'Detail inputs'!$H$3:$H$196,0),MATCH(P$4,'Detail inputs'!$B$3:$K$3,0)),0)</f>
        <v>0</v>
      </c>
      <c r="Q52" s="172">
        <f>O52*INDEX(Usage!$B$4:$M$18,MATCH($B52,Usage!$B$4:$B$18,0),MATCH(IF($E52="CL1","CL1 Proportion","CL2 Proportion"),Usage!$B$8:$M$8,0))+P52*$F52/1000</f>
        <v>5.3332000000000006</v>
      </c>
      <c r="R52" s="191">
        <f>IFERROR(Q52/Q53,"")</f>
        <v>0.12420228120270251</v>
      </c>
    </row>
    <row r="53" spans="2:18" x14ac:dyDescent="0.25">
      <c r="B53" s="3" t="str">
        <f t="shared" si="9"/>
        <v>Endeavour</v>
      </c>
      <c r="C53" s="3" t="str">
        <f t="shared" si="9"/>
        <v>Residential</v>
      </c>
      <c r="D53" s="3" t="str">
        <f t="shared" si="9"/>
        <v>with CL</v>
      </c>
      <c r="E53" s="3" t="s">
        <v>16</v>
      </c>
      <c r="F53" s="175">
        <f t="array" ref="F53">IFERROR(INDEX(Usage!$B$5:$P$18,MATCH($B53,Usage!$B$5:$B$18,0),MATCH($C53&amp;$D53&amp;$E53,Usage!$B$5:$S$5&amp;Usage!$B$6:$S$6&amp;Usage!$B$7:$S$7,0)),0)</f>
        <v>1474</v>
      </c>
      <c r="G53" s="3" t="s">
        <v>61</v>
      </c>
      <c r="H53" s="172"/>
      <c r="I53" s="172"/>
      <c r="J53" s="172">
        <f>SUM(J51:J52)</f>
        <v>44.172832</v>
      </c>
      <c r="K53" s="191"/>
      <c r="L53" s="199"/>
      <c r="M53" s="191">
        <f t="shared" si="10"/>
        <v>-2.7917657622676284E-2</v>
      </c>
      <c r="N53" s="197"/>
      <c r="O53" s="172"/>
      <c r="P53" s="172"/>
      <c r="Q53" s="172">
        <f>SUM(Q51:Q52)</f>
        <v>42.939630000000001</v>
      </c>
      <c r="R53" s="191"/>
    </row>
    <row r="54" spans="2:18" x14ac:dyDescent="0.25">
      <c r="B54" s="3" t="str">
        <f t="shared" si="9"/>
        <v>Endeavour</v>
      </c>
      <c r="C54" s="3" t="str">
        <f t="shared" si="9"/>
        <v>Residential</v>
      </c>
      <c r="D54" s="3" t="str">
        <f t="shared" si="9"/>
        <v>with CL</v>
      </c>
      <c r="E54" s="3" t="s">
        <v>17</v>
      </c>
      <c r="F54" s="175">
        <f t="array" ref="F54">IFERROR(INDEX(Usage!$B$5:$P$18,MATCH($B54,Usage!$B$5:$B$18,0),MATCH($C54&amp;$D54&amp;$E54,Usage!$B$5:$S$5&amp;Usage!$B$6:$S$6&amp;Usage!$B$7:$S$7,0)),0)</f>
        <v>726</v>
      </c>
      <c r="G54" s="3" t="s">
        <v>63</v>
      </c>
      <c r="H54" s="172">
        <f t="array" ref="H54">INDEX('Key inputs'!$B$17:$N$41,MATCH($B54&amp;$C54&amp;$E54,'Key inputs'!$B$17:$B$41&amp;'Key inputs'!$C$17:$C$41&amp;'Key inputs'!$D$17:$D$41,0),MATCH($G54&amp;H$4&amp;H$5,'Key inputs'!$B$18:$N$18&amp;'Key inputs'!$B$19:$N$19&amp;'Key inputs'!$B$20:$N$20,0))</f>
        <v>16.279</v>
      </c>
      <c r="I54" s="172">
        <f t="array" ref="I54">INDEX('Key inputs'!$B$17:$N$41,MATCH($B54&amp;$C54&amp;$E54,'Key inputs'!$B$17:$B$41&amp;'Key inputs'!$C$17:$C$41&amp;'Key inputs'!$D$17:$D$41,0),MATCH($G54&amp;I$4&amp;I$5,'Key inputs'!$B$18:$N$18&amp;'Key inputs'!$B$19:$N$19&amp;'Key inputs'!$B$20:$N$20,0))</f>
        <v>39.71</v>
      </c>
      <c r="J54" s="172">
        <f>H54*INDEX(Usage!$B$4:$M$18,MATCH($B54,Usage!$B$4:$B$18,0),MATCH(IF($E54="CL1","CL1 Proportion","CL2 Proportion"),Usage!$B$8:$M$8,0))+I54*$F54/1000</f>
        <v>34.201529999999998</v>
      </c>
      <c r="K54" s="191">
        <f>IFERROR(J54/J56,"")</f>
        <v>0.93462048317717406</v>
      </c>
      <c r="L54" s="191"/>
      <c r="M54" s="191">
        <f t="shared" si="10"/>
        <v>-6.3009812718904601E-2</v>
      </c>
      <c r="N54" s="188"/>
      <c r="O54" s="172">
        <f t="array" ref="O54">INDEX('Key inputs'!$B$17:$N$41,MATCH($B54&amp;$C54&amp;$E54,'Key inputs'!$B$17:$B$41&amp;'Key inputs'!$C$17:$C$41&amp;'Key inputs'!$D$17:$D$41,0),MATCH($G54&amp;O$4&amp;O$5,'Key inputs'!$B$18:$N$18&amp;'Key inputs'!$B$19:$N$19&amp;'Key inputs'!$B$20:$N$20,0))</f>
        <v>19.5078</v>
      </c>
      <c r="P54" s="172">
        <f t="array" ref="P54">INDEX('Key inputs'!$B$17:$N$41,MATCH($B54&amp;$C54&amp;$E54,'Key inputs'!$B$17:$B$41&amp;'Key inputs'!$C$17:$C$41&amp;'Key inputs'!$D$17:$D$41,0),MATCH($G54&amp;P$4&amp;P$5,'Key inputs'!$B$18:$N$18&amp;'Key inputs'!$B$19:$N$19&amp;'Key inputs'!$B$20:$N$20,0))</f>
        <v>35.274000000000001</v>
      </c>
      <c r="Q54" s="172">
        <f>O54*INDEX(Usage!$B$4:$M$18,MATCH($B54,Usage!$B$4:$B$18,0),MATCH(IF($E54="CL1","CL1 Proportion","CL2 Proportion"),Usage!$B$8:$M$8,0))+P54*$F54/1000</f>
        <v>32.046498</v>
      </c>
      <c r="R54" s="191">
        <f>IFERROR(Q54/Q56,"")</f>
        <v>0.92424141482013034</v>
      </c>
    </row>
    <row r="55" spans="2:18" x14ac:dyDescent="0.25">
      <c r="B55" s="3" t="str">
        <f t="shared" si="9"/>
        <v>Endeavour</v>
      </c>
      <c r="C55" s="3" t="str">
        <f t="shared" si="9"/>
        <v>Residential</v>
      </c>
      <c r="D55" s="3" t="str">
        <f t="shared" si="9"/>
        <v>with CL</v>
      </c>
      <c r="E55" s="3" t="s">
        <v>17</v>
      </c>
      <c r="F55" s="175">
        <f t="array" ref="F55">IFERROR(INDEX(Usage!$B$5:$P$18,MATCH($B55,Usage!$B$5:$B$18,0),MATCH($C55&amp;$D55&amp;$E55,Usage!$B$5:$S$5&amp;Usage!$B$6:$S$6&amp;Usage!$B$7:$S$7,0)),0)</f>
        <v>726</v>
      </c>
      <c r="G55" s="3" t="s">
        <v>67</v>
      </c>
      <c r="H55" s="172">
        <f t="array" ref="H55">INDEX('Key inputs'!$B$17:$N$41,MATCH($B55&amp;$C55&amp;$E55,'Key inputs'!$B$17:$B$41&amp;'Key inputs'!$C$17:$C$41&amp;'Key inputs'!$D$17:$D$41,0),MATCH($G55&amp;H$4&amp;H$5,'Key inputs'!$B$18:$N$18&amp;'Key inputs'!$B$19:$N$19&amp;'Key inputs'!$B$20:$N$20,0))</f>
        <v>7.25</v>
      </c>
      <c r="I55" s="172">
        <f>IFERROR(INDEX('Detail inputs'!$B$3:$K$196,MATCH($B55&amp;$C55&amp;$E55&amp;$G55&amp;I$5,'Detail inputs'!$B$3:$B$196&amp;'Detail inputs'!$D$3:$D$196&amp;'Detail inputs'!$F$3:$F$196&amp;'Detail inputs'!$G$3:$G$196&amp;'Detail inputs'!$H$3:$H$196,0),MATCH(I$4,'Detail inputs'!$B$3:$K$3,0)),0)</f>
        <v>0</v>
      </c>
      <c r="J55" s="172">
        <f>H55*INDEX(Usage!$B$4:$M$18,MATCH($B55,Usage!$B$4:$B$18,0),MATCH(IF($E55="CL1","CL1 Proportion","CL2 Proportion"),Usage!$B$8:$M$8,0))+I55*$F55/1000</f>
        <v>2.3924999999999996</v>
      </c>
      <c r="K55" s="191">
        <f>IFERROR(J55/J56,"")</f>
        <v>6.5379516822826014E-2</v>
      </c>
      <c r="L55" s="191"/>
      <c r="M55" s="191">
        <f t="shared" si="10"/>
        <v>9.7931034482758639E-2</v>
      </c>
      <c r="N55" s="188"/>
      <c r="O55" s="172">
        <f t="array" ref="O55">INDEX('Key inputs'!$B$17:$N$41,MATCH($B55&amp;$C55&amp;$E55,'Key inputs'!$B$17:$B$41&amp;'Key inputs'!$C$17:$C$41&amp;'Key inputs'!$D$17:$D$41,0),MATCH($G55&amp;O$4&amp;O$5,'Key inputs'!$B$18:$N$18&amp;'Key inputs'!$B$19:$N$19&amp;'Key inputs'!$B$20:$N$20,0))</f>
        <v>7.96</v>
      </c>
      <c r="P55" s="172">
        <f>IFERROR(INDEX('Detail inputs'!$B$3:$K$196,MATCH($B55&amp;$C55&amp;$E55&amp;$G55&amp;P$5,'Detail inputs'!$B$3:$B$196&amp;'Detail inputs'!$D$3:$D$196&amp;'Detail inputs'!$F$3:$F$196&amp;'Detail inputs'!$G$3:$G$196&amp;'Detail inputs'!$H$3:$H$196,0),MATCH(P$4,'Detail inputs'!$B$3:$K$3,0)),0)</f>
        <v>0</v>
      </c>
      <c r="Q55" s="172">
        <f>O55*INDEX(Usage!$B$4:$M$18,MATCH($B55,Usage!$B$4:$B$18,0),MATCH(IF($E55="CL1","CL1 Proportion","CL2 Proportion"),Usage!$B$8:$M$8,0))+P55*$F55/1000</f>
        <v>2.6267999999999998</v>
      </c>
      <c r="R55" s="191">
        <f>IFERROR(Q55/Q56,"")</f>
        <v>7.5758585179869525E-2</v>
      </c>
    </row>
    <row r="56" spans="2:18" x14ac:dyDescent="0.25">
      <c r="B56" s="3" t="str">
        <f t="shared" si="9"/>
        <v>Endeavour</v>
      </c>
      <c r="C56" s="3" t="str">
        <f t="shared" si="9"/>
        <v>Residential</v>
      </c>
      <c r="D56" s="3" t="str">
        <f t="shared" si="9"/>
        <v>with CL</v>
      </c>
      <c r="E56" s="3" t="s">
        <v>17</v>
      </c>
      <c r="F56" s="175">
        <f t="array" ref="F56">IFERROR(INDEX(Usage!$B$5:$P$18,MATCH($B56,Usage!$B$5:$B$18,0),MATCH($C56&amp;$D56&amp;$E56,Usage!$B$5:$S$5&amp;Usage!$B$6:$S$6&amp;Usage!$B$7:$S$7,0)),0)</f>
        <v>726</v>
      </c>
      <c r="G56" s="3" t="s">
        <v>61</v>
      </c>
      <c r="H56" s="172"/>
      <c r="I56" s="172"/>
      <c r="J56" s="172">
        <f>SUM(J54:J55)</f>
        <v>36.594029999999997</v>
      </c>
      <c r="K56" s="191"/>
      <c r="L56" s="199"/>
      <c r="M56" s="191">
        <f t="shared" si="10"/>
        <v>-5.2487577891803472E-2</v>
      </c>
      <c r="N56" s="197"/>
      <c r="O56" s="172"/>
      <c r="P56" s="172"/>
      <c r="Q56" s="172">
        <f>SUM(Q54:Q55)</f>
        <v>34.673298000000003</v>
      </c>
      <c r="R56" s="191"/>
    </row>
    <row r="57" spans="2:18" x14ac:dyDescent="0.25">
      <c r="B57" s="3" t="str">
        <f t="shared" si="9"/>
        <v>Endeavour</v>
      </c>
      <c r="C57" s="3" t="str">
        <f t="shared" si="9"/>
        <v>Residential</v>
      </c>
      <c r="D57" s="3" t="str">
        <f t="shared" si="9"/>
        <v>with CL</v>
      </c>
      <c r="E57" s="3" t="s">
        <v>61</v>
      </c>
      <c r="F57" s="175">
        <f t="array" ref="F57">IFERROR(INDEX(Usage!$B$5:$P$18,MATCH($B57,Usage!$B$5:$B$18,0),MATCH($C57&amp;$D57&amp;$E57,Usage!$B$5:$S$5&amp;Usage!$B$6:$S$6&amp;Usage!$B$7:$S$7,0)),0)</f>
        <v>7400</v>
      </c>
      <c r="G57" s="3" t="s">
        <v>248</v>
      </c>
      <c r="H57" s="172" cm="1">
        <f t="array" ref="H57">IFERROR(INDEX('Detail inputs'!$B$3:$K$196,MATCH($B57&amp;$G57&amp;H$5,'Detail inputs'!$B$3:$B$196&amp;'Detail inputs'!$G$3:$G$196&amp;'Detail inputs'!$H$3:$H$196,0),MATCH(H$4,'Detail inputs'!$B$3:$K$3,0)),0)</f>
        <v>0</v>
      </c>
      <c r="I57" s="172" cm="1">
        <f t="array" ref="I57">IFERROR(INDEX('Detail inputs'!$B$3:$K$196,MATCH($B57&amp;$G57&amp;I$5,'Detail inputs'!$B$3:$B$196&amp;'Detail inputs'!$G$3:$G$196&amp;'Detail inputs'!$H$3:$H$196,0),MATCH(I$4,'Detail inputs'!$B$3:$K$3,0)),0)</f>
        <v>0</v>
      </c>
      <c r="J57" s="172">
        <f>H57+I57*$F57/1000</f>
        <v>0</v>
      </c>
      <c r="K57" s="191">
        <f>IFERROR(J57/J58,"")</f>
        <v>0</v>
      </c>
      <c r="L57" s="191"/>
      <c r="M57" s="191" t="str">
        <f t="shared" si="10"/>
        <v/>
      </c>
      <c r="N57" s="188"/>
      <c r="O57" s="172" cm="1">
        <f t="array" ref="O57">IFERROR(INDEX('Detail inputs'!$B$3:$K$196,MATCH($B57&amp;$G57&amp;O$5,'Detail inputs'!$B$3:$B$196&amp;'Detail inputs'!$G$3:$G$196&amp;'Detail inputs'!$H$3:$H$196,0),MATCH(O$4,'Detail inputs'!$B$3:$K$3,0)),0)</f>
        <v>0</v>
      </c>
      <c r="P57" s="172" cm="1">
        <f t="array" ref="P57">IFERROR(INDEX('Detail inputs'!$B$3:$K$196,MATCH($B57&amp;$G57&amp;P$5,'Detail inputs'!$B$3:$B$196&amp;'Detail inputs'!$G$3:$G$196&amp;'Detail inputs'!$H$3:$H$196,0),MATCH(P$4,'Detail inputs'!$B$3:$K$3,0)),0)</f>
        <v>2.9237629814663486</v>
      </c>
      <c r="Q57" s="172">
        <f>O57+P57*$F57/1000</f>
        <v>21.635846062850977</v>
      </c>
      <c r="R57" s="191">
        <f>IFERROR(Q57/Q58,"")</f>
        <v>3.0376767885000083E-2</v>
      </c>
    </row>
    <row r="58" spans="2:18" x14ac:dyDescent="0.25">
      <c r="B58" s="3" t="str">
        <f t="shared" si="9"/>
        <v>Endeavour</v>
      </c>
      <c r="C58" s="3" t="str">
        <f t="shared" si="9"/>
        <v>Residential</v>
      </c>
      <c r="D58" s="3" t="str">
        <f t="shared" si="9"/>
        <v>with CL</v>
      </c>
      <c r="E58" s="3" t="s">
        <v>61</v>
      </c>
      <c r="F58" s="175">
        <f t="array" ref="F58">IFERROR(INDEX(Usage!$B$5:$P$18,MATCH($B58,Usage!$B$5:$B$18,0),MATCH($C58&amp;$D58&amp;$E58,Usage!$B$5:$S$5&amp;Usage!$B$6:$S$6&amp;Usage!$B$7:$S$7,0)),0)</f>
        <v>7400</v>
      </c>
      <c r="G58" s="3" t="s">
        <v>61</v>
      </c>
      <c r="H58" s="172"/>
      <c r="I58" s="172"/>
      <c r="J58" s="172">
        <f>SUM(J50,J53,J56,J57)</f>
        <v>700.27736199999993</v>
      </c>
      <c r="K58" s="192"/>
      <c r="L58" s="199"/>
      <c r="M58" s="191">
        <f t="shared" si="10"/>
        <v>1.7096671565474786E-2</v>
      </c>
      <c r="N58" s="197"/>
      <c r="O58" s="172"/>
      <c r="P58" s="172"/>
      <c r="Q58" s="172">
        <f>SUM(Q50,Q53,Q56,Q57)</f>
        <v>712.24977406285097</v>
      </c>
      <c r="R58" s="192"/>
    </row>
    <row r="59" spans="2:18" outlineLevel="1" x14ac:dyDescent="0.25">
      <c r="B59" s="3" t="str">
        <f t="shared" si="9"/>
        <v>Endeavour</v>
      </c>
      <c r="C59" s="3" t="str">
        <f t="shared" si="9"/>
        <v>Residential</v>
      </c>
      <c r="D59" s="3" t="str">
        <f t="shared" si="9"/>
        <v>with CL</v>
      </c>
      <c r="F59" s="175"/>
      <c r="G59" s="3" t="s">
        <v>41</v>
      </c>
      <c r="H59" s="172"/>
      <c r="I59" s="172"/>
      <c r="J59" s="172">
        <f>J58*GST</f>
        <v>70.027736199999993</v>
      </c>
      <c r="K59" s="192"/>
      <c r="L59" s="199"/>
      <c r="M59" s="191">
        <f t="shared" si="10"/>
        <v>1.7096671565474786E-2</v>
      </c>
      <c r="N59" s="197"/>
      <c r="O59" s="172"/>
      <c r="P59" s="172"/>
      <c r="Q59" s="172">
        <f>Q58*GST</f>
        <v>71.224977406285106</v>
      </c>
      <c r="R59" s="192"/>
    </row>
    <row r="60" spans="2:18" x14ac:dyDescent="0.25">
      <c r="B60" s="3" t="str">
        <f t="shared" si="9"/>
        <v>Endeavour</v>
      </c>
      <c r="C60" s="3" t="str">
        <f t="shared" si="9"/>
        <v>Residential</v>
      </c>
      <c r="D60" s="3" t="str">
        <f t="shared" si="9"/>
        <v>with CL</v>
      </c>
      <c r="F60" s="175"/>
      <c r="G60" s="5" t="s">
        <v>87</v>
      </c>
      <c r="H60" s="174"/>
      <c r="I60" s="174"/>
      <c r="J60" s="174">
        <f>SUM(J58:J59)</f>
        <v>770.30509819999997</v>
      </c>
      <c r="K60" s="193"/>
      <c r="L60" s="200"/>
      <c r="M60" s="193">
        <f t="shared" si="10"/>
        <v>1.7096671565474786E-2</v>
      </c>
      <c r="N60" s="198"/>
      <c r="O60" s="174"/>
      <c r="P60" s="174"/>
      <c r="Q60" s="174">
        <f>SUM(Q58:Q59)</f>
        <v>783.47475146913609</v>
      </c>
      <c r="R60" s="193"/>
    </row>
    <row r="61" spans="2:18" x14ac:dyDescent="0.25">
      <c r="F61" s="175"/>
      <c r="H61" s="172"/>
      <c r="I61" s="172"/>
      <c r="J61" s="172"/>
      <c r="K61" s="191"/>
      <c r="L61" s="199"/>
      <c r="M61" s="191"/>
      <c r="N61" s="197"/>
      <c r="O61" s="172"/>
      <c r="P61" s="172"/>
      <c r="Q61" s="172"/>
      <c r="R61" s="191"/>
    </row>
    <row r="62" spans="2:18" x14ac:dyDescent="0.25">
      <c r="B62" s="5" t="s">
        <v>4</v>
      </c>
      <c r="C62" s="5" t="s">
        <v>15</v>
      </c>
      <c r="D62" s="5" t="s">
        <v>146</v>
      </c>
      <c r="F62" s="175"/>
      <c r="H62" s="172"/>
      <c r="I62" s="172"/>
      <c r="J62" s="172"/>
      <c r="K62" s="191"/>
      <c r="L62" s="199"/>
      <c r="M62" s="191"/>
      <c r="N62" s="197"/>
      <c r="O62" s="172"/>
      <c r="P62" s="172"/>
      <c r="Q62" s="172"/>
      <c r="R62" s="191"/>
    </row>
    <row r="63" spans="2:18" x14ac:dyDescent="0.25">
      <c r="B63" s="3" t="str">
        <f t="shared" ref="B63:D68" si="11">B$62</f>
        <v>Endeavour</v>
      </c>
      <c r="C63" s="3" t="str">
        <f t="shared" si="11"/>
        <v>Small business</v>
      </c>
      <c r="D63" s="3" t="str">
        <f t="shared" si="11"/>
        <v>without CL</v>
      </c>
      <c r="E63" s="3" t="s">
        <v>22</v>
      </c>
      <c r="F63" s="175">
        <f t="array" ref="F63">IFERROR(INDEX(Usage!$B$5:$P$18,MATCH($B63,Usage!$B$5:$B$18,0),MATCH($C63&amp;$D63&amp;$E63,Usage!$B$5:$S$5&amp;Usage!$B$6:$S$6&amp;Usage!$B$7:$S$7,0)),0)</f>
        <v>10000</v>
      </c>
      <c r="G63" s="3" t="s">
        <v>63</v>
      </c>
      <c r="H63" s="172">
        <f t="array" ref="H63">INDEX('Key inputs'!$B$17:$N$41,MATCH($B63&amp;$C63&amp;$E63,'Key inputs'!$B$17:$B$41&amp;'Key inputs'!$C$17:$C$41&amp;'Key inputs'!$D$17:$D$41,0),MATCH($G63&amp;H$4&amp;H$5,'Key inputs'!$B$18:$N$18&amp;'Key inputs'!$B$19:$N$19&amp;'Key inputs'!$B$20:$N$20,0))</f>
        <v>228.45349999999999</v>
      </c>
      <c r="I63" s="172">
        <f t="array" ref="I63">INDEX('Key inputs'!$B$17:$N$41,MATCH($B63&amp;$C63&amp;$E63,'Key inputs'!$B$17:$B$41&amp;'Key inputs'!$C$17:$C$41&amp;'Key inputs'!$D$17:$D$41,0),MATCH($G63&amp;I$4&amp;I$5,'Key inputs'!$B$18:$N$18&amp;'Key inputs'!$B$19:$N$19&amp;'Key inputs'!$B$20:$N$20,0))</f>
        <v>88.704999999999998</v>
      </c>
      <c r="J63" s="172">
        <f>H63+I63*$F63/1000</f>
        <v>1115.5035</v>
      </c>
      <c r="K63" s="191">
        <f>IFERROR(J63/J66,"")</f>
        <v>0.97171537496292382</v>
      </c>
      <c r="L63" s="191"/>
      <c r="M63" s="191">
        <f t="shared" ref="M63:M68" si="12">IF(OR(J63=0,J63="",Q63=""),"",Q63/J63-1)</f>
        <v>-1.4131466194413522E-2</v>
      </c>
      <c r="N63" s="188"/>
      <c r="O63" s="172">
        <f t="array" ref="O63">INDEX('Key inputs'!$B$17:$N$41,MATCH($B63&amp;$C63&amp;$E63,'Key inputs'!$B$17:$B$41&amp;'Key inputs'!$C$17:$C$41&amp;'Key inputs'!$D$17:$D$41,0),MATCH($G63&amp;O$4&amp;O$5,'Key inputs'!$B$18:$N$18&amp;'Key inputs'!$B$19:$N$19&amp;'Key inputs'!$B$20:$N$20,0))</f>
        <v>239.8398</v>
      </c>
      <c r="P63" s="172">
        <f t="array" ref="P63">INDEX('Key inputs'!$B$17:$N$41,MATCH($B63&amp;$C63&amp;$E63,'Key inputs'!$B$17:$B$41&amp;'Key inputs'!$C$17:$C$41&amp;'Key inputs'!$D$17:$D$41,0),MATCH($G63&amp;P$4&amp;P$5,'Key inputs'!$B$18:$N$18&amp;'Key inputs'!$B$19:$N$19&amp;'Key inputs'!$B$20:$N$20,0))</f>
        <v>85.99</v>
      </c>
      <c r="Q63" s="172">
        <f>O63+P63*$F63/1000</f>
        <v>1099.7398000000001</v>
      </c>
      <c r="R63" s="191">
        <f>IFERROR(Q63/Q66,"")</f>
        <v>0.94426842995309523</v>
      </c>
    </row>
    <row r="64" spans="2:18" x14ac:dyDescent="0.25">
      <c r="B64" s="3" t="str">
        <f t="shared" si="11"/>
        <v>Endeavour</v>
      </c>
      <c r="C64" s="3" t="str">
        <f t="shared" si="11"/>
        <v>Small business</v>
      </c>
      <c r="D64" s="3" t="str">
        <f t="shared" si="11"/>
        <v>without CL</v>
      </c>
      <c r="E64" s="3" t="s">
        <v>22</v>
      </c>
      <c r="F64" s="175">
        <f t="array" ref="F64">IFERROR(INDEX(Usage!$B$5:$P$18,MATCH($B64,Usage!$B$5:$B$18,0),MATCH($C64&amp;$D64&amp;$E64,Usage!$B$5:$S$5&amp;Usage!$B$6:$S$6&amp;Usage!$B$7:$S$7,0)),0)</f>
        <v>10000</v>
      </c>
      <c r="G64" s="3" t="s">
        <v>67</v>
      </c>
      <c r="H64" s="172">
        <f t="array" ref="H64">INDEX('Key inputs'!$B$17:$N$41,MATCH($B64&amp;$C64&amp;$E64,'Key inputs'!$B$17:$B$41&amp;'Key inputs'!$C$17:$C$41&amp;'Key inputs'!$D$17:$D$41,0),MATCH($G64&amp;H$4&amp;H$5,'Key inputs'!$B$18:$N$18&amp;'Key inputs'!$B$19:$N$19&amp;'Key inputs'!$B$20:$N$20,0))</f>
        <v>32.47</v>
      </c>
      <c r="I64" s="172">
        <f>IFERROR(INDEX('Detail inputs'!$B$3:$K$196,MATCH($B64&amp;$C64&amp;$E64&amp;$G64&amp;I$5,'Detail inputs'!$B$3:$B$196&amp;'Detail inputs'!$D$3:$D$196&amp;'Detail inputs'!$F$3:$F$196&amp;'Detail inputs'!$G$3:$G$196&amp;'Detail inputs'!$H$3:$H$196,0),MATCH(I$4,'Detail inputs'!$B$3:$K$3,0)),0)</f>
        <v>0</v>
      </c>
      <c r="J64" s="172">
        <f>H64+I64*$F64/1000</f>
        <v>32.47</v>
      </c>
      <c r="K64" s="191">
        <f>IFERROR(J64/J66,"")</f>
        <v>2.82846250370762E-2</v>
      </c>
      <c r="L64" s="191"/>
      <c r="M64" s="191">
        <f t="shared" si="12"/>
        <v>9.855251000923948E-2</v>
      </c>
      <c r="N64" s="188"/>
      <c r="O64" s="172">
        <f t="array" ref="O64">INDEX('Key inputs'!$B$17:$N$41,MATCH($B64&amp;$C64&amp;$E64,'Key inputs'!$B$17:$B$41&amp;'Key inputs'!$C$17:$C$41&amp;'Key inputs'!$D$17:$D$41,0),MATCH($G64&amp;O$4&amp;O$5,'Key inputs'!$B$18:$N$18&amp;'Key inputs'!$B$19:$N$19&amp;'Key inputs'!$B$20:$N$20,0))</f>
        <v>35.67</v>
      </c>
      <c r="P64" s="172">
        <f>IFERROR(INDEX('Detail inputs'!$B$3:$K$196,MATCH($B64&amp;$C64&amp;$E64&amp;$G64&amp;P$5,'Detail inputs'!$B$3:$B$196&amp;'Detail inputs'!$D$3:$D$196&amp;'Detail inputs'!$F$3:$F$196&amp;'Detail inputs'!$G$3:$G$196&amp;'Detail inputs'!$H$3:$H$196,0),MATCH(P$4,'Detail inputs'!$B$3:$K$3,0)),0)</f>
        <v>0</v>
      </c>
      <c r="Q64" s="172">
        <f>O64+P64*$F64/1000</f>
        <v>35.67</v>
      </c>
      <c r="R64" s="191">
        <f>IFERROR(Q64/Q66,"")</f>
        <v>3.0627294653177876E-2</v>
      </c>
    </row>
    <row r="65" spans="2:18" x14ac:dyDescent="0.25">
      <c r="B65" s="3" t="str">
        <f t="shared" si="11"/>
        <v>Endeavour</v>
      </c>
      <c r="C65" s="3" t="str">
        <f t="shared" si="11"/>
        <v>Small business</v>
      </c>
      <c r="D65" s="3" t="str">
        <f t="shared" si="11"/>
        <v>without CL</v>
      </c>
      <c r="E65" s="3" t="s">
        <v>22</v>
      </c>
      <c r="F65" s="175">
        <f t="array" ref="F65">IFERROR(INDEX(Usage!$B$5:$P$18,MATCH($B65,Usage!$B$5:$B$18,0),MATCH($C65&amp;$D65&amp;$E65,Usage!$B$5:$S$5&amp;Usage!$B$6:$S$6&amp;Usage!$B$7:$S$7,0)),0)</f>
        <v>10000</v>
      </c>
      <c r="G65" s="3" t="s">
        <v>248</v>
      </c>
      <c r="H65" s="172" cm="1">
        <f t="array" ref="H65">IFERROR(INDEX('Detail inputs'!$B$3:$K$196,MATCH($B65&amp;$G65&amp;H$5,'Detail inputs'!$B$3:$B$196&amp;'Detail inputs'!$G$3:$G$196&amp;'Detail inputs'!$H$3:$H$196,0),MATCH(H$4,'Detail inputs'!$B$3:$K$3,0)),0)</f>
        <v>0</v>
      </c>
      <c r="I65" s="172" cm="1">
        <f t="array" ref="I65">IFERROR(INDEX('Detail inputs'!$B$3:$K$196,MATCH($B65&amp;$G65&amp;I$5,'Detail inputs'!$B$3:$B$196&amp;'Detail inputs'!$G$3:$G$196&amp;'Detail inputs'!$H$3:$H$196,0),MATCH(I$4,'Detail inputs'!$B$3:$K$3,0)),0)</f>
        <v>0</v>
      </c>
      <c r="J65" s="172">
        <f>H65+I65*$F65/1000</f>
        <v>0</v>
      </c>
      <c r="K65" s="191">
        <f>IFERROR(J65/J66,"")</f>
        <v>0</v>
      </c>
      <c r="L65" s="191"/>
      <c r="M65" s="191" t="str">
        <f t="shared" si="12"/>
        <v/>
      </c>
      <c r="N65" s="188"/>
      <c r="O65" s="172" cm="1">
        <f t="array" ref="O65">IFERROR(INDEX('Detail inputs'!$B$3:$K$196,MATCH($B65&amp;$G65&amp;O$5,'Detail inputs'!$B$3:$B$196&amp;'Detail inputs'!$G$3:$G$196&amp;'Detail inputs'!$H$3:$H$196,0),MATCH(O$4,'Detail inputs'!$B$3:$K$3,0)),0)</f>
        <v>0</v>
      </c>
      <c r="P65" s="172" cm="1">
        <f t="array" ref="P65">IFERROR(INDEX('Detail inputs'!$B$3:$K$196,MATCH($B65&amp;$G65&amp;P$5,'Detail inputs'!$B$3:$B$196&amp;'Detail inputs'!$G$3:$G$196&amp;'Detail inputs'!$H$3:$H$196,0),MATCH(P$4,'Detail inputs'!$B$3:$K$3,0)),0)</f>
        <v>2.9237629814663486</v>
      </c>
      <c r="Q65" s="172">
        <f>O65+P65*$F65/1000</f>
        <v>29.237629814663489</v>
      </c>
      <c r="R65" s="191">
        <f>IFERROR(Q65/Q66,"")</f>
        <v>2.5104275393726859E-2</v>
      </c>
    </row>
    <row r="66" spans="2:18" x14ac:dyDescent="0.25">
      <c r="B66" s="3" t="str">
        <f t="shared" si="11"/>
        <v>Endeavour</v>
      </c>
      <c r="C66" s="3" t="str">
        <f t="shared" si="11"/>
        <v>Small business</v>
      </c>
      <c r="D66" s="3" t="str">
        <f t="shared" si="11"/>
        <v>without CL</v>
      </c>
      <c r="E66" s="3" t="s">
        <v>22</v>
      </c>
      <c r="F66" s="175">
        <f t="array" ref="F66">IFERROR(INDEX(Usage!$B$5:$P$18,MATCH($B66,Usage!$B$5:$B$18,0),MATCH($C66&amp;$D66&amp;$E66,Usage!$B$5:$S$5&amp;Usage!$B$6:$S$6&amp;Usage!$B$7:$S$7,0)),0)</f>
        <v>10000</v>
      </c>
      <c r="G66" s="3" t="s">
        <v>61</v>
      </c>
      <c r="H66" s="172"/>
      <c r="I66" s="172"/>
      <c r="J66" s="172">
        <f>SUM(J63:J65)</f>
        <v>1147.9735000000001</v>
      </c>
      <c r="K66" s="192"/>
      <c r="L66" s="199"/>
      <c r="M66" s="191">
        <f t="shared" si="12"/>
        <v>1.4524664388736896E-2</v>
      </c>
      <c r="N66" s="197"/>
      <c r="O66" s="172"/>
      <c r="P66" s="172"/>
      <c r="Q66" s="172">
        <f>SUM(Q63:Q65)</f>
        <v>1164.6474298146636</v>
      </c>
      <c r="R66" s="192"/>
    </row>
    <row r="67" spans="2:18" outlineLevel="1" x14ac:dyDescent="0.25">
      <c r="B67" s="3" t="str">
        <f t="shared" si="11"/>
        <v>Endeavour</v>
      </c>
      <c r="C67" s="3" t="str">
        <f t="shared" si="11"/>
        <v>Small business</v>
      </c>
      <c r="D67" s="3" t="str">
        <f t="shared" si="11"/>
        <v>without CL</v>
      </c>
      <c r="E67" s="3" t="s">
        <v>22</v>
      </c>
      <c r="F67" s="175">
        <f t="array" ref="F67">IFERROR(INDEX(Usage!$B$5:$P$18,MATCH($B67,Usage!$B$5:$B$18,0),MATCH($C67&amp;$D67&amp;$E67,Usage!$B$5:$S$5&amp;Usage!$B$6:$S$6&amp;Usage!$B$7:$S$7,0)),0)</f>
        <v>10000</v>
      </c>
      <c r="G67" s="3" t="s">
        <v>41</v>
      </c>
      <c r="H67" s="172"/>
      <c r="I67" s="172"/>
      <c r="J67" s="172">
        <f>J66*GST</f>
        <v>114.79735000000001</v>
      </c>
      <c r="K67" s="192"/>
      <c r="L67" s="199"/>
      <c r="M67" s="191">
        <f t="shared" si="12"/>
        <v>1.4524664388736896E-2</v>
      </c>
      <c r="N67" s="197"/>
      <c r="O67" s="172"/>
      <c r="P67" s="172"/>
      <c r="Q67" s="172">
        <f>Q66*GST</f>
        <v>116.46474298146637</v>
      </c>
      <c r="R67" s="192"/>
    </row>
    <row r="68" spans="2:18" x14ac:dyDescent="0.25">
      <c r="B68" s="3" t="str">
        <f t="shared" si="11"/>
        <v>Endeavour</v>
      </c>
      <c r="C68" s="3" t="str">
        <f t="shared" si="11"/>
        <v>Small business</v>
      </c>
      <c r="D68" s="3" t="str">
        <f t="shared" si="11"/>
        <v>without CL</v>
      </c>
      <c r="F68" s="175"/>
      <c r="G68" s="5" t="s">
        <v>87</v>
      </c>
      <c r="H68" s="174"/>
      <c r="I68" s="174"/>
      <c r="J68" s="174">
        <f>SUM(J66:J67)</f>
        <v>1262.7708500000001</v>
      </c>
      <c r="K68" s="193"/>
      <c r="L68" s="200"/>
      <c r="M68" s="193">
        <f t="shared" si="12"/>
        <v>1.4524664388736674E-2</v>
      </c>
      <c r="N68" s="198"/>
      <c r="O68" s="174"/>
      <c r="P68" s="174"/>
      <c r="Q68" s="174">
        <f>SUM(Q66:Q67)</f>
        <v>1281.1121727961299</v>
      </c>
      <c r="R68" s="193"/>
    </row>
    <row r="69" spans="2:18" x14ac:dyDescent="0.25">
      <c r="F69" s="175"/>
      <c r="H69" s="172"/>
      <c r="I69" s="172"/>
      <c r="J69" s="172"/>
      <c r="K69" s="191"/>
      <c r="L69" s="199"/>
      <c r="M69" s="191"/>
      <c r="N69" s="197"/>
      <c r="O69" s="172"/>
      <c r="P69" s="172"/>
      <c r="Q69" s="172"/>
      <c r="R69" s="191"/>
    </row>
    <row r="70" spans="2:18" x14ac:dyDescent="0.25">
      <c r="B70" s="5" t="s">
        <v>3</v>
      </c>
      <c r="C70" s="5" t="s">
        <v>6</v>
      </c>
      <c r="D70" s="5" t="s">
        <v>146</v>
      </c>
      <c r="F70" s="175"/>
      <c r="H70" s="172"/>
      <c r="I70" s="172"/>
      <c r="J70" s="172"/>
      <c r="K70" s="191"/>
      <c r="L70" s="191"/>
      <c r="M70" s="191"/>
      <c r="N70" s="188"/>
      <c r="O70" s="172"/>
      <c r="P70" s="172"/>
      <c r="Q70" s="172"/>
      <c r="R70" s="191"/>
    </row>
    <row r="71" spans="2:18" x14ac:dyDescent="0.25">
      <c r="B71" s="3" t="str">
        <f t="shared" ref="B71:D76" si="13">B$70</f>
        <v>Essential</v>
      </c>
      <c r="C71" s="3" t="str">
        <f t="shared" si="13"/>
        <v>Residential</v>
      </c>
      <c r="D71" s="3" t="str">
        <f t="shared" si="13"/>
        <v>without CL</v>
      </c>
      <c r="E71" s="3" t="s">
        <v>22</v>
      </c>
      <c r="F71" s="175">
        <f t="array" ref="F71">IFERROR(INDEX(Usage!$B$5:$P$18,MATCH($B71,Usage!$B$5:$B$18,0),MATCH($C71&amp;$D71&amp;$E71,Usage!$B$5:$S$5&amp;Usage!$B$6:$S$6&amp;Usage!$B$7:$S$7,0)),0)</f>
        <v>4600</v>
      </c>
      <c r="G71" s="3" t="s">
        <v>63</v>
      </c>
      <c r="H71" s="172">
        <f t="array" ref="H71">INDEX('Key inputs'!$B$17:$N$41,MATCH($B71&amp;$C71&amp;$E71,'Key inputs'!$B$17:$B$41&amp;'Key inputs'!$C$17:$C$41&amp;'Key inputs'!$D$17:$D$41,0),MATCH($G71&amp;H$4&amp;H$5,'Key inputs'!$B$18:$N$18&amp;'Key inputs'!$B$19:$N$19&amp;'Key inputs'!$B$20:$N$20,0))</f>
        <v>332.66660000000002</v>
      </c>
      <c r="I71" s="172">
        <f t="array" ref="I71">INDEX('Key inputs'!$B$17:$N$41,MATCH($B71&amp;$C71&amp;$E71,'Key inputs'!$B$17:$B$41&amp;'Key inputs'!$C$17:$C$41&amp;'Key inputs'!$D$17:$D$41,0),MATCH($G71&amp;I$4&amp;I$5,'Key inputs'!$B$18:$N$18&amp;'Key inputs'!$B$19:$N$19&amp;'Key inputs'!$B$20:$N$20,0))</f>
        <v>113.262</v>
      </c>
      <c r="J71" s="172">
        <f>H71+I71*$F71/1000</f>
        <v>853.67180000000008</v>
      </c>
      <c r="K71" s="191">
        <f>IFERROR(J71/J74,"")</f>
        <v>0.95812484609674409</v>
      </c>
      <c r="L71" s="191"/>
      <c r="M71" s="191">
        <f t="shared" ref="M71:M74" si="14">IF(OR(J71=0,J71="",Q71=""),"",Q71/J71-1)</f>
        <v>0.10680424779788567</v>
      </c>
      <c r="N71" s="188"/>
      <c r="O71" s="172">
        <f t="array" ref="O71">INDEX('Key inputs'!$B$17:$N$41,MATCH($B71&amp;$C71&amp;$E71,'Key inputs'!$B$17:$B$41&amp;'Key inputs'!$C$17:$C$41&amp;'Key inputs'!$D$17:$D$41,0),MATCH($G71&amp;O$4&amp;O$5,'Key inputs'!$B$18:$N$18&amp;'Key inputs'!$B$19:$N$19&amp;'Key inputs'!$B$20:$N$20,0))</f>
        <v>376.317420282189</v>
      </c>
      <c r="P71" s="172">
        <f t="array" ref="P71">INDEX('Key inputs'!$B$17:$N$41,MATCH($B71&amp;$C71&amp;$E71,'Key inputs'!$B$17:$B$41&amp;'Key inputs'!$C$17:$C$41&amp;'Key inputs'!$D$17:$D$41,0),MATCH($G71&amp;P$4&amp;P$5,'Key inputs'!$B$18:$N$18&amp;'Key inputs'!$B$19:$N$19&amp;'Key inputs'!$B$20:$N$20,0))</f>
        <v>123.59351177893001</v>
      </c>
      <c r="Q71" s="172">
        <f>O71+P71*$F71/1000</f>
        <v>944.84757446526714</v>
      </c>
      <c r="R71" s="191">
        <f>IFERROR(Q71/Q74,"")</f>
        <v>0.94714979356407047</v>
      </c>
    </row>
    <row r="72" spans="2:18" x14ac:dyDescent="0.25">
      <c r="B72" s="3" t="str">
        <f t="shared" si="13"/>
        <v>Essential</v>
      </c>
      <c r="C72" s="3" t="str">
        <f t="shared" si="13"/>
        <v>Residential</v>
      </c>
      <c r="D72" s="3" t="str">
        <f t="shared" si="13"/>
        <v>without CL</v>
      </c>
      <c r="E72" s="3" t="s">
        <v>22</v>
      </c>
      <c r="F72" s="175">
        <f t="array" ref="F72">IFERROR(INDEX(Usage!$B$5:$P$18,MATCH($B72,Usage!$B$5:$B$18,0),MATCH($C72&amp;$D72&amp;$E72,Usage!$B$5:$S$5&amp;Usage!$B$6:$S$6&amp;Usage!$B$7:$S$7,0)),0)</f>
        <v>4600</v>
      </c>
      <c r="G72" s="3" t="s">
        <v>67</v>
      </c>
      <c r="H72" s="172">
        <f t="array" ref="H72">INDEX('Key inputs'!$B$17:$N$41,MATCH($B72&amp;$C72&amp;$E72,'Key inputs'!$B$17:$B$41&amp;'Key inputs'!$C$17:$C$41&amp;'Key inputs'!$D$17:$D$41,0),MATCH($G72&amp;H$4&amp;H$5,'Key inputs'!$B$18:$N$18&amp;'Key inputs'!$B$19:$N$19&amp;'Key inputs'!$B$20:$N$20,0))</f>
        <v>37.31</v>
      </c>
      <c r="I72" s="172">
        <f>IFERROR(INDEX('Detail inputs'!$B$3:$K$196,MATCH($B72&amp;$C72&amp;$E72&amp;$G72&amp;I$5,'Detail inputs'!$B$3:$B$196&amp;'Detail inputs'!$D$3:$D$196&amp;'Detail inputs'!$F$3:$F$196&amp;'Detail inputs'!$G$3:$G$196&amp;'Detail inputs'!$H$3:$H$196,0),MATCH(I$4,'Detail inputs'!$B$3:$K$3,0)),0)</f>
        <v>0</v>
      </c>
      <c r="J72" s="172">
        <f>H72+I72*$F72/1000</f>
        <v>37.31</v>
      </c>
      <c r="K72" s="191">
        <f>IFERROR(J72/J74,"")</f>
        <v>4.1875153903255941E-2</v>
      </c>
      <c r="L72" s="191"/>
      <c r="M72" s="191">
        <f t="shared" si="14"/>
        <v>0.13749664969177156</v>
      </c>
      <c r="N72" s="188"/>
      <c r="O72" s="172">
        <f t="array" ref="O72">INDEX('Key inputs'!$B$17:$N$41,MATCH($B72&amp;$C72&amp;$E72,'Key inputs'!$B$17:$B$41&amp;'Key inputs'!$C$17:$C$41&amp;'Key inputs'!$D$17:$D$41,0),MATCH($G72&amp;O$4&amp;O$5,'Key inputs'!$B$18:$N$18&amp;'Key inputs'!$B$19:$N$19&amp;'Key inputs'!$B$20:$N$20,0))</f>
        <v>42.44</v>
      </c>
      <c r="P72" s="172">
        <f>IFERROR(INDEX('Detail inputs'!$B$3:$K$196,MATCH($B72&amp;$C72&amp;$E72&amp;$G72&amp;P$5,'Detail inputs'!$B$3:$B$196&amp;'Detail inputs'!$D$3:$D$196&amp;'Detail inputs'!$F$3:$F$196&amp;'Detail inputs'!$G$3:$G$196&amp;'Detail inputs'!$H$3:$H$196,0),MATCH(P$4,'Detail inputs'!$B$3:$K$3,0)),0)</f>
        <v>0</v>
      </c>
      <c r="Q72" s="172">
        <f>O72+P72*$F72/1000</f>
        <v>42.44</v>
      </c>
      <c r="R72" s="191">
        <f>IFERROR(Q72/Q74,"")</f>
        <v>4.2543409461159386E-2</v>
      </c>
    </row>
    <row r="73" spans="2:18" x14ac:dyDescent="0.25">
      <c r="B73" s="3" t="str">
        <f t="shared" si="13"/>
        <v>Essential</v>
      </c>
      <c r="C73" s="3" t="str">
        <f t="shared" si="13"/>
        <v>Residential</v>
      </c>
      <c r="D73" s="3" t="str">
        <f t="shared" si="13"/>
        <v>without CL</v>
      </c>
      <c r="E73" s="3" t="s">
        <v>22</v>
      </c>
      <c r="F73" s="175">
        <f t="array" ref="F73">IFERROR(INDEX(Usage!$B$5:$P$18,MATCH($B73,Usage!$B$5:$B$18,0),MATCH($C73&amp;$D73&amp;$E73,Usage!$B$5:$S$5&amp;Usage!$B$6:$S$6&amp;Usage!$B$7:$S$7,0)),0)</f>
        <v>4600</v>
      </c>
      <c r="G73" s="3" t="s">
        <v>248</v>
      </c>
      <c r="H73" s="172" cm="1">
        <f t="array" ref="H73">IFERROR(INDEX('Detail inputs'!$B$3:$K$196,MATCH($B73&amp;$G73&amp;H$5,'Detail inputs'!$B$3:$B$196&amp;'Detail inputs'!$G$3:$G$196&amp;'Detail inputs'!$H$3:$H$196,0),MATCH(H$4,'Detail inputs'!$B$3:$K$3,0)),0)</f>
        <v>0</v>
      </c>
      <c r="I73" s="172" cm="1">
        <f t="array" ref="I73">IFERROR(INDEX('Detail inputs'!$B$3:$K$196,MATCH($B73&amp;$G73&amp;I$5,'Detail inputs'!$B$3:$B$196&amp;'Detail inputs'!$G$3:$G$196&amp;'Detail inputs'!$H$3:$H$196,0),MATCH(I$4,'Detail inputs'!$B$3:$K$3,0)),0)</f>
        <v>0</v>
      </c>
      <c r="J73" s="172">
        <f>H73+I73*$F73/1000</f>
        <v>0</v>
      </c>
      <c r="K73" s="191">
        <f>IFERROR(J73/J74,"")</f>
        <v>0</v>
      </c>
      <c r="L73" s="191"/>
      <c r="M73" s="191" t="str">
        <f t="shared" si="14"/>
        <v/>
      </c>
      <c r="N73" s="188"/>
      <c r="O73" s="172" cm="1">
        <f t="array" ref="O73">IFERROR(INDEX('Detail inputs'!$B$3:$K$196,MATCH($B73&amp;$G73&amp;O$5,'Detail inputs'!$B$3:$B$196&amp;'Detail inputs'!$G$3:$G$196&amp;'Detail inputs'!$H$3:$H$196,0),MATCH(O$4,'Detail inputs'!$B$3:$K$3,0)),0)</f>
        <v>0</v>
      </c>
      <c r="P73" s="172" cm="1">
        <f t="array" ref="P73">IFERROR(INDEX('Detail inputs'!$B$3:$K$196,MATCH($B73&amp;$G73&amp;P$5,'Detail inputs'!$B$3:$B$196&amp;'Detail inputs'!$G$3:$G$196&amp;'Detail inputs'!$H$3:$H$196,0),MATCH(P$4,'Detail inputs'!$B$3:$K$3,0)),0)</f>
        <v>2.2351618343908117</v>
      </c>
      <c r="Q73" s="172">
        <f>O73+P73*$F73/1000</f>
        <v>10.281744438197736</v>
      </c>
      <c r="R73" s="191">
        <f>IFERROR(Q73/Q74,"")</f>
        <v>1.0306796974770134E-2</v>
      </c>
    </row>
    <row r="74" spans="2:18" x14ac:dyDescent="0.25">
      <c r="B74" s="3" t="str">
        <f t="shared" si="13"/>
        <v>Essential</v>
      </c>
      <c r="C74" s="3" t="str">
        <f t="shared" si="13"/>
        <v>Residential</v>
      </c>
      <c r="D74" s="3" t="str">
        <f t="shared" si="13"/>
        <v>without CL</v>
      </c>
      <c r="E74" s="3" t="s">
        <v>22</v>
      </c>
      <c r="F74" s="175">
        <f t="array" ref="F74">IFERROR(INDEX(Usage!$B$5:$P$18,MATCH($B74,Usage!$B$5:$B$18,0),MATCH($C74&amp;$D74&amp;$E74,Usage!$B$5:$S$5&amp;Usage!$B$6:$S$6&amp;Usage!$B$7:$S$7,0)),0)</f>
        <v>4600</v>
      </c>
      <c r="G74" s="3" t="s">
        <v>61</v>
      </c>
      <c r="H74" s="172"/>
      <c r="I74" s="172"/>
      <c r="J74" s="172">
        <f>SUM(J71:J73)</f>
        <v>890.98180000000002</v>
      </c>
      <c r="K74" s="192"/>
      <c r="L74" s="199"/>
      <c r="M74" s="191">
        <f t="shared" si="14"/>
        <v>0.11962928861562028</v>
      </c>
      <c r="N74" s="197"/>
      <c r="O74" s="172"/>
      <c r="P74" s="172"/>
      <c r="Q74" s="172">
        <f>SUM(Q71:Q73)</f>
        <v>997.56931890346493</v>
      </c>
      <c r="R74" s="192"/>
    </row>
    <row r="75" spans="2:18" outlineLevel="1" x14ac:dyDescent="0.25">
      <c r="B75" s="3" t="str">
        <f t="shared" si="13"/>
        <v>Essential</v>
      </c>
      <c r="C75" s="3" t="str">
        <f t="shared" si="13"/>
        <v>Residential</v>
      </c>
      <c r="D75" s="3" t="str">
        <f t="shared" si="13"/>
        <v>without CL</v>
      </c>
      <c r="F75" s="175"/>
      <c r="G75" s="3" t="s">
        <v>41</v>
      </c>
      <c r="H75" s="172"/>
      <c r="I75" s="172"/>
      <c r="J75" s="172">
        <f>J74*GST</f>
        <v>89.098180000000013</v>
      </c>
      <c r="K75" s="192"/>
      <c r="L75" s="199"/>
      <c r="M75" s="191">
        <f>IF(OR(J75=0,Q75=""),"",Q75/J75-1)</f>
        <v>0.11962928861562028</v>
      </c>
      <c r="N75" s="197"/>
      <c r="O75" s="172"/>
      <c r="P75" s="172"/>
      <c r="Q75" s="172">
        <f>Q74*GST</f>
        <v>99.756931890346493</v>
      </c>
      <c r="R75" s="192"/>
    </row>
    <row r="76" spans="2:18" x14ac:dyDescent="0.25">
      <c r="B76" s="3" t="str">
        <f t="shared" si="13"/>
        <v>Essential</v>
      </c>
      <c r="C76" s="3" t="str">
        <f t="shared" si="13"/>
        <v>Residential</v>
      </c>
      <c r="D76" s="3" t="str">
        <f t="shared" si="13"/>
        <v>without CL</v>
      </c>
      <c r="F76" s="175"/>
      <c r="G76" s="5" t="s">
        <v>87</v>
      </c>
      <c r="H76" s="174"/>
      <c r="I76" s="174"/>
      <c r="J76" s="174">
        <f>SUM(J74:J75)</f>
        <v>980.07997999999998</v>
      </c>
      <c r="K76" s="193"/>
      <c r="L76" s="200"/>
      <c r="M76" s="191">
        <f>IF(OR(J76=0,Q76=""),"",Q76/J76-1)</f>
        <v>0.11962928861562028</v>
      </c>
      <c r="N76" s="198"/>
      <c r="O76" s="174"/>
      <c r="P76" s="174"/>
      <c r="Q76" s="174">
        <f>SUM(Q74:Q75)</f>
        <v>1097.3262507938114</v>
      </c>
      <c r="R76" s="193"/>
    </row>
    <row r="77" spans="2:18" x14ac:dyDescent="0.25">
      <c r="F77" s="175"/>
      <c r="H77" s="172"/>
      <c r="I77" s="172"/>
      <c r="J77" s="172"/>
      <c r="K77" s="191"/>
      <c r="L77" s="199"/>
      <c r="M77" s="191"/>
      <c r="N77" s="197"/>
      <c r="O77" s="172"/>
      <c r="P77" s="172"/>
      <c r="Q77" s="172"/>
      <c r="R77" s="191"/>
    </row>
    <row r="78" spans="2:18" x14ac:dyDescent="0.25">
      <c r="B78" s="5" t="s">
        <v>3</v>
      </c>
      <c r="C78" s="5" t="s">
        <v>6</v>
      </c>
      <c r="D78" s="5" t="s">
        <v>147</v>
      </c>
      <c r="F78" s="175"/>
      <c r="H78" s="172"/>
      <c r="I78" s="172"/>
      <c r="J78" s="172"/>
      <c r="K78" s="191"/>
      <c r="L78" s="199"/>
      <c r="M78" s="191"/>
      <c r="N78" s="197"/>
      <c r="O78" s="172"/>
      <c r="P78" s="172"/>
      <c r="Q78" s="172"/>
      <c r="R78" s="191"/>
    </row>
    <row r="79" spans="2:18" x14ac:dyDescent="0.25">
      <c r="B79" s="3" t="str">
        <f t="shared" ref="B79:D91" si="15">B$78</f>
        <v>Essential</v>
      </c>
      <c r="C79" s="3" t="str">
        <f t="shared" si="15"/>
        <v>Residential</v>
      </c>
      <c r="D79" s="3" t="str">
        <f t="shared" si="15"/>
        <v>with CL</v>
      </c>
      <c r="E79" s="3" t="s">
        <v>22</v>
      </c>
      <c r="F79" s="175">
        <f t="array" ref="F79">IFERROR(INDEX(Usage!$B$5:$P$18,MATCH($B79,Usage!$B$5:$B$18,0),MATCH($C79&amp;$D79&amp;$E79,Usage!$B$5:$S$5&amp;Usage!$B$6:$S$6&amp;Usage!$B$7:$S$7,0)),0)</f>
        <v>4600</v>
      </c>
      <c r="G79" s="22" t="s">
        <v>63</v>
      </c>
      <c r="H79" s="172">
        <f t="array" ref="H79">INDEX('Key inputs'!$B$17:$N$41,MATCH($B79&amp;$C79&amp;$E79,'Key inputs'!$B$17:$B$41&amp;'Key inputs'!$C$17:$C$41&amp;'Key inputs'!$D$17:$D$41,0),MATCH($G79&amp;H$4&amp;H$5,'Key inputs'!$B$18:$N$18&amp;'Key inputs'!$B$19:$N$19&amp;'Key inputs'!$B$20:$N$20,0))</f>
        <v>332.66660000000002</v>
      </c>
      <c r="I79" s="172">
        <f t="array" ref="I79">INDEX('Key inputs'!$B$17:$N$41,MATCH($B79&amp;$C79&amp;$E79,'Key inputs'!$B$17:$B$41&amp;'Key inputs'!$C$17:$C$41&amp;'Key inputs'!$D$17:$D$41,0),MATCH($G79&amp;I$4&amp;I$5,'Key inputs'!$B$18:$N$18&amp;'Key inputs'!$B$19:$N$19&amp;'Key inputs'!$B$20:$N$20,0))</f>
        <v>113.262</v>
      </c>
      <c r="J79" s="172">
        <f>H79+I79*$F79/1000</f>
        <v>853.67180000000008</v>
      </c>
      <c r="K79" s="191">
        <f>IFERROR(J79/J81,"")</f>
        <v>0.95812484609674409</v>
      </c>
      <c r="L79" s="191"/>
      <c r="M79" s="191">
        <f t="shared" ref="M79:M80" si="16">IF(OR(J79=0,J79="",Q79=""),"",Q79/J79-1)</f>
        <v>0.10680424779788567</v>
      </c>
      <c r="N79" s="188"/>
      <c r="O79" s="172">
        <f t="array" ref="O79">INDEX('Key inputs'!$B$17:$N$41,MATCH($B79&amp;$C79&amp;$E79,'Key inputs'!$B$17:$B$41&amp;'Key inputs'!$C$17:$C$41&amp;'Key inputs'!$D$17:$D$41,0),MATCH($G79&amp;O$4&amp;O$5,'Key inputs'!$B$18:$N$18&amp;'Key inputs'!$B$19:$N$19&amp;'Key inputs'!$B$20:$N$20,0))</f>
        <v>376.317420282189</v>
      </c>
      <c r="P79" s="172">
        <f t="array" ref="P79">INDEX('Key inputs'!$B$17:$N$41,MATCH($B79&amp;$C79&amp;$E79,'Key inputs'!$B$17:$B$41&amp;'Key inputs'!$C$17:$C$41&amp;'Key inputs'!$D$17:$D$41,0),MATCH($G79&amp;P$4&amp;P$5,'Key inputs'!$B$18:$N$18&amp;'Key inputs'!$B$19:$N$19&amp;'Key inputs'!$B$20:$N$20,0))</f>
        <v>123.59351177893001</v>
      </c>
      <c r="Q79" s="172">
        <f>O79+P79*$F79/1000</f>
        <v>944.84757446526714</v>
      </c>
      <c r="R79" s="191">
        <f>IFERROR(Q79/Q81,"")</f>
        <v>0.95701353780028442</v>
      </c>
    </row>
    <row r="80" spans="2:18" x14ac:dyDescent="0.25">
      <c r="B80" s="3" t="str">
        <f t="shared" si="15"/>
        <v>Essential</v>
      </c>
      <c r="C80" s="3" t="str">
        <f t="shared" si="15"/>
        <v>Residential</v>
      </c>
      <c r="D80" s="3" t="str">
        <f t="shared" si="15"/>
        <v>with CL</v>
      </c>
      <c r="E80" s="3" t="s">
        <v>22</v>
      </c>
      <c r="F80" s="175">
        <f t="array" ref="F80">IFERROR(INDEX(Usage!$B$5:$P$18,MATCH($B80,Usage!$B$5:$B$18,0),MATCH($C80&amp;$D80&amp;$E80,Usage!$B$5:$S$5&amp;Usage!$B$6:$S$6&amp;Usage!$B$7:$S$7,0)),0)</f>
        <v>4600</v>
      </c>
      <c r="G80" s="22" t="s">
        <v>67</v>
      </c>
      <c r="H80" s="172">
        <f t="array" ref="H80">INDEX('Key inputs'!$B$17:$N$41,MATCH($B80&amp;$C80&amp;$E80,'Key inputs'!$B$17:$B$41&amp;'Key inputs'!$C$17:$C$41&amp;'Key inputs'!$D$17:$D$41,0),MATCH($G80&amp;H$4&amp;H$5,'Key inputs'!$B$18:$N$18&amp;'Key inputs'!$B$19:$N$19&amp;'Key inputs'!$B$20:$N$20,0))</f>
        <v>37.31</v>
      </c>
      <c r="I80" s="172">
        <f>IFERROR(INDEX('Detail inputs'!$B$3:$K$196,MATCH($B80&amp;$C80&amp;$E80&amp;$G80&amp;I$5,'Detail inputs'!$B$3:$B$196&amp;'Detail inputs'!$D$3:$D$196&amp;'Detail inputs'!$F$3:$F$196&amp;'Detail inputs'!$G$3:$G$196&amp;'Detail inputs'!$H$3:$H$196,0),MATCH(I$4,'Detail inputs'!$B$3:$K$3,0)),0)</f>
        <v>0</v>
      </c>
      <c r="J80" s="172">
        <f>H80+I80*$F80/1000</f>
        <v>37.31</v>
      </c>
      <c r="K80" s="191">
        <f>IFERROR(J80/J81,"")</f>
        <v>4.1875153903255941E-2</v>
      </c>
      <c r="L80" s="191"/>
      <c r="M80" s="191">
        <f t="shared" si="16"/>
        <v>0.13749664969177156</v>
      </c>
      <c r="N80" s="188"/>
      <c r="O80" s="172">
        <f t="array" ref="O80">INDEX('Key inputs'!$B$17:$N$41,MATCH($B80&amp;$C80&amp;$E80,'Key inputs'!$B$17:$B$41&amp;'Key inputs'!$C$17:$C$41&amp;'Key inputs'!$D$17:$D$41,0),MATCH($G80&amp;O$4&amp;O$5,'Key inputs'!$B$18:$N$18&amp;'Key inputs'!$B$19:$N$19&amp;'Key inputs'!$B$20:$N$20,0))</f>
        <v>42.44</v>
      </c>
      <c r="P80" s="172">
        <f>IFERROR(INDEX('Detail inputs'!$B$3:$K$196,MATCH($B80&amp;$C80&amp;$E80&amp;$G80&amp;P$5,'Detail inputs'!$B$3:$B$196&amp;'Detail inputs'!$D$3:$D$196&amp;'Detail inputs'!$F$3:$F$196&amp;'Detail inputs'!$G$3:$G$196&amp;'Detail inputs'!$H$3:$H$196,0),MATCH(P$4,'Detail inputs'!$B$3:$K$3,0)),0)</f>
        <v>0</v>
      </c>
      <c r="Q80" s="172">
        <f>O80+P80*$F80/1000</f>
        <v>42.44</v>
      </c>
      <c r="R80" s="191">
        <f>IFERROR(Q80/Q81,"")</f>
        <v>4.298646219971549E-2</v>
      </c>
    </row>
    <row r="81" spans="2:18" x14ac:dyDescent="0.25">
      <c r="B81" s="3" t="str">
        <f t="shared" si="15"/>
        <v>Essential</v>
      </c>
      <c r="C81" s="3" t="str">
        <f t="shared" si="15"/>
        <v>Residential</v>
      </c>
      <c r="D81" s="3" t="str">
        <f t="shared" si="15"/>
        <v>with CL</v>
      </c>
      <c r="E81" s="3" t="s">
        <v>22</v>
      </c>
      <c r="F81" s="175">
        <f t="array" ref="F81">IFERROR(INDEX(Usage!$B$5:$P$18,MATCH($B81,Usage!$B$5:$B$18,0),MATCH($C81&amp;$D81&amp;$E81,Usage!$B$5:$S$5&amp;Usage!$B$6:$S$6&amp;Usage!$B$7:$S$7,0)),0)</f>
        <v>4600</v>
      </c>
      <c r="G81" s="3" t="s">
        <v>61</v>
      </c>
      <c r="H81" s="172"/>
      <c r="I81" s="172"/>
      <c r="J81" s="172">
        <f>SUM(J79:J80)</f>
        <v>890.98180000000002</v>
      </c>
      <c r="K81" s="191"/>
      <c r="L81" s="199"/>
      <c r="M81" s="191">
        <f>IF(OR(J81=0,Q81=""),"",Q81/J81-1)</f>
        <v>0.10808949685085278</v>
      </c>
      <c r="N81" s="197"/>
      <c r="O81" s="172"/>
      <c r="P81" s="172"/>
      <c r="Q81" s="172">
        <f>IF(AND(Q79="",Q80=""),J81*(1+M81),SUM(Q79:Q80))</f>
        <v>987.2875744652672</v>
      </c>
      <c r="R81" s="191"/>
    </row>
    <row r="82" spans="2:18" x14ac:dyDescent="0.25">
      <c r="B82" s="3" t="str">
        <f t="shared" si="15"/>
        <v>Essential</v>
      </c>
      <c r="C82" s="3" t="str">
        <f t="shared" si="15"/>
        <v>Residential</v>
      </c>
      <c r="D82" s="3" t="str">
        <f t="shared" si="15"/>
        <v>with CL</v>
      </c>
      <c r="E82" s="3" t="s">
        <v>16</v>
      </c>
      <c r="F82" s="175">
        <f t="array" ref="F82">IFERROR(INDEX(Usage!$B$5:$P$18,MATCH($B82,Usage!$B$5:$B$18,0),MATCH($C82&amp;$D82&amp;$E82,Usage!$B$5:$S$5&amp;Usage!$B$6:$S$6&amp;Usage!$B$7:$S$7,0)),0)</f>
        <v>1540</v>
      </c>
      <c r="G82" s="22" t="s">
        <v>63</v>
      </c>
      <c r="H82" s="172">
        <f t="array" ref="H82">INDEX('Key inputs'!$B$17:$N$41,MATCH($B82&amp;$C82&amp;$E82,'Key inputs'!$B$17:$B$41&amp;'Key inputs'!$C$17:$C$41&amp;'Key inputs'!$D$17:$D$41,0),MATCH($G82&amp;H$4&amp;H$5,'Key inputs'!$B$18:$N$18&amp;'Key inputs'!$B$19:$N$19&amp;'Key inputs'!$B$20:$N$20,0))</f>
        <v>34.8446</v>
      </c>
      <c r="I82" s="172">
        <f t="array" ref="I82">INDEX('Key inputs'!$B$17:$N$41,MATCH($B82&amp;$C82&amp;$E82,'Key inputs'!$B$17:$B$41&amp;'Key inputs'!$C$17:$C$41&amp;'Key inputs'!$D$17:$D$41,0),MATCH($G82&amp;I$4&amp;I$5,'Key inputs'!$B$18:$N$18&amp;'Key inputs'!$B$19:$N$19&amp;'Key inputs'!$B$20:$N$20,0))</f>
        <v>25.316000000000003</v>
      </c>
      <c r="J82" s="172">
        <f>H82*INDEX(Usage!$B$4:$M$18,MATCH($B82,Usage!$B$4:$B$18,0),MATCH(IF($E82="CL1","CL1 Proportion","CL2 Proportion"),Usage!$B$8:$M$8,0))+I82*$F82/1000</f>
        <v>65.81698200000001</v>
      </c>
      <c r="K82" s="191">
        <f>IFERROR(J82/J84,"")</f>
        <v>0.88196036592286564</v>
      </c>
      <c r="L82" s="191"/>
      <c r="M82" s="191">
        <f t="shared" ref="M82:M83" si="17">IF(OR(J82=0,J82="",Q82=""),"",Q82/J82-1)</f>
        <v>5.9419685311190129E-2</v>
      </c>
      <c r="N82" s="188"/>
      <c r="O82" s="172">
        <f t="array" ref="O82">INDEX('Key inputs'!$B$17:$N$41,MATCH($B82&amp;$C82&amp;$E82,'Key inputs'!$B$17:$B$41&amp;'Key inputs'!$C$17:$C$41&amp;'Key inputs'!$D$17:$D$41,0),MATCH($G82&amp;O$4&amp;O$5,'Key inputs'!$B$18:$N$18&amp;'Key inputs'!$B$19:$N$19&amp;'Key inputs'!$B$20:$N$20,0))</f>
        <v>38.833019735391701</v>
      </c>
      <c r="P82" s="172">
        <f t="array" ref="P82">INDEX('Key inputs'!$B$17:$N$41,MATCH($B82&amp;$C82&amp;$E82,'Key inputs'!$B$17:$B$41&amp;'Key inputs'!$C$17:$C$41&amp;'Key inputs'!$D$17:$D$41,0),MATCH($G82&amp;P$4&amp;P$5,'Key inputs'!$B$18:$N$18&amp;'Key inputs'!$B$19:$N$19&amp;'Key inputs'!$B$20:$N$20,0))</f>
        <v>25.861286469039399</v>
      </c>
      <c r="Q82" s="172">
        <f>O82*INDEX(Usage!$B$4:$M$18,MATCH($B82,Usage!$B$4:$B$18,0),MATCH(IF($E82="CL1","CL1 Proportion","CL2 Proportion"),Usage!$B$8:$M$8,0))+P82*$F82/1000</f>
        <v>69.72780635857228</v>
      </c>
      <c r="R82" s="191">
        <f>IFERROR(Q82/Q84,"")</f>
        <v>0.87556271453398926</v>
      </c>
    </row>
    <row r="83" spans="2:18" x14ac:dyDescent="0.25">
      <c r="B83" s="3" t="str">
        <f t="shared" si="15"/>
        <v>Essential</v>
      </c>
      <c r="C83" s="3" t="str">
        <f t="shared" si="15"/>
        <v>Residential</v>
      </c>
      <c r="D83" s="3" t="str">
        <f t="shared" si="15"/>
        <v>with CL</v>
      </c>
      <c r="E83" s="3" t="s">
        <v>16</v>
      </c>
      <c r="F83" s="175">
        <f t="array" ref="F83">IFERROR(INDEX(Usage!$B$5:$P$18,MATCH($B83,Usage!$B$5:$B$18,0),MATCH($C83&amp;$D83&amp;$E83,Usage!$B$5:$S$5&amp;Usage!$B$6:$S$6&amp;Usage!$B$7:$S$7,0)),0)</f>
        <v>1540</v>
      </c>
      <c r="G83" s="22" t="s">
        <v>67</v>
      </c>
      <c r="H83" s="172">
        <f t="array" ref="H83">INDEX('Key inputs'!$B$17:$N$41,MATCH($B83&amp;$C83&amp;$E83,'Key inputs'!$B$17:$B$41&amp;'Key inputs'!$C$17:$C$41&amp;'Key inputs'!$D$17:$D$41,0),MATCH($G83&amp;H$4&amp;H$5,'Key inputs'!$B$18:$N$18&amp;'Key inputs'!$B$19:$N$19&amp;'Key inputs'!$B$20:$N$20,0))</f>
        <v>11.440000000000001</v>
      </c>
      <c r="I83" s="172">
        <f>IFERROR(INDEX('Detail inputs'!$B$3:$K$196,MATCH($B83&amp;$C83&amp;$E83&amp;$G83&amp;I$5,'Detail inputs'!$B$3:$B$196&amp;'Detail inputs'!$D$3:$D$196&amp;'Detail inputs'!$F$3:$F$196&amp;'Detail inputs'!$G$3:$G$196&amp;'Detail inputs'!$H$3:$H$196,0),MATCH(I$4,'Detail inputs'!$B$3:$K$3,0)),0)</f>
        <v>0</v>
      </c>
      <c r="J83" s="172">
        <f>H83*INDEX(Usage!$B$4:$M$18,MATCH($B83,Usage!$B$4:$B$18,0),MATCH(IF($E83="CL1","CL1 Proportion","CL2 Proportion"),Usage!$B$8:$M$8,0))+I83*$F83/1000</f>
        <v>8.8088000000000015</v>
      </c>
      <c r="K83" s="191">
        <f>IFERROR(J83/J84,"")</f>
        <v>0.11803963407713436</v>
      </c>
      <c r="L83" s="191"/>
      <c r="M83" s="191">
        <f t="shared" si="17"/>
        <v>0.12499999999999978</v>
      </c>
      <c r="N83" s="188"/>
      <c r="O83" s="172">
        <f t="array" ref="O83">INDEX('Key inputs'!$B$17:$N$41,MATCH($B83&amp;$C83&amp;$E83,'Key inputs'!$B$17:$B$41&amp;'Key inputs'!$C$17:$C$41&amp;'Key inputs'!$D$17:$D$41,0),MATCH($G83&amp;O$4&amp;O$5,'Key inputs'!$B$18:$N$18&amp;'Key inputs'!$B$19:$N$19&amp;'Key inputs'!$B$20:$N$20,0))</f>
        <v>12.87</v>
      </c>
      <c r="P83" s="172">
        <f>IFERROR(INDEX('Detail inputs'!$B$3:$K$196,MATCH($B83&amp;$C83&amp;$E83&amp;$G83&amp;P$5,'Detail inputs'!$B$3:$B$196&amp;'Detail inputs'!$D$3:$D$196&amp;'Detail inputs'!$F$3:$F$196&amp;'Detail inputs'!$G$3:$G$196&amp;'Detail inputs'!$H$3:$H$196,0),MATCH(P$4,'Detail inputs'!$B$3:$K$3,0)),0)</f>
        <v>0</v>
      </c>
      <c r="Q83" s="172">
        <f>O83*INDEX(Usage!$B$4:$M$18,MATCH($B83,Usage!$B$4:$B$18,0),MATCH(IF($E83="CL1","CL1 Proportion","CL2 Proportion"),Usage!$B$8:$M$8,0))+P83*$F83/1000</f>
        <v>9.9099000000000004</v>
      </c>
      <c r="R83" s="191">
        <f>IFERROR(Q83/Q84,"")</f>
        <v>0.12443728546601078</v>
      </c>
    </row>
    <row r="84" spans="2:18" x14ac:dyDescent="0.25">
      <c r="B84" s="3" t="str">
        <f t="shared" si="15"/>
        <v>Essential</v>
      </c>
      <c r="C84" s="3" t="str">
        <f t="shared" si="15"/>
        <v>Residential</v>
      </c>
      <c r="D84" s="3" t="str">
        <f t="shared" si="15"/>
        <v>with CL</v>
      </c>
      <c r="E84" s="3" t="s">
        <v>16</v>
      </c>
      <c r="F84" s="175">
        <f t="array" ref="F84">IFERROR(INDEX(Usage!$B$5:$P$18,MATCH($B84,Usage!$B$5:$B$18,0),MATCH($C84&amp;$D84&amp;$E84,Usage!$B$5:$S$5&amp;Usage!$B$6:$S$6&amp;Usage!$B$7:$S$7,0)),0)</f>
        <v>1540</v>
      </c>
      <c r="G84" s="3" t="s">
        <v>61</v>
      </c>
      <c r="H84" s="172"/>
      <c r="I84" s="172"/>
      <c r="J84" s="172">
        <f>SUM(J82:J83)</f>
        <v>74.625782000000015</v>
      </c>
      <c r="K84" s="191"/>
      <c r="L84" s="199"/>
      <c r="M84" s="191">
        <f>IF(OR(J84=0,Q84=""),"",Q84/J84-1)</f>
        <v>6.7160761659720514E-2</v>
      </c>
      <c r="N84" s="197"/>
      <c r="O84" s="172"/>
      <c r="P84" s="172"/>
      <c r="Q84" s="172">
        <f>IF(AND(Q82="",Q83=""),J84*(1+M84),SUM(Q82:Q83))</f>
        <v>79.637706358572274</v>
      </c>
      <c r="R84" s="191"/>
    </row>
    <row r="85" spans="2:18" x14ac:dyDescent="0.25">
      <c r="B85" s="3" t="str">
        <f t="shared" si="15"/>
        <v>Essential</v>
      </c>
      <c r="C85" s="3" t="str">
        <f t="shared" si="15"/>
        <v>Residential</v>
      </c>
      <c r="D85" s="3" t="str">
        <f t="shared" si="15"/>
        <v>with CL</v>
      </c>
      <c r="E85" s="3" t="s">
        <v>17</v>
      </c>
      <c r="F85" s="175">
        <f t="array" ref="F85">IFERROR(INDEX(Usage!$B$5:$P$18,MATCH($B85,Usage!$B$5:$B$18,0),MATCH($C85&amp;$D85&amp;$E85,Usage!$B$5:$S$5&amp;Usage!$B$6:$S$6&amp;Usage!$B$7:$S$7,0)),0)</f>
        <v>460</v>
      </c>
      <c r="G85" s="22" t="s">
        <v>63</v>
      </c>
      <c r="H85" s="172">
        <f t="array" ref="H85">INDEX('Key inputs'!$B$17:$N$41,MATCH($B85&amp;$C85&amp;$E85,'Key inputs'!$B$17:$B$41&amp;'Key inputs'!$C$17:$C$41&amp;'Key inputs'!$D$17:$D$41,0),MATCH($G85&amp;H$4&amp;H$5,'Key inputs'!$B$18:$N$18&amp;'Key inputs'!$B$19:$N$19&amp;'Key inputs'!$B$20:$N$20,0))</f>
        <v>34.8446</v>
      </c>
      <c r="I85" s="172">
        <f t="array" ref="I85">INDEX('Key inputs'!$B$17:$N$41,MATCH($B85&amp;$C85&amp;$E85,'Key inputs'!$B$17:$B$41&amp;'Key inputs'!$C$17:$C$41&amp;'Key inputs'!$D$17:$D$41,0),MATCH($G85&amp;I$4&amp;I$5,'Key inputs'!$B$18:$N$18&amp;'Key inputs'!$B$19:$N$19&amp;'Key inputs'!$B$20:$N$20,0))</f>
        <v>52.500999999999998</v>
      </c>
      <c r="J85" s="172">
        <f>H85*INDEX(Usage!$B$4:$M$18,MATCH($B85,Usage!$B$4:$B$18,0),MATCH(IF($E85="CL1","CL1 Proportion","CL2 Proportion"),Usage!$B$8:$M$8,0))+I85*$F85/1000</f>
        <v>32.164718000000001</v>
      </c>
      <c r="K85" s="191">
        <f>IFERROR(J85/J87,"")</f>
        <v>0.92438193468555707</v>
      </c>
      <c r="L85" s="191"/>
      <c r="M85" s="191">
        <f t="shared" ref="M85:M86" si="18">IF(OR(J85=0,J85="",Q85=""),"",Q85/J85-1)</f>
        <v>7.4791638739801325E-2</v>
      </c>
      <c r="N85" s="188"/>
      <c r="O85" s="172">
        <f t="array" ref="O85">INDEX('Key inputs'!$B$17:$N$41,MATCH($B85&amp;$C85&amp;$E85,'Key inputs'!$B$17:$B$41&amp;'Key inputs'!$C$17:$C$41&amp;'Key inputs'!$D$17:$D$41,0),MATCH($G85&amp;O$4&amp;O$5,'Key inputs'!$B$18:$N$18&amp;'Key inputs'!$B$19:$N$19&amp;'Key inputs'!$B$20:$N$20,0))</f>
        <v>38.833019735391701</v>
      </c>
      <c r="P85" s="172">
        <f t="array" ref="P85">INDEX('Key inputs'!$B$17:$N$41,MATCH($B85&amp;$C85&amp;$E85,'Key inputs'!$B$17:$B$41&amp;'Key inputs'!$C$17:$C$41&amp;'Key inputs'!$D$17:$D$41,0),MATCH($G85&amp;P$4&amp;P$5,'Key inputs'!$B$18:$N$18&amp;'Key inputs'!$B$19:$N$19&amp;'Key inputs'!$B$20:$N$20,0))</f>
        <v>55.736468325398889</v>
      </c>
      <c r="Q85" s="172">
        <f>O85*INDEX(Usage!$B$4:$M$18,MATCH($B85,Usage!$B$4:$B$18,0),MATCH(IF($E85="CL1","CL1 Proportion","CL2 Proportion"),Usage!$B$8:$M$8,0))+P85*$F85/1000</f>
        <v>34.570369968823584</v>
      </c>
      <c r="R85" s="191">
        <f>IFERROR(Q85/Q87,"")</f>
        <v>0.92112808599362228</v>
      </c>
    </row>
    <row r="86" spans="2:18" x14ac:dyDescent="0.25">
      <c r="B86" s="3" t="str">
        <f t="shared" si="15"/>
        <v>Essential</v>
      </c>
      <c r="C86" s="3" t="str">
        <f t="shared" si="15"/>
        <v>Residential</v>
      </c>
      <c r="D86" s="3" t="str">
        <f t="shared" si="15"/>
        <v>with CL</v>
      </c>
      <c r="E86" s="3" t="s">
        <v>17</v>
      </c>
      <c r="F86" s="175">
        <f t="array" ref="F86">IFERROR(INDEX(Usage!$B$5:$P$18,MATCH($B86,Usage!$B$5:$B$18,0),MATCH($C86&amp;$D86&amp;$E86,Usage!$B$5:$S$5&amp;Usage!$B$6:$S$6&amp;Usage!$B$7:$S$7,0)),0)</f>
        <v>460</v>
      </c>
      <c r="G86" s="22" t="s">
        <v>67</v>
      </c>
      <c r="H86" s="172">
        <f t="array" ref="H86">INDEX('Key inputs'!$B$17:$N$41,MATCH($B86&amp;$C86&amp;$E86,'Key inputs'!$B$17:$B$41&amp;'Key inputs'!$C$17:$C$41&amp;'Key inputs'!$D$17:$D$41,0),MATCH($G86&amp;H$4&amp;H$5,'Key inputs'!$B$18:$N$18&amp;'Key inputs'!$B$19:$N$19&amp;'Key inputs'!$B$20:$N$20,0))</f>
        <v>11.440000000000001</v>
      </c>
      <c r="I86" s="172">
        <f>IFERROR(INDEX('Detail inputs'!$B$3:$K$196,MATCH($B86&amp;$C86&amp;$E86&amp;$G86&amp;I$5,'Detail inputs'!$B$3:$B$196&amp;'Detail inputs'!$D$3:$D$196&amp;'Detail inputs'!$F$3:$F$196&amp;'Detail inputs'!$G$3:$G$196&amp;'Detail inputs'!$H$3:$H$196,0),MATCH(I$4,'Detail inputs'!$B$3:$K$3,0)),0)</f>
        <v>0</v>
      </c>
      <c r="J86" s="172">
        <f>H86*INDEX(Usage!$B$4:$M$18,MATCH($B86,Usage!$B$4:$B$18,0),MATCH(IF($E86="CL1","CL1 Proportion","CL2 Proportion"),Usage!$B$8:$M$8,0))+I86*$F86/1000</f>
        <v>2.6312000000000002</v>
      </c>
      <c r="K86" s="191">
        <f>IFERROR(J86/J87,"")</f>
        <v>7.5618065314442928E-2</v>
      </c>
      <c r="L86" s="191"/>
      <c r="M86" s="191">
        <f t="shared" si="18"/>
        <v>0.12499999999999978</v>
      </c>
      <c r="N86" s="188"/>
      <c r="O86" s="172">
        <f t="array" ref="O86">INDEX('Key inputs'!$B$17:$N$41,MATCH($B86&amp;$C86&amp;$E86,'Key inputs'!$B$17:$B$41&amp;'Key inputs'!$C$17:$C$41&amp;'Key inputs'!$D$17:$D$41,0),MATCH($G86&amp;O$4&amp;O$5,'Key inputs'!$B$18:$N$18&amp;'Key inputs'!$B$19:$N$19&amp;'Key inputs'!$B$20:$N$20,0))</f>
        <v>12.87</v>
      </c>
      <c r="P86" s="172">
        <f>IFERROR(INDEX('Detail inputs'!$B$3:$K$196,MATCH($B86&amp;$C86&amp;$E86&amp;$G86&amp;P$5,'Detail inputs'!$B$3:$B$196&amp;'Detail inputs'!$D$3:$D$196&amp;'Detail inputs'!$F$3:$F$196&amp;'Detail inputs'!$G$3:$G$196&amp;'Detail inputs'!$H$3:$H$196,0),MATCH(P$4,'Detail inputs'!$B$3:$K$3,0)),0)</f>
        <v>0</v>
      </c>
      <c r="Q86" s="172">
        <f>O86*INDEX(Usage!$B$4:$M$18,MATCH($B86,Usage!$B$4:$B$18,0),MATCH(IF($E86="CL1","CL1 Proportion","CL2 Proportion"),Usage!$B$8:$M$8,0))+P86*$F86/1000</f>
        <v>2.9600999999999997</v>
      </c>
      <c r="R86" s="191">
        <f>IFERROR(Q86/Q87,"")</f>
        <v>7.8871914006377844E-2</v>
      </c>
    </row>
    <row r="87" spans="2:18" x14ac:dyDescent="0.25">
      <c r="B87" s="3" t="str">
        <f t="shared" si="15"/>
        <v>Essential</v>
      </c>
      <c r="C87" s="3" t="str">
        <f t="shared" si="15"/>
        <v>Residential</v>
      </c>
      <c r="D87" s="3" t="str">
        <f t="shared" si="15"/>
        <v>with CL</v>
      </c>
      <c r="E87" s="3" t="s">
        <v>17</v>
      </c>
      <c r="F87" s="175">
        <f t="array" ref="F87">IFERROR(INDEX(Usage!$B$5:$P$18,MATCH($B87,Usage!$B$5:$B$18,0),MATCH($C87&amp;$D87&amp;$E87,Usage!$B$5:$S$5&amp;Usage!$B$6:$S$6&amp;Usage!$B$7:$S$7,0)),0)</f>
        <v>460</v>
      </c>
      <c r="G87" s="3" t="s">
        <v>61</v>
      </c>
      <c r="H87" s="172"/>
      <c r="I87" s="172"/>
      <c r="J87" s="172">
        <f>SUM(J85:J86)</f>
        <v>34.795918</v>
      </c>
      <c r="K87" s="191"/>
      <c r="L87" s="199"/>
      <c r="M87" s="191">
        <f>IF(OR(J87=0,Q87=""),"",Q87/J87-1)</f>
        <v>7.8588297880906044E-2</v>
      </c>
      <c r="N87" s="197"/>
      <c r="O87" s="172"/>
      <c r="P87" s="172"/>
      <c r="Q87" s="172">
        <f>IF(AND(Q85="",Q86=""),J87*(1+M87),SUM(Q85:Q86))</f>
        <v>37.530469968823581</v>
      </c>
      <c r="R87" s="191"/>
    </row>
    <row r="88" spans="2:18" x14ac:dyDescent="0.25">
      <c r="B88" s="3" t="str">
        <f t="shared" si="15"/>
        <v>Essential</v>
      </c>
      <c r="C88" s="3" t="str">
        <f t="shared" si="15"/>
        <v>Residential</v>
      </c>
      <c r="D88" s="3" t="str">
        <f t="shared" si="15"/>
        <v>with CL</v>
      </c>
      <c r="E88" s="3" t="s">
        <v>61</v>
      </c>
      <c r="F88" s="175">
        <f t="array" ref="F88">IFERROR(INDEX(Usage!$B$5:$P$18,MATCH($B88,Usage!$B$5:$B$18,0),MATCH($C88&amp;$D88&amp;$E88,Usage!$B$5:$S$5&amp;Usage!$B$6:$S$6&amp;Usage!$B$7:$S$7,0)),0)</f>
        <v>6600</v>
      </c>
      <c r="G88" s="3" t="s">
        <v>248</v>
      </c>
      <c r="H88" s="172" cm="1">
        <f t="array" ref="H88">IFERROR(INDEX('Detail inputs'!$B$3:$K$196,MATCH($B88&amp;$G88&amp;H$5,'Detail inputs'!$B$3:$B$196&amp;'Detail inputs'!$G$3:$G$196&amp;'Detail inputs'!$H$3:$H$196,0),MATCH(H$4,'Detail inputs'!$B$3:$K$3,0)),0)</f>
        <v>0</v>
      </c>
      <c r="I88" s="172" cm="1">
        <f t="array" ref="I88">IFERROR(INDEX('Detail inputs'!$B$3:$K$196,MATCH($B88&amp;$G88&amp;I$5,'Detail inputs'!$B$3:$B$196&amp;'Detail inputs'!$G$3:$G$196&amp;'Detail inputs'!$H$3:$H$196,0),MATCH(I$4,'Detail inputs'!$B$3:$K$3,0)),0)</f>
        <v>0</v>
      </c>
      <c r="J88" s="172">
        <f>H88+I88*$F88/1000</f>
        <v>0</v>
      </c>
      <c r="K88" s="191">
        <f>IFERROR(J88/J89,"")</f>
        <v>0</v>
      </c>
      <c r="L88" s="191"/>
      <c r="M88" s="191" t="str">
        <f t="shared" ref="M88:M89" si="19">IF(OR(J88=0,J88="",Q88=""),"",Q88/J88-1)</f>
        <v/>
      </c>
      <c r="N88" s="188"/>
      <c r="O88" s="172" cm="1">
        <f t="array" ref="O88">IFERROR(INDEX('Detail inputs'!$B$3:$K$196,MATCH($B88&amp;$G88&amp;O$5,'Detail inputs'!$B$3:$B$196&amp;'Detail inputs'!$G$3:$G$196&amp;'Detail inputs'!$H$3:$H$196,0),MATCH(O$4,'Detail inputs'!$B$3:$K$3,0)),0)</f>
        <v>0</v>
      </c>
      <c r="P88" s="172" cm="1">
        <f t="array" ref="P88">IFERROR(INDEX('Detail inputs'!$B$3:$K$196,MATCH($B88&amp;$G88&amp;P$5,'Detail inputs'!$B$3:$B$196&amp;'Detail inputs'!$G$3:$G$196&amp;'Detail inputs'!$H$3:$H$196,0),MATCH(P$4,'Detail inputs'!$B$3:$K$3,0)),0)</f>
        <v>2.2351618343908117</v>
      </c>
      <c r="Q88" s="172">
        <f>O88+P88*$F88/1000</f>
        <v>14.752068106979356</v>
      </c>
      <c r="R88" s="191">
        <f>IFERROR(Q88/Q89,"")</f>
        <v>1.3180812229745644E-2</v>
      </c>
    </row>
    <row r="89" spans="2:18" x14ac:dyDescent="0.25">
      <c r="B89" s="3" t="str">
        <f t="shared" si="15"/>
        <v>Essential</v>
      </c>
      <c r="C89" s="3" t="str">
        <f t="shared" si="15"/>
        <v>Residential</v>
      </c>
      <c r="D89" s="3" t="str">
        <f t="shared" si="15"/>
        <v>with CL</v>
      </c>
      <c r="E89" s="3" t="s">
        <v>61</v>
      </c>
      <c r="F89" s="175">
        <f t="array" ref="F89">IFERROR(INDEX(Usage!$B$5:$P$18,MATCH($B89,Usage!$B$5:$B$18,0),MATCH($C89&amp;$D89&amp;$E89,Usage!$B$5:$S$5&amp;Usage!$B$6:$S$6&amp;Usage!$B$7:$S$7,0)),0)</f>
        <v>6600</v>
      </c>
      <c r="G89" s="3" t="s">
        <v>61</v>
      </c>
      <c r="H89" s="172"/>
      <c r="I89" s="172"/>
      <c r="J89" s="172">
        <f>SUM(J81,J84,J87,J88)</f>
        <v>1000.4035000000001</v>
      </c>
      <c r="K89" s="192"/>
      <c r="L89" s="199"/>
      <c r="M89" s="191">
        <f t="shared" si="19"/>
        <v>0.11875640069196303</v>
      </c>
      <c r="N89" s="197"/>
      <c r="O89" s="172"/>
      <c r="P89" s="172"/>
      <c r="Q89" s="172">
        <f>SUM(Q81,Q84,Q87,Q88)</f>
        <v>1119.2078188996425</v>
      </c>
      <c r="R89" s="192"/>
    </row>
    <row r="90" spans="2:18" outlineLevel="1" x14ac:dyDescent="0.25">
      <c r="B90" s="3" t="str">
        <f t="shared" si="15"/>
        <v>Essential</v>
      </c>
      <c r="C90" s="3" t="str">
        <f t="shared" si="15"/>
        <v>Residential</v>
      </c>
      <c r="D90" s="3" t="str">
        <f t="shared" si="15"/>
        <v>with CL</v>
      </c>
      <c r="F90" s="175"/>
      <c r="G90" s="3" t="s">
        <v>41</v>
      </c>
      <c r="H90" s="172"/>
      <c r="I90" s="172"/>
      <c r="J90" s="172">
        <f>J89*GST</f>
        <v>100.04035000000002</v>
      </c>
      <c r="K90" s="192"/>
      <c r="L90" s="199"/>
      <c r="M90" s="191">
        <f>IF(OR(J90=0,Q90=""),"",Q90/J90-1)</f>
        <v>0.11875640069196303</v>
      </c>
      <c r="N90" s="197"/>
      <c r="O90" s="172"/>
      <c r="P90" s="172"/>
      <c r="Q90" s="172">
        <f>Q89*GST</f>
        <v>111.92078188996425</v>
      </c>
      <c r="R90" s="192"/>
    </row>
    <row r="91" spans="2:18" x14ac:dyDescent="0.25">
      <c r="B91" s="3" t="str">
        <f t="shared" si="15"/>
        <v>Essential</v>
      </c>
      <c r="C91" s="3" t="str">
        <f t="shared" si="15"/>
        <v>Residential</v>
      </c>
      <c r="D91" s="3" t="str">
        <f t="shared" si="15"/>
        <v>with CL</v>
      </c>
      <c r="F91" s="175"/>
      <c r="G91" s="5" t="s">
        <v>87</v>
      </c>
      <c r="H91" s="174"/>
      <c r="I91" s="174"/>
      <c r="J91" s="174">
        <f>SUM(J89:J90)</f>
        <v>1100.4438500000001</v>
      </c>
      <c r="K91" s="193"/>
      <c r="L91" s="200"/>
      <c r="M91" s="191">
        <f>IF(OR(J91=0,Q91=""),"",Q91/J91-1)</f>
        <v>0.11875640069196325</v>
      </c>
      <c r="N91" s="198"/>
      <c r="O91" s="174"/>
      <c r="P91" s="174"/>
      <c r="Q91" s="174">
        <f>SUM(Q89:Q90)</f>
        <v>1231.1286007896067</v>
      </c>
      <c r="R91" s="193"/>
    </row>
    <row r="92" spans="2:18" x14ac:dyDescent="0.25">
      <c r="F92" s="175"/>
      <c r="H92" s="172"/>
      <c r="I92" s="172"/>
      <c r="J92" s="172"/>
      <c r="K92" s="191"/>
      <c r="L92" s="199"/>
      <c r="M92" s="191"/>
      <c r="N92" s="197"/>
      <c r="O92" s="172"/>
      <c r="P92" s="172"/>
      <c r="Q92" s="172"/>
      <c r="R92" s="191"/>
    </row>
    <row r="93" spans="2:18" x14ac:dyDescent="0.25">
      <c r="B93" s="5" t="s">
        <v>3</v>
      </c>
      <c r="C93" s="5" t="s">
        <v>15</v>
      </c>
      <c r="D93" s="5" t="s">
        <v>146</v>
      </c>
      <c r="E93" s="5"/>
      <c r="F93" s="201"/>
      <c r="H93" s="172"/>
      <c r="I93" s="172"/>
      <c r="J93" s="172"/>
      <c r="K93" s="191"/>
      <c r="L93" s="199"/>
      <c r="M93" s="191"/>
      <c r="N93" s="197"/>
      <c r="O93" s="172"/>
      <c r="P93" s="172"/>
      <c r="Q93" s="172"/>
      <c r="R93" s="191"/>
    </row>
    <row r="94" spans="2:18" x14ac:dyDescent="0.25">
      <c r="B94" s="3" t="str">
        <f t="shared" ref="B94:D99" si="20">B$93</f>
        <v>Essential</v>
      </c>
      <c r="C94" s="3" t="str">
        <f t="shared" si="20"/>
        <v>Small business</v>
      </c>
      <c r="D94" s="3" t="str">
        <f t="shared" si="20"/>
        <v>without CL</v>
      </c>
      <c r="E94" s="3" t="s">
        <v>22</v>
      </c>
      <c r="F94" s="175">
        <f t="array" ref="F94">IFERROR(INDEX(Usage!$B$5:$P$18,MATCH($B94,Usage!$B$5:$B$18,0),MATCH($C94&amp;$D94&amp;$E94,Usage!$B$5:$S$5&amp;Usage!$B$6:$S$6&amp;Usage!$B$7:$S$7,0)),0)</f>
        <v>10000</v>
      </c>
      <c r="G94" s="3" t="s">
        <v>63</v>
      </c>
      <c r="H94" s="172">
        <f t="array" ref="H94">INDEX('Key inputs'!$B$17:$N$41,MATCH($B94&amp;$C94&amp;$E94,'Key inputs'!$B$17:$B$41&amp;'Key inputs'!$C$17:$C$41&amp;'Key inputs'!$D$17:$D$41,0),MATCH($G94&amp;H$4&amp;H$5,'Key inputs'!$B$18:$N$18&amp;'Key inputs'!$B$19:$N$19&amp;'Key inputs'!$B$20:$N$20,0))</f>
        <v>332.66660000000002</v>
      </c>
      <c r="I94" s="172">
        <f t="array" ref="I94">INDEX('Key inputs'!$B$17:$N$41,MATCH($B94&amp;$C94&amp;$E94,'Key inputs'!$B$17:$B$41&amp;'Key inputs'!$C$17:$C$41&amp;'Key inputs'!$D$17:$D$41,0),MATCH($G94&amp;I$4&amp;I$5,'Key inputs'!$B$18:$N$18&amp;'Key inputs'!$B$19:$N$19&amp;'Key inputs'!$B$20:$N$20,0))</f>
        <v>155.99299999999999</v>
      </c>
      <c r="J94" s="172">
        <f>H94+I94*$F94/1000</f>
        <v>1892.5966000000001</v>
      </c>
      <c r="K94" s="191">
        <f>IFERROR(J94/J97,"")</f>
        <v>0.98066745820756307</v>
      </c>
      <c r="L94" s="191"/>
      <c r="M94" s="191">
        <f t="shared" ref="M94:M97" si="21">IF(OR(J94=0,J94="",Q94=""),"",Q94/J94-1)</f>
        <v>9.3849089434927313E-2</v>
      </c>
      <c r="N94" s="188"/>
      <c r="O94" s="172">
        <f t="array" ref="O94">INDEX('Key inputs'!$B$17:$N$41,MATCH($B94&amp;$C94&amp;$E94,'Key inputs'!$B$17:$B$41&amp;'Key inputs'!$C$17:$C$41&amp;'Key inputs'!$D$17:$D$41,0),MATCH($G94&amp;O$4&amp;O$5,'Key inputs'!$B$18:$N$18&amp;'Key inputs'!$B$19:$N$19&amp;'Key inputs'!$B$20:$N$20,0))</f>
        <v>376.317420282189</v>
      </c>
      <c r="P94" s="172">
        <f t="array" ref="P94">INDEX('Key inputs'!$B$17:$N$41,MATCH($B94&amp;$C94&amp;$E94,'Key inputs'!$B$17:$B$41&amp;'Key inputs'!$C$17:$C$41&amp;'Key inputs'!$D$17:$D$41,0),MATCH($G94&amp;P$4&amp;P$5,'Key inputs'!$B$18:$N$18&amp;'Key inputs'!$B$19:$N$19&amp;'Key inputs'!$B$20:$N$20,0))</f>
        <v>169.38976472954502</v>
      </c>
      <c r="Q94" s="172">
        <f>O94+P94*$F94/1000</f>
        <v>2070.2150675776393</v>
      </c>
      <c r="R94" s="191">
        <f>IFERROR(Q94/Q97,"")</f>
        <v>0.96965273281289899</v>
      </c>
    </row>
    <row r="95" spans="2:18" x14ac:dyDescent="0.25">
      <c r="B95" s="3" t="str">
        <f t="shared" si="20"/>
        <v>Essential</v>
      </c>
      <c r="C95" s="3" t="str">
        <f t="shared" si="20"/>
        <v>Small business</v>
      </c>
      <c r="D95" s="3" t="str">
        <f t="shared" si="20"/>
        <v>without CL</v>
      </c>
      <c r="E95" s="3" t="s">
        <v>22</v>
      </c>
      <c r="F95" s="175">
        <f t="array" ref="F95">IFERROR(INDEX(Usage!$B$5:$P$18,MATCH($B95,Usage!$B$5:$B$18,0),MATCH($C95&amp;$D95&amp;$E95,Usage!$B$5:$S$5&amp;Usage!$B$6:$S$6&amp;Usage!$B$7:$S$7,0)),0)</f>
        <v>10000</v>
      </c>
      <c r="G95" s="3" t="s">
        <v>67</v>
      </c>
      <c r="H95" s="172">
        <f t="array" ref="H95">INDEX('Key inputs'!$B$17:$N$41,MATCH($B95&amp;$C95&amp;$E95,'Key inputs'!$B$17:$B$41&amp;'Key inputs'!$C$17:$C$41&amp;'Key inputs'!$D$17:$D$41,0),MATCH($G95&amp;H$4&amp;H$5,'Key inputs'!$B$18:$N$18&amp;'Key inputs'!$B$19:$N$19&amp;'Key inputs'!$B$20:$N$20,0))</f>
        <v>37.31</v>
      </c>
      <c r="I95" s="172">
        <f>IFERROR(INDEX('Detail inputs'!$B$3:$K$196,MATCH($B95&amp;$C95&amp;$E95&amp;$G95&amp;I$5,'Detail inputs'!$B$3:$B$196&amp;'Detail inputs'!$D$3:$D$196&amp;'Detail inputs'!$F$3:$F$196&amp;'Detail inputs'!$G$3:$G$196&amp;'Detail inputs'!$H$3:$H$196,0),MATCH(I$4,'Detail inputs'!$B$3:$K$3,0)),0)</f>
        <v>0</v>
      </c>
      <c r="J95" s="172">
        <f>H95+I95*$F95/1000</f>
        <v>37.31</v>
      </c>
      <c r="K95" s="191">
        <f>IFERROR(J95/J97,"")</f>
        <v>1.9332541792437003E-2</v>
      </c>
      <c r="L95" s="191"/>
      <c r="M95" s="191">
        <f t="shared" si="21"/>
        <v>0.13749664969177156</v>
      </c>
      <c r="N95" s="188"/>
      <c r="O95" s="172">
        <f t="array" ref="O95">INDEX('Key inputs'!$B$17:$N$41,MATCH($B95&amp;$C95&amp;$E95,'Key inputs'!$B$17:$B$41&amp;'Key inputs'!$C$17:$C$41&amp;'Key inputs'!$D$17:$D$41,0),MATCH($G95&amp;O$4&amp;O$5,'Key inputs'!$B$18:$N$18&amp;'Key inputs'!$B$19:$N$19&amp;'Key inputs'!$B$20:$N$20,0))</f>
        <v>42.44</v>
      </c>
      <c r="P95" s="172">
        <f>IFERROR(INDEX('Detail inputs'!$B$3:$K$196,MATCH($B95&amp;$C95&amp;$E95&amp;$G95&amp;P$5,'Detail inputs'!$B$3:$B$196&amp;'Detail inputs'!$D$3:$D$196&amp;'Detail inputs'!$F$3:$F$196&amp;'Detail inputs'!$G$3:$G$196&amp;'Detail inputs'!$H$3:$H$196,0),MATCH(P$4,'Detail inputs'!$B$3:$K$3,0)),0)</f>
        <v>0</v>
      </c>
      <c r="Q95" s="172">
        <f>O95+P95*$F95/1000</f>
        <v>42.44</v>
      </c>
      <c r="R95" s="191">
        <f>IFERROR(Q95/Q97,"")</f>
        <v>1.9878157890489849E-2</v>
      </c>
    </row>
    <row r="96" spans="2:18" x14ac:dyDescent="0.25">
      <c r="B96" s="3" t="str">
        <f t="shared" si="20"/>
        <v>Essential</v>
      </c>
      <c r="C96" s="3" t="str">
        <f t="shared" si="20"/>
        <v>Small business</v>
      </c>
      <c r="D96" s="3" t="str">
        <f t="shared" si="20"/>
        <v>without CL</v>
      </c>
      <c r="E96" s="3" t="s">
        <v>22</v>
      </c>
      <c r="F96" s="175">
        <f t="array" ref="F96">IFERROR(INDEX(Usage!$B$5:$P$18,MATCH($B96,Usage!$B$5:$B$18,0),MATCH($C96&amp;$D96&amp;$E96,Usage!$B$5:$S$5&amp;Usage!$B$6:$S$6&amp;Usage!$B$7:$S$7,0)),0)</f>
        <v>10000</v>
      </c>
      <c r="G96" s="3" t="s">
        <v>248</v>
      </c>
      <c r="H96" s="172" cm="1">
        <f t="array" ref="H96">IFERROR(INDEX('Detail inputs'!$B$3:$K$196,MATCH($B96&amp;$G96&amp;H$5,'Detail inputs'!$B$3:$B$196&amp;'Detail inputs'!$G$3:$G$196&amp;'Detail inputs'!$H$3:$H$196,0),MATCH(H$4,'Detail inputs'!$B$3:$K$3,0)),0)</f>
        <v>0</v>
      </c>
      <c r="I96" s="172" cm="1">
        <f t="array" ref="I96">IFERROR(INDEX('Detail inputs'!$B$3:$K$196,MATCH($B96&amp;$G96&amp;I$5,'Detail inputs'!$B$3:$B$196&amp;'Detail inputs'!$G$3:$G$196&amp;'Detail inputs'!$H$3:$H$196,0),MATCH(I$4,'Detail inputs'!$B$3:$K$3,0)),0)</f>
        <v>0</v>
      </c>
      <c r="J96" s="172">
        <f>H96+I96*$F96/1000</f>
        <v>0</v>
      </c>
      <c r="K96" s="191">
        <f>IFERROR(J96/J97,"")</f>
        <v>0</v>
      </c>
      <c r="L96" s="191"/>
      <c r="M96" s="191" t="str">
        <f t="shared" si="21"/>
        <v/>
      </c>
      <c r="N96" s="188"/>
      <c r="O96" s="172" cm="1">
        <f t="array" ref="O96">IFERROR(INDEX('Detail inputs'!$B$3:$K$196,MATCH($B96&amp;$G96&amp;O$5,'Detail inputs'!$B$3:$B$196&amp;'Detail inputs'!$G$3:$G$196&amp;'Detail inputs'!$H$3:$H$196,0),MATCH(O$4,'Detail inputs'!$B$3:$K$3,0)),0)</f>
        <v>0</v>
      </c>
      <c r="P96" s="172" cm="1">
        <f t="array" ref="P96">IFERROR(INDEX('Detail inputs'!$B$3:$K$196,MATCH($B96&amp;$G96&amp;P$5,'Detail inputs'!$B$3:$B$196&amp;'Detail inputs'!$G$3:$G$196&amp;'Detail inputs'!$H$3:$H$196,0),MATCH(P$4,'Detail inputs'!$B$3:$K$3,0)),0)</f>
        <v>2.2351618343908117</v>
      </c>
      <c r="Q96" s="172">
        <f>O96+P96*$F96/1000</f>
        <v>22.351618343908118</v>
      </c>
      <c r="R96" s="191">
        <f>IFERROR(Q96/Q97,"")</f>
        <v>1.0469109296611094E-2</v>
      </c>
    </row>
    <row r="97" spans="2:18" x14ac:dyDescent="0.25">
      <c r="B97" s="3" t="str">
        <f t="shared" si="20"/>
        <v>Essential</v>
      </c>
      <c r="C97" s="3" t="str">
        <f t="shared" si="20"/>
        <v>Small business</v>
      </c>
      <c r="D97" s="3" t="str">
        <f t="shared" si="20"/>
        <v>without CL</v>
      </c>
      <c r="E97" s="3" t="s">
        <v>22</v>
      </c>
      <c r="F97" s="175">
        <f t="array" ref="F97">IFERROR(INDEX(Usage!$B$5:$P$18,MATCH($B97,Usage!$B$5:$B$18,0),MATCH($C97&amp;$D97&amp;$E97,Usage!$B$5:$S$5&amp;Usage!$B$6:$S$6&amp;Usage!$B$7:$S$7,0)),0)</f>
        <v>10000</v>
      </c>
      <c r="G97" s="3" t="s">
        <v>61</v>
      </c>
      <c r="H97" s="172"/>
      <c r="I97" s="172"/>
      <c r="J97" s="172">
        <f>SUM(J94:J96)</f>
        <v>1929.9066</v>
      </c>
      <c r="K97" s="192"/>
      <c r="L97" s="199"/>
      <c r="M97" s="191">
        <f t="shared" si="21"/>
        <v>0.10627461760146706</v>
      </c>
      <c r="N97" s="197"/>
      <c r="O97" s="172"/>
      <c r="P97" s="172"/>
      <c r="Q97" s="172">
        <f>SUM(Q94:Q96)</f>
        <v>2135.0066859215476</v>
      </c>
      <c r="R97" s="192"/>
    </row>
    <row r="98" spans="2:18" outlineLevel="1" x14ac:dyDescent="0.25">
      <c r="B98" s="3" t="str">
        <f t="shared" si="20"/>
        <v>Essential</v>
      </c>
      <c r="C98" s="3" t="str">
        <f t="shared" si="20"/>
        <v>Small business</v>
      </c>
      <c r="D98" s="3" t="str">
        <f t="shared" si="20"/>
        <v>without CL</v>
      </c>
      <c r="F98" s="175"/>
      <c r="G98" s="3" t="s">
        <v>41</v>
      </c>
      <c r="H98" s="172"/>
      <c r="I98" s="172"/>
      <c r="J98" s="172">
        <f>J97*GST</f>
        <v>192.99066000000002</v>
      </c>
      <c r="K98" s="192"/>
      <c r="L98" s="199"/>
      <c r="M98" s="191">
        <f>IF(OR(J98=0,Q98=""),"",Q98/J98-1)</f>
        <v>0.10627461760146706</v>
      </c>
      <c r="N98" s="197"/>
      <c r="O98" s="172"/>
      <c r="P98" s="172"/>
      <c r="Q98" s="172">
        <f>Q97*GST</f>
        <v>213.50066859215477</v>
      </c>
      <c r="R98" s="192"/>
    </row>
    <row r="99" spans="2:18" x14ac:dyDescent="0.25">
      <c r="B99" s="3" t="str">
        <f t="shared" si="20"/>
        <v>Essential</v>
      </c>
      <c r="C99" s="3" t="str">
        <f t="shared" si="20"/>
        <v>Small business</v>
      </c>
      <c r="D99" s="3" t="str">
        <f t="shared" si="20"/>
        <v>without CL</v>
      </c>
      <c r="F99" s="175"/>
      <c r="G99" s="5" t="s">
        <v>87</v>
      </c>
      <c r="H99" s="174"/>
      <c r="I99" s="174"/>
      <c r="J99" s="174">
        <f>SUM(J97:J98)</f>
        <v>2122.8972600000002</v>
      </c>
      <c r="K99" s="193"/>
      <c r="L99" s="200"/>
      <c r="M99" s="191">
        <f>IF(OR(J99=0,Q99=""),"",Q99/J99-1)</f>
        <v>0.10627461760146706</v>
      </c>
      <c r="N99" s="198"/>
      <c r="O99" s="174"/>
      <c r="P99" s="174"/>
      <c r="Q99" s="174">
        <f>SUM(Q97:Q98)</f>
        <v>2348.5073545137025</v>
      </c>
      <c r="R99" s="193"/>
    </row>
    <row r="100" spans="2:18" x14ac:dyDescent="0.25">
      <c r="F100" s="197"/>
      <c r="H100" s="172"/>
      <c r="I100" s="172"/>
      <c r="J100" s="172"/>
      <c r="K100" s="199"/>
      <c r="L100" s="199"/>
      <c r="M100" s="199"/>
      <c r="N100" s="197"/>
      <c r="O100" s="172"/>
      <c r="P100" s="172"/>
      <c r="Q100" s="172"/>
      <c r="R100" s="199"/>
    </row>
    <row r="101" spans="2:18" x14ac:dyDescent="0.25">
      <c r="B101" s="5" t="s">
        <v>0</v>
      </c>
      <c r="C101" s="5" t="s">
        <v>6</v>
      </c>
      <c r="D101" s="5" t="s">
        <v>146</v>
      </c>
      <c r="F101" s="175"/>
      <c r="H101" s="172"/>
      <c r="I101" s="172"/>
      <c r="J101" s="172"/>
      <c r="K101" s="191"/>
      <c r="L101" s="191"/>
      <c r="M101" s="191"/>
      <c r="N101" s="188"/>
      <c r="O101" s="172"/>
      <c r="P101" s="172"/>
      <c r="Q101" s="172"/>
      <c r="R101" s="191"/>
    </row>
    <row r="102" spans="2:18" x14ac:dyDescent="0.25">
      <c r="B102" s="3" t="str">
        <f t="shared" ref="B102:D106" si="22">B$101</f>
        <v>Energex</v>
      </c>
      <c r="C102" s="3" t="str">
        <f t="shared" si="22"/>
        <v>Residential</v>
      </c>
      <c r="D102" s="3" t="str">
        <f t="shared" si="22"/>
        <v>without CL</v>
      </c>
      <c r="E102" s="3" t="s">
        <v>22</v>
      </c>
      <c r="F102" s="175">
        <f t="array" ref="F102">IFERROR(INDEX(Usage!$B$5:$P$18,MATCH($B102,Usage!$B$5:$B$18,0),MATCH($C102&amp;$D102&amp;$E102,Usage!$B$5:$S$5&amp;Usage!$B$6:$S$6&amp;Usage!$B$7:$S$7,0)),0)</f>
        <v>4600</v>
      </c>
      <c r="G102" s="3" t="s">
        <v>63</v>
      </c>
      <c r="H102" s="172">
        <f t="array" ref="H102">INDEX('Key inputs'!$B$17:$N$41,MATCH($B102&amp;$C102&amp;$E102,'Key inputs'!$B$17:$B$41&amp;'Key inputs'!$C$17:$C$41&amp;'Key inputs'!$D$17:$D$41,0),MATCH($G102&amp;H$4&amp;H$5,'Key inputs'!$B$18:$N$18&amp;'Key inputs'!$B$19:$N$19&amp;'Key inputs'!$B$20:$N$20,0))</f>
        <v>188.26700000000002</v>
      </c>
      <c r="I102" s="172">
        <f t="array" ref="I102">INDEX('Key inputs'!$B$17:$N$41,MATCH($B102&amp;$C102&amp;$E102,'Key inputs'!$B$17:$B$41&amp;'Key inputs'!$C$17:$C$41&amp;'Key inputs'!$D$17:$D$41,0),MATCH($G102&amp;I$4&amp;I$5,'Key inputs'!$B$18:$N$18&amp;'Key inputs'!$B$19:$N$19&amp;'Key inputs'!$B$20:$N$20,0))</f>
        <v>74.399999999999991</v>
      </c>
      <c r="J102" s="172">
        <f>H102+I102*$F102/1000</f>
        <v>530.50699999999995</v>
      </c>
      <c r="K102" s="191">
        <f>IFERROR(J102/J104,"")</f>
        <v>0.93083324706497506</v>
      </c>
      <c r="L102" s="191"/>
      <c r="M102" s="191">
        <f t="shared" ref="M102:M106" si="23">IF(OR(J102=0,J102="",Q102=""),"",Q102/J102-1)</f>
        <v>5.1884517954071008E-2</v>
      </c>
      <c r="N102" s="188"/>
      <c r="O102" s="172">
        <f t="array" ref="O102">INDEX('Key inputs'!$B$17:$N$41,MATCH($B102&amp;$C102&amp;$E102,'Key inputs'!$B$17:$B$41&amp;'Key inputs'!$C$17:$C$41&amp;'Key inputs'!$D$17:$D$41,0),MATCH($G102&amp;O$4&amp;O$5,'Key inputs'!$B$18:$N$18&amp;'Key inputs'!$B$19:$N$19&amp;'Key inputs'!$B$20:$N$20,0))</f>
        <v>202.29970607642335</v>
      </c>
      <c r="P102" s="172">
        <f t="array" ref="P102">INDEX('Key inputs'!$B$17:$N$41,MATCH($B102&amp;$C102&amp;$E102,'Key inputs'!$B$17:$B$41&amp;'Key inputs'!$C$17:$C$41&amp;'Key inputs'!$D$17:$D$41,0),MATCH($G102&amp;P$4&amp;P$5,'Key inputs'!$B$18:$N$18&amp;'Key inputs'!$B$19:$N$19&amp;'Key inputs'!$B$20:$N$20,0))</f>
        <v>77.333129106486297</v>
      </c>
      <c r="Q102" s="172">
        <f>O102+P102*$F102/1000</f>
        <v>558.03209996626026</v>
      </c>
      <c r="R102" s="191">
        <f>IFERROR(Q102/Q104,"")</f>
        <v>0.9292139551875076</v>
      </c>
    </row>
    <row r="103" spans="2:18" x14ac:dyDescent="0.25">
      <c r="B103" s="3" t="str">
        <f t="shared" si="22"/>
        <v>Energex</v>
      </c>
      <c r="C103" s="3" t="str">
        <f t="shared" si="22"/>
        <v>Residential</v>
      </c>
      <c r="D103" s="3" t="str">
        <f t="shared" si="22"/>
        <v>without CL</v>
      </c>
      <c r="E103" s="3" t="s">
        <v>22</v>
      </c>
      <c r="F103" s="175">
        <f t="array" ref="F103">IFERROR(INDEX(Usage!$B$5:$P$18,MATCH($B103,Usage!$B$5:$B$18,0),MATCH($C103&amp;$D103&amp;$E103,Usage!$B$5:$S$5&amp;Usage!$B$6:$S$6&amp;Usage!$B$7:$S$7,0)),0)</f>
        <v>4600</v>
      </c>
      <c r="G103" s="3" t="s">
        <v>67</v>
      </c>
      <c r="H103" s="172">
        <f t="array" ref="H103">INDEX('Key inputs'!$B$17:$N$41,MATCH($B103&amp;$C103&amp;$E103,'Key inputs'!$B$17:$B$41&amp;'Key inputs'!$C$17:$C$41&amp;'Key inputs'!$D$17:$D$41,0),MATCH($G103&amp;H$4&amp;H$5,'Key inputs'!$B$18:$N$18&amp;'Key inputs'!$B$19:$N$19&amp;'Key inputs'!$B$20:$N$20,0))</f>
        <v>39.42</v>
      </c>
      <c r="I103" s="172">
        <f>IFERROR(INDEX('Detail inputs'!$B$3:$K$196,MATCH($B103&amp;$C103&amp;$E103&amp;$G103&amp;I$5,'Detail inputs'!$B$3:$B$196&amp;'Detail inputs'!$D$3:$D$196&amp;'Detail inputs'!$F$3:$F$196&amp;'Detail inputs'!$G$3:$G$196&amp;'Detail inputs'!$H$3:$H$196,0),MATCH(I$4,'Detail inputs'!$B$3:$K$3,0)),0)</f>
        <v>0</v>
      </c>
      <c r="J103" s="172">
        <f>H103+I103*$F103/1000</f>
        <v>39.42</v>
      </c>
      <c r="K103" s="191">
        <f>IFERROR(J103/J104,"")</f>
        <v>6.9166752935025028E-2</v>
      </c>
      <c r="L103" s="191"/>
      <c r="M103" s="191">
        <f t="shared" si="23"/>
        <v>7.8386605783866248E-2</v>
      </c>
      <c r="N103" s="188"/>
      <c r="O103" s="172">
        <f t="array" ref="O103">INDEX('Key inputs'!$B$17:$N$41,MATCH($B103&amp;$C103&amp;$E103,'Key inputs'!$B$17:$B$41&amp;'Key inputs'!$C$17:$C$41&amp;'Key inputs'!$D$17:$D$41,0),MATCH($G103&amp;O$4&amp;O$5,'Key inputs'!$B$18:$N$18&amp;'Key inputs'!$B$19:$N$19&amp;'Key inputs'!$B$20:$N$20,0))</f>
        <v>42.510000000000005</v>
      </c>
      <c r="P103" s="172">
        <f>IFERROR(INDEX('Detail inputs'!$B$3:$K$196,MATCH($B103&amp;$C103&amp;$E103&amp;$G103&amp;P$5,'Detail inputs'!$B$3:$B$196&amp;'Detail inputs'!$D$3:$D$196&amp;'Detail inputs'!$F$3:$F$196&amp;'Detail inputs'!$G$3:$G$196&amp;'Detail inputs'!$H$3:$H$196,0),MATCH(P$4,'Detail inputs'!$B$3:$K$3,0)),0)</f>
        <v>0</v>
      </c>
      <c r="Q103" s="172">
        <f>O103+P103*$F103/1000</f>
        <v>42.510000000000005</v>
      </c>
      <c r="R103" s="191">
        <f>IFERROR(Q103/Q104,"")</f>
        <v>7.0786044812492427E-2</v>
      </c>
    </row>
    <row r="104" spans="2:18" x14ac:dyDescent="0.25">
      <c r="B104" s="3" t="str">
        <f t="shared" si="22"/>
        <v>Energex</v>
      </c>
      <c r="C104" s="3" t="str">
        <f t="shared" si="22"/>
        <v>Residential</v>
      </c>
      <c r="D104" s="3" t="str">
        <f t="shared" si="22"/>
        <v>without CL</v>
      </c>
      <c r="E104" s="3" t="s">
        <v>22</v>
      </c>
      <c r="F104" s="175">
        <f t="array" ref="F104">IFERROR(INDEX(Usage!$B$5:$P$18,MATCH($B104,Usage!$B$5:$B$18,0),MATCH($C104&amp;$D104&amp;$E104,Usage!$B$5:$S$5&amp;Usage!$B$6:$S$6&amp;Usage!$B$7:$S$7,0)),0)</f>
        <v>4600</v>
      </c>
      <c r="G104" s="3" t="s">
        <v>61</v>
      </c>
      <c r="H104" s="172"/>
      <c r="I104" s="172"/>
      <c r="J104" s="172">
        <f>SUM(J102:J103)</f>
        <v>569.92699999999991</v>
      </c>
      <c r="K104" s="192"/>
      <c r="L104" s="199"/>
      <c r="M104" s="191">
        <f t="shared" si="23"/>
        <v>5.3717581315256835E-2</v>
      </c>
      <c r="N104" s="197"/>
      <c r="O104" s="172"/>
      <c r="P104" s="172"/>
      <c r="Q104" s="172">
        <f>SUM(Q102:Q103)</f>
        <v>600.54209996626025</v>
      </c>
      <c r="R104" s="192"/>
    </row>
    <row r="105" spans="2:18" outlineLevel="1" x14ac:dyDescent="0.25">
      <c r="B105" s="3" t="str">
        <f t="shared" si="22"/>
        <v>Energex</v>
      </c>
      <c r="C105" s="3" t="str">
        <f t="shared" si="22"/>
        <v>Residential</v>
      </c>
      <c r="D105" s="3" t="str">
        <f t="shared" si="22"/>
        <v>without CL</v>
      </c>
      <c r="F105" s="175"/>
      <c r="G105" s="3" t="s">
        <v>41</v>
      </c>
      <c r="H105" s="172"/>
      <c r="I105" s="172"/>
      <c r="J105" s="172">
        <f>J104*GST</f>
        <v>56.992699999999992</v>
      </c>
      <c r="K105" s="192"/>
      <c r="L105" s="199"/>
      <c r="M105" s="191">
        <f t="shared" si="23"/>
        <v>5.3717581315256835E-2</v>
      </c>
      <c r="N105" s="197"/>
      <c r="O105" s="172"/>
      <c r="P105" s="172"/>
      <c r="Q105" s="172">
        <f>Q104*GST</f>
        <v>60.054209996626028</v>
      </c>
      <c r="R105" s="192"/>
    </row>
    <row r="106" spans="2:18" x14ac:dyDescent="0.25">
      <c r="B106" s="3" t="str">
        <f t="shared" si="22"/>
        <v>Energex</v>
      </c>
      <c r="C106" s="3" t="str">
        <f t="shared" si="22"/>
        <v>Residential</v>
      </c>
      <c r="D106" s="3" t="str">
        <f t="shared" si="22"/>
        <v>without CL</v>
      </c>
      <c r="F106" s="175"/>
      <c r="G106" s="5" t="s">
        <v>87</v>
      </c>
      <c r="H106" s="174"/>
      <c r="I106" s="174"/>
      <c r="J106" s="174">
        <f>SUM(J104:J105)</f>
        <v>626.91969999999992</v>
      </c>
      <c r="K106" s="193"/>
      <c r="L106" s="200"/>
      <c r="M106" s="193">
        <f t="shared" si="23"/>
        <v>5.3717581315256613E-2</v>
      </c>
      <c r="N106" s="198"/>
      <c r="O106" s="174"/>
      <c r="P106" s="174"/>
      <c r="Q106" s="174">
        <f>SUM(Q104:Q105)</f>
        <v>660.59630996288627</v>
      </c>
      <c r="R106" s="193"/>
    </row>
    <row r="107" spans="2:18" x14ac:dyDescent="0.25">
      <c r="F107" s="175"/>
      <c r="H107" s="172"/>
      <c r="I107" s="172"/>
      <c r="J107" s="172"/>
      <c r="K107" s="191"/>
      <c r="L107" s="199"/>
      <c r="M107" s="191"/>
      <c r="N107" s="197"/>
      <c r="O107" s="172"/>
      <c r="P107" s="172"/>
      <c r="Q107" s="172"/>
      <c r="R107" s="191"/>
    </row>
    <row r="108" spans="2:18" x14ac:dyDescent="0.25">
      <c r="B108" s="5" t="s">
        <v>0</v>
      </c>
      <c r="C108" s="5" t="s">
        <v>6</v>
      </c>
      <c r="D108" s="5" t="s">
        <v>147</v>
      </c>
      <c r="F108" s="175"/>
      <c r="H108" s="172"/>
      <c r="I108" s="172"/>
      <c r="J108" s="172"/>
      <c r="K108" s="191"/>
      <c r="L108" s="199"/>
      <c r="M108" s="191"/>
      <c r="N108" s="197"/>
      <c r="O108" s="172"/>
      <c r="P108" s="172"/>
      <c r="Q108" s="172"/>
      <c r="R108" s="191"/>
    </row>
    <row r="109" spans="2:18" x14ac:dyDescent="0.25">
      <c r="B109" s="3" t="str">
        <f t="shared" ref="B109:D120" si="24">B$108</f>
        <v>Energex</v>
      </c>
      <c r="C109" s="3" t="str">
        <f t="shared" si="24"/>
        <v>Residential</v>
      </c>
      <c r="D109" s="3" t="str">
        <f t="shared" si="24"/>
        <v>with CL</v>
      </c>
      <c r="E109" s="3" t="s">
        <v>22</v>
      </c>
      <c r="F109" s="175">
        <f t="array" ref="F109">IFERROR(INDEX(Usage!$B$5:$P$18,MATCH($B109,Usage!$B$5:$B$18,0),MATCH($C109&amp;$D109&amp;$E109,Usage!$B$5:$S$5&amp;Usage!$B$6:$S$6&amp;Usage!$B$7:$S$7,0)),0)</f>
        <v>4400</v>
      </c>
      <c r="G109" s="22" t="s">
        <v>63</v>
      </c>
      <c r="H109" s="172">
        <f t="array" ref="H109">INDEX('Key inputs'!$B$17:$N$41,MATCH($B109&amp;$C109&amp;$E109,'Key inputs'!$B$17:$B$41&amp;'Key inputs'!$C$17:$C$41&amp;'Key inputs'!$D$17:$D$41,0),MATCH($G109&amp;H$4&amp;H$5,'Key inputs'!$B$18:$N$18&amp;'Key inputs'!$B$19:$N$19&amp;'Key inputs'!$B$20:$N$20,0))</f>
        <v>188.26700000000002</v>
      </c>
      <c r="I109" s="172">
        <f t="array" ref="I109">INDEX('Key inputs'!$B$17:$N$41,MATCH($B109&amp;$C109&amp;$E109,'Key inputs'!$B$17:$B$41&amp;'Key inputs'!$C$17:$C$41&amp;'Key inputs'!$D$17:$D$41,0),MATCH($G109&amp;I$4&amp;I$5,'Key inputs'!$B$18:$N$18&amp;'Key inputs'!$B$19:$N$19&amp;'Key inputs'!$B$20:$N$20,0))</f>
        <v>74.399999999999991</v>
      </c>
      <c r="J109" s="172">
        <f>H109+I109*$F109/1000</f>
        <v>515.62699999999995</v>
      </c>
      <c r="K109" s="191">
        <f>IFERROR(J109/J111,"")</f>
        <v>0.92897898736503404</v>
      </c>
      <c r="L109" s="191"/>
      <c r="M109" s="191">
        <f t="shared" ref="M109:M120" si="25">IF(OR(J109=0,J109="",Q109=""),"",Q109/J109-1)</f>
        <v>5.2244110849437808E-2</v>
      </c>
      <c r="N109" s="188"/>
      <c r="O109" s="172">
        <f t="array" ref="O109">INDEX('Key inputs'!$B$17:$N$41,MATCH($B109&amp;$C109&amp;$E109,'Key inputs'!$B$17:$B$41&amp;'Key inputs'!$C$17:$C$41&amp;'Key inputs'!$D$17:$D$41,0),MATCH($G109&amp;O$4&amp;O$5,'Key inputs'!$B$18:$N$18&amp;'Key inputs'!$B$19:$N$19&amp;'Key inputs'!$B$20:$N$20,0))</f>
        <v>202.29970607642335</v>
      </c>
      <c r="P109" s="172">
        <f t="array" ref="P109">INDEX('Key inputs'!$B$17:$N$41,MATCH($B109&amp;$C109&amp;$E109,'Key inputs'!$B$17:$B$41&amp;'Key inputs'!$C$17:$C$41&amp;'Key inputs'!$D$17:$D$41,0),MATCH($G109&amp;P$4&amp;P$5,'Key inputs'!$B$18:$N$18&amp;'Key inputs'!$B$19:$N$19&amp;'Key inputs'!$B$20:$N$20,0))</f>
        <v>77.333129106486297</v>
      </c>
      <c r="Q109" s="172">
        <f>O109+P109*$F109/1000</f>
        <v>542.56547414496299</v>
      </c>
      <c r="R109" s="191">
        <f>IFERROR(Q109/Q111,"")</f>
        <v>0.92734270725990575</v>
      </c>
    </row>
    <row r="110" spans="2:18" x14ac:dyDescent="0.25">
      <c r="B110" s="3" t="str">
        <f t="shared" si="24"/>
        <v>Energex</v>
      </c>
      <c r="C110" s="3" t="str">
        <f t="shared" si="24"/>
        <v>Residential</v>
      </c>
      <c r="D110" s="3" t="str">
        <f t="shared" si="24"/>
        <v>with CL</v>
      </c>
      <c r="E110" s="3" t="s">
        <v>22</v>
      </c>
      <c r="F110" s="175">
        <f t="array" ref="F110">IFERROR(INDEX(Usage!$B$5:$P$18,MATCH($B110,Usage!$B$5:$B$18,0),MATCH($C110&amp;$D110&amp;$E110,Usage!$B$5:$S$5&amp;Usage!$B$6:$S$6&amp;Usage!$B$7:$S$7,0)),0)</f>
        <v>4400</v>
      </c>
      <c r="G110" s="22" t="s">
        <v>67</v>
      </c>
      <c r="H110" s="172">
        <f t="array" ref="H110">INDEX('Key inputs'!$B$17:$N$41,MATCH($B110&amp;$C110&amp;$E110,'Key inputs'!$B$17:$B$41&amp;'Key inputs'!$C$17:$C$41&amp;'Key inputs'!$D$17:$D$41,0),MATCH($G110&amp;H$4&amp;H$5,'Key inputs'!$B$18:$N$18&amp;'Key inputs'!$B$19:$N$19&amp;'Key inputs'!$B$20:$N$20,0))</f>
        <v>39.42</v>
      </c>
      <c r="I110" s="172">
        <f>IFERROR(INDEX('Detail inputs'!$B$3:$K$196,MATCH($B110&amp;$C110&amp;$E110&amp;$G110&amp;I$5,'Detail inputs'!$B$3:$B$196&amp;'Detail inputs'!$D$3:$D$196&amp;'Detail inputs'!$F$3:$F$196&amp;'Detail inputs'!$G$3:$G$196&amp;'Detail inputs'!$H$3:$H$196,0),MATCH(I$4,'Detail inputs'!$B$3:$K$3,0)),0)</f>
        <v>0</v>
      </c>
      <c r="J110" s="172">
        <f>H110+I110*$F110/1000</f>
        <v>39.42</v>
      </c>
      <c r="K110" s="191">
        <f>IFERROR(J110/J111,"")</f>
        <v>7.102101263496606E-2</v>
      </c>
      <c r="L110" s="191"/>
      <c r="M110" s="191">
        <f t="shared" si="25"/>
        <v>7.8386605783866248E-2</v>
      </c>
      <c r="N110" s="188"/>
      <c r="O110" s="172">
        <f t="array" ref="O110">INDEX('Key inputs'!$B$17:$N$41,MATCH($B110&amp;$C110&amp;$E110,'Key inputs'!$B$17:$B$41&amp;'Key inputs'!$C$17:$C$41&amp;'Key inputs'!$D$17:$D$41,0),MATCH($G110&amp;O$4&amp;O$5,'Key inputs'!$B$18:$N$18&amp;'Key inputs'!$B$19:$N$19&amp;'Key inputs'!$B$20:$N$20,0))</f>
        <v>42.510000000000005</v>
      </c>
      <c r="P110" s="172">
        <f>IFERROR(INDEX('Detail inputs'!$B$3:$K$196,MATCH($B110&amp;$C110&amp;$E110&amp;$G110&amp;P$5,'Detail inputs'!$B$3:$B$196&amp;'Detail inputs'!$D$3:$D$196&amp;'Detail inputs'!$F$3:$F$196&amp;'Detail inputs'!$G$3:$G$196&amp;'Detail inputs'!$H$3:$H$196,0),MATCH(P$4,'Detail inputs'!$B$3:$K$3,0)),0)</f>
        <v>0</v>
      </c>
      <c r="Q110" s="172">
        <f>O110+P110*$F110/1000</f>
        <v>42.510000000000005</v>
      </c>
      <c r="R110" s="191">
        <f>IFERROR(Q110/Q111,"")</f>
        <v>7.265729274009422E-2</v>
      </c>
    </row>
    <row r="111" spans="2:18" x14ac:dyDescent="0.25">
      <c r="B111" s="3" t="str">
        <f t="shared" si="24"/>
        <v>Energex</v>
      </c>
      <c r="C111" s="3" t="str">
        <f t="shared" si="24"/>
        <v>Residential</v>
      </c>
      <c r="D111" s="3" t="str">
        <f t="shared" si="24"/>
        <v>with CL</v>
      </c>
      <c r="E111" s="3" t="s">
        <v>22</v>
      </c>
      <c r="F111" s="175">
        <f t="array" ref="F111">IFERROR(INDEX(Usage!$B$5:$P$18,MATCH($B111,Usage!$B$5:$B$18,0),MATCH($C111&amp;$D111&amp;$E111,Usage!$B$5:$S$5&amp;Usage!$B$6:$S$6&amp;Usage!$B$7:$S$7,0)),0)</f>
        <v>4400</v>
      </c>
      <c r="G111" s="3" t="s">
        <v>61</v>
      </c>
      <c r="H111" s="172"/>
      <c r="I111" s="172"/>
      <c r="J111" s="172">
        <f>SUM(J109:J110)</f>
        <v>555.04699999999991</v>
      </c>
      <c r="K111" s="191"/>
      <c r="L111" s="199"/>
      <c r="M111" s="191">
        <f t="shared" si="25"/>
        <v>5.4100777312485304E-2</v>
      </c>
      <c r="N111" s="197"/>
      <c r="O111" s="172"/>
      <c r="P111" s="172"/>
      <c r="Q111" s="172">
        <f>SUM(Q109:Q110)</f>
        <v>585.07547414496298</v>
      </c>
      <c r="R111" s="191"/>
    </row>
    <row r="112" spans="2:18" x14ac:dyDescent="0.25">
      <c r="B112" s="3" t="str">
        <f t="shared" si="24"/>
        <v>Energex</v>
      </c>
      <c r="C112" s="3" t="str">
        <f t="shared" si="24"/>
        <v>Residential</v>
      </c>
      <c r="D112" s="3" t="str">
        <f t="shared" si="24"/>
        <v>with CL</v>
      </c>
      <c r="E112" s="3" t="s">
        <v>16</v>
      </c>
      <c r="F112" s="175">
        <f t="array" ref="F112">IFERROR(INDEX(Usage!$B$5:$P$18,MATCH($B112,Usage!$B$5:$B$18,0),MATCH($C112&amp;$D112&amp;$E112,Usage!$B$5:$S$5&amp;Usage!$B$6:$S$6&amp;Usage!$B$7:$S$7,0)),0)</f>
        <v>551</v>
      </c>
      <c r="G112" s="22" t="s">
        <v>63</v>
      </c>
      <c r="H112" s="172">
        <f t="array" ref="H112">INDEX('Key inputs'!$B$17:$N$41,MATCH($B112&amp;$C112&amp;$E112,'Key inputs'!$B$17:$B$41&amp;'Key inputs'!$C$17:$C$41&amp;'Key inputs'!$D$17:$D$41,0),MATCH($G112&amp;H$4&amp;H$5,'Key inputs'!$B$18:$N$18&amp;'Key inputs'!$B$19:$N$19&amp;'Key inputs'!$B$20:$N$20,0))</f>
        <v>0</v>
      </c>
      <c r="I112" s="172">
        <f t="array" ref="I112">INDEX('Key inputs'!$B$17:$N$41,MATCH($B112&amp;$C112&amp;$E112,'Key inputs'!$B$17:$B$41&amp;'Key inputs'!$C$17:$C$41&amp;'Key inputs'!$D$17:$D$41,0),MATCH($G112&amp;I$4&amp;I$5,'Key inputs'!$B$18:$N$18&amp;'Key inputs'!$B$19:$N$19&amp;'Key inputs'!$B$20:$N$20,0))</f>
        <v>33.700000000000003</v>
      </c>
      <c r="J112" s="172">
        <f>H112*INDEX(Usage!$B$4:$M$18,MATCH($B112,Usage!$B$4:$B$18,0),MATCH(IF($E112="CL1","CL1 Proportion","CL2 Proportion"),Usage!$B$8:$M$8,0))+I112*$F112/1000</f>
        <v>18.5687</v>
      </c>
      <c r="K112" s="191">
        <f>IFERROR(J112/J114,"")</f>
        <v>0.84785487288135586</v>
      </c>
      <c r="L112" s="191"/>
      <c r="M112" s="191">
        <f t="shared" si="25"/>
        <v>7.3040810253028887E-3</v>
      </c>
      <c r="N112" s="188"/>
      <c r="O112" s="172">
        <f t="array" ref="O112">INDEX('Key inputs'!$B$17:$N$41,MATCH($B112&amp;$C112&amp;$E112,'Key inputs'!$B$17:$B$41&amp;'Key inputs'!$C$17:$C$41&amp;'Key inputs'!$D$17:$D$41,0),MATCH($G112&amp;O$4&amp;O$5,'Key inputs'!$B$18:$N$18&amp;'Key inputs'!$B$19:$N$19&amp;'Key inputs'!$B$20:$N$20,0))</f>
        <v>0</v>
      </c>
      <c r="P112" s="172">
        <f t="array" ref="P112">INDEX('Key inputs'!$B$17:$N$41,MATCH($B112&amp;$C112&amp;$E112,'Key inputs'!$B$17:$B$41&amp;'Key inputs'!$C$17:$C$41&amp;'Key inputs'!$D$17:$D$41,0),MATCH($G112&amp;P$4&amp;P$5,'Key inputs'!$B$18:$N$18&amp;'Key inputs'!$B$19:$N$19&amp;'Key inputs'!$B$20:$N$20,0))</f>
        <v>33.9461475305527</v>
      </c>
      <c r="Q112" s="172">
        <f>O112*INDEX(Usage!$B$4:$M$18,MATCH($B112,Usage!$B$4:$B$18,0),MATCH(IF($E112="CL1","CL1 Proportion","CL2 Proportion"),Usage!$B$8:$M$8,0))+P112*$F112/1000</f>
        <v>18.70432728933454</v>
      </c>
      <c r="R112" s="191">
        <f>IFERROR(Q112/Q114,"")</f>
        <v>0.83885584855259621</v>
      </c>
    </row>
    <row r="113" spans="2:18" x14ac:dyDescent="0.25">
      <c r="B113" s="3" t="str">
        <f t="shared" si="24"/>
        <v>Energex</v>
      </c>
      <c r="C113" s="3" t="str">
        <f t="shared" si="24"/>
        <v>Residential</v>
      </c>
      <c r="D113" s="3" t="str">
        <f t="shared" si="24"/>
        <v>with CL</v>
      </c>
      <c r="E113" s="3" t="s">
        <v>16</v>
      </c>
      <c r="F113" s="175">
        <f t="array" ref="F113">IFERROR(INDEX(Usage!$B$5:$P$18,MATCH($B113,Usage!$B$5:$B$18,0),MATCH($C113&amp;$D113&amp;$E113,Usage!$B$5:$S$5&amp;Usage!$B$6:$S$6&amp;Usage!$B$7:$S$7,0)),0)</f>
        <v>551</v>
      </c>
      <c r="G113" s="22" t="s">
        <v>67</v>
      </c>
      <c r="H113" s="172">
        <f t="array" ref="H113">INDEX('Key inputs'!$B$17:$N$41,MATCH($B113&amp;$C113&amp;$E113,'Key inputs'!$B$17:$B$41&amp;'Key inputs'!$C$17:$C$41&amp;'Key inputs'!$D$17:$D$41,0),MATCH($G113&amp;H$4&amp;H$5,'Key inputs'!$B$18:$N$18&amp;'Key inputs'!$B$19:$N$19&amp;'Key inputs'!$B$20:$N$20,0))</f>
        <v>11.49</v>
      </c>
      <c r="I113" s="172">
        <f>IFERROR(INDEX('Detail inputs'!$B$3:$K$196,MATCH($B113&amp;$C113&amp;$E113&amp;$G113&amp;I$5,'Detail inputs'!$B$3:$B$196&amp;'Detail inputs'!$D$3:$D$196&amp;'Detail inputs'!$F$3:$F$196&amp;'Detail inputs'!$G$3:$G$196&amp;'Detail inputs'!$H$3:$H$196,0),MATCH(I$4,'Detail inputs'!$B$3:$K$3,0)),0)</f>
        <v>0</v>
      </c>
      <c r="J113" s="172">
        <f>H113*INDEX(Usage!$B$4:$M$18,MATCH($B113,Usage!$B$4:$B$18,0),MATCH(IF($E113="CL1","CL1 Proportion","CL2 Proportion"),Usage!$B$8:$M$8,0))+I113*$F113/1000</f>
        <v>3.3320999999999996</v>
      </c>
      <c r="K113" s="191">
        <f>IFERROR(J113/J114,"")</f>
        <v>0.15214512711864406</v>
      </c>
      <c r="L113" s="191"/>
      <c r="M113" s="191">
        <f t="shared" si="25"/>
        <v>7.8328981723237545E-2</v>
      </c>
      <c r="N113" s="188"/>
      <c r="O113" s="172">
        <f t="array" ref="O113">INDEX('Key inputs'!$B$17:$N$41,MATCH($B113&amp;$C113&amp;$E113,'Key inputs'!$B$17:$B$41&amp;'Key inputs'!$C$17:$C$41&amp;'Key inputs'!$D$17:$D$41,0),MATCH($G113&amp;O$4&amp;O$5,'Key inputs'!$B$18:$N$18&amp;'Key inputs'!$B$19:$N$19&amp;'Key inputs'!$B$20:$N$20,0))</f>
        <v>12.39</v>
      </c>
      <c r="P113" s="172">
        <f>IFERROR(INDEX('Detail inputs'!$B$3:$K$196,MATCH($B113&amp;$C113&amp;$E113&amp;$G113&amp;P$5,'Detail inputs'!$B$3:$B$196&amp;'Detail inputs'!$D$3:$D$196&amp;'Detail inputs'!$F$3:$F$196&amp;'Detail inputs'!$G$3:$G$196&amp;'Detail inputs'!$H$3:$H$196,0),MATCH(P$4,'Detail inputs'!$B$3:$K$3,0)),0)</f>
        <v>0</v>
      </c>
      <c r="Q113" s="172">
        <f>O113*INDEX(Usage!$B$4:$M$18,MATCH($B113,Usage!$B$4:$B$18,0),MATCH(IF($E113="CL1","CL1 Proportion","CL2 Proportion"),Usage!$B$8:$M$8,0))+P113*$F113/1000</f>
        <v>3.5930999999999997</v>
      </c>
      <c r="R113" s="191">
        <f>IFERROR(Q113/Q114,"")</f>
        <v>0.16114415144740382</v>
      </c>
    </row>
    <row r="114" spans="2:18" x14ac:dyDescent="0.25">
      <c r="B114" s="3" t="str">
        <f t="shared" si="24"/>
        <v>Energex</v>
      </c>
      <c r="C114" s="3" t="str">
        <f t="shared" si="24"/>
        <v>Residential</v>
      </c>
      <c r="D114" s="3" t="str">
        <f t="shared" si="24"/>
        <v>with CL</v>
      </c>
      <c r="E114" s="3" t="s">
        <v>16</v>
      </c>
      <c r="F114" s="175">
        <f t="array" ref="F114">IFERROR(INDEX(Usage!$B$5:$P$18,MATCH($B114,Usage!$B$5:$B$18,0),MATCH($C114&amp;$D114&amp;$E114,Usage!$B$5:$S$5&amp;Usage!$B$6:$S$6&amp;Usage!$B$7:$S$7,0)),0)</f>
        <v>551</v>
      </c>
      <c r="G114" s="3" t="s">
        <v>61</v>
      </c>
      <c r="H114" s="172"/>
      <c r="I114" s="172"/>
      <c r="J114" s="172">
        <f>SUM(J112:J113)</f>
        <v>21.9008</v>
      </c>
      <c r="K114" s="191"/>
      <c r="L114" s="199"/>
      <c r="M114" s="191">
        <f t="shared" si="25"/>
        <v>1.8110173570579091E-2</v>
      </c>
      <c r="N114" s="197"/>
      <c r="O114" s="172"/>
      <c r="P114" s="172"/>
      <c r="Q114" s="172">
        <f>SUM(Q112:Q113)</f>
        <v>22.297427289334539</v>
      </c>
      <c r="R114" s="191"/>
    </row>
    <row r="115" spans="2:18" x14ac:dyDescent="0.25">
      <c r="B115" s="3" t="str">
        <f t="shared" si="24"/>
        <v>Energex</v>
      </c>
      <c r="C115" s="3" t="str">
        <f t="shared" si="24"/>
        <v>Residential</v>
      </c>
      <c r="D115" s="3" t="str">
        <f t="shared" si="24"/>
        <v>with CL</v>
      </c>
      <c r="E115" s="3" t="s">
        <v>17</v>
      </c>
      <c r="F115" s="175">
        <f t="array" ref="F115">IFERROR(INDEX(Usage!$B$5:$P$18,MATCH($B115,Usage!$B$5:$B$18,0),MATCH($C115&amp;$D115&amp;$E115,Usage!$B$5:$S$5&amp;Usage!$B$6:$S$6&amp;Usage!$B$7:$S$7,0)),0)</f>
        <v>1349</v>
      </c>
      <c r="G115" s="22" t="s">
        <v>63</v>
      </c>
      <c r="H115" s="172">
        <f t="array" ref="H115">INDEX('Key inputs'!$B$17:$N$41,MATCH($B115&amp;$C115&amp;$E115,'Key inputs'!$B$17:$B$41&amp;'Key inputs'!$C$17:$C$41&amp;'Key inputs'!$D$17:$D$41,0),MATCH($G115&amp;H$4&amp;H$5,'Key inputs'!$B$18:$N$18&amp;'Key inputs'!$B$19:$N$19&amp;'Key inputs'!$B$20:$N$20,0))</f>
        <v>0</v>
      </c>
      <c r="I115" s="172">
        <f t="array" ref="I115">INDEX('Key inputs'!$B$17:$N$41,MATCH($B115&amp;$C115&amp;$E115,'Key inputs'!$B$17:$B$41&amp;'Key inputs'!$C$17:$C$41&amp;'Key inputs'!$D$17:$D$41,0),MATCH($G115&amp;I$4&amp;I$5,'Key inputs'!$B$18:$N$18&amp;'Key inputs'!$B$19:$N$19&amp;'Key inputs'!$B$20:$N$20,0))</f>
        <v>43.7</v>
      </c>
      <c r="J115" s="172">
        <f>H115*INDEX(Usage!$B$4:$M$18,MATCH($B115,Usage!$B$4:$B$18,0),MATCH(IF($E115="CL1","CL1 Proportion","CL2 Proportion"),Usage!$B$8:$M$8,0))+I115*$F115/1000</f>
        <v>58.951300000000003</v>
      </c>
      <c r="K115" s="191">
        <f>IFERROR(J115/J117,"")</f>
        <v>0.8784384257300043</v>
      </c>
      <c r="L115" s="191"/>
      <c r="M115" s="191">
        <f t="shared" si="25"/>
        <v>0.27543405778944829</v>
      </c>
      <c r="N115" s="188"/>
      <c r="O115" s="172">
        <f t="array" ref="O115">INDEX('Key inputs'!$B$17:$N$41,MATCH($B115&amp;$C115&amp;$E115,'Key inputs'!$B$17:$B$41&amp;'Key inputs'!$C$17:$C$41&amp;'Key inputs'!$D$17:$D$41,0),MATCH($G115&amp;O$4&amp;O$5,'Key inputs'!$B$18:$N$18&amp;'Key inputs'!$B$19:$N$19&amp;'Key inputs'!$B$20:$N$20,0))</f>
        <v>0</v>
      </c>
      <c r="P115" s="172">
        <f t="array" ref="P115">INDEX('Key inputs'!$B$17:$N$41,MATCH($B115&amp;$C115&amp;$E115,'Key inputs'!$B$17:$B$41&amp;'Key inputs'!$C$17:$C$41&amp;'Key inputs'!$D$17:$D$41,0),MATCH($G115&amp;P$4&amp;P$5,'Key inputs'!$B$18:$N$18&amp;'Key inputs'!$B$19:$N$19&amp;'Key inputs'!$B$20:$N$20,0))</f>
        <v>55.736468325398889</v>
      </c>
      <c r="Q115" s="172">
        <f>O115*INDEX(Usage!$B$4:$M$18,MATCH($B115,Usage!$B$4:$B$18,0),MATCH(IF($E115="CL1","CL1 Proportion","CL2 Proportion"),Usage!$B$8:$M$8,0))+P115*$F115/1000</f>
        <v>75.188495770963101</v>
      </c>
      <c r="R115" s="191">
        <f>IFERROR(Q115/Q117,"")</f>
        <v>0.89525678935906838</v>
      </c>
    </row>
    <row r="116" spans="2:18" x14ac:dyDescent="0.25">
      <c r="B116" s="3" t="str">
        <f t="shared" si="24"/>
        <v>Energex</v>
      </c>
      <c r="C116" s="3" t="str">
        <f t="shared" si="24"/>
        <v>Residential</v>
      </c>
      <c r="D116" s="3" t="str">
        <f t="shared" si="24"/>
        <v>with CL</v>
      </c>
      <c r="E116" s="3" t="s">
        <v>17</v>
      </c>
      <c r="F116" s="175">
        <f t="array" ref="F116">IFERROR(INDEX(Usage!$B$5:$P$18,MATCH($B116,Usage!$B$5:$B$18,0),MATCH($C116&amp;$D116&amp;$E116,Usage!$B$5:$S$5&amp;Usage!$B$6:$S$6&amp;Usage!$B$7:$S$7,0)),0)</f>
        <v>1349</v>
      </c>
      <c r="G116" s="22" t="s">
        <v>67</v>
      </c>
      <c r="H116" s="172">
        <f t="array" ref="H116">INDEX('Key inputs'!$B$17:$N$41,MATCH($B116&amp;$C116&amp;$E116,'Key inputs'!$B$17:$B$41&amp;'Key inputs'!$C$17:$C$41&amp;'Key inputs'!$D$17:$D$41,0),MATCH($G116&amp;H$4&amp;H$5,'Key inputs'!$B$18:$N$18&amp;'Key inputs'!$B$19:$N$19&amp;'Key inputs'!$B$20:$N$20,0))</f>
        <v>11.49</v>
      </c>
      <c r="I116" s="172">
        <f>IFERROR(INDEX('Detail inputs'!$B$3:$K$196,MATCH($B116&amp;$C116&amp;$E116&amp;$G116&amp;I$5,'Detail inputs'!$B$3:$B$196&amp;'Detail inputs'!$D$3:$D$196&amp;'Detail inputs'!$F$3:$F$196&amp;'Detail inputs'!$G$3:$G$196&amp;'Detail inputs'!$H$3:$H$196,0),MATCH(I$4,'Detail inputs'!$B$3:$K$3,0)),0)</f>
        <v>0</v>
      </c>
      <c r="J116" s="172">
        <f>H116*INDEX(Usage!$B$4:$M$18,MATCH($B116,Usage!$B$4:$B$18,0),MATCH(IF($E116="CL1","CL1 Proportion","CL2 Proportion"),Usage!$B$8:$M$8,0))+I116*$F116/1000</f>
        <v>8.1578999999999997</v>
      </c>
      <c r="K116" s="191">
        <f>IFERROR(J116/J117,"")</f>
        <v>0.12156157426999577</v>
      </c>
      <c r="L116" s="191"/>
      <c r="M116" s="191">
        <f t="shared" si="25"/>
        <v>7.8328981723237767E-2</v>
      </c>
      <c r="N116" s="188"/>
      <c r="O116" s="172">
        <f t="array" ref="O116">INDEX('Key inputs'!$B$17:$N$41,MATCH($B116&amp;$C116&amp;$E116,'Key inputs'!$B$17:$B$41&amp;'Key inputs'!$C$17:$C$41&amp;'Key inputs'!$D$17:$D$41,0),MATCH($G116&amp;O$4&amp;O$5,'Key inputs'!$B$18:$N$18&amp;'Key inputs'!$B$19:$N$19&amp;'Key inputs'!$B$20:$N$20,0))</f>
        <v>12.39</v>
      </c>
      <c r="P116" s="172">
        <f>IFERROR(INDEX('Detail inputs'!$B$3:$K$196,MATCH($B116&amp;$C116&amp;$E116&amp;$G116&amp;P$5,'Detail inputs'!$B$3:$B$196&amp;'Detail inputs'!$D$3:$D$196&amp;'Detail inputs'!$F$3:$F$196&amp;'Detail inputs'!$G$3:$G$196&amp;'Detail inputs'!$H$3:$H$196,0),MATCH(P$4,'Detail inputs'!$B$3:$K$3,0)),0)</f>
        <v>0</v>
      </c>
      <c r="Q116" s="172">
        <f>O116*INDEX(Usage!$B$4:$M$18,MATCH($B116,Usage!$B$4:$B$18,0),MATCH(IF($E116="CL1","CL1 Proportion","CL2 Proportion"),Usage!$B$8:$M$8,0))+P116*$F116/1000</f>
        <v>8.7969000000000008</v>
      </c>
      <c r="R116" s="191">
        <f>IFERROR(Q116/Q117,"")</f>
        <v>0.10474321064093169</v>
      </c>
    </row>
    <row r="117" spans="2:18" x14ac:dyDescent="0.25">
      <c r="B117" s="3" t="str">
        <f t="shared" si="24"/>
        <v>Energex</v>
      </c>
      <c r="C117" s="3" t="str">
        <f t="shared" si="24"/>
        <v>Residential</v>
      </c>
      <c r="D117" s="3" t="str">
        <f t="shared" si="24"/>
        <v>with CL</v>
      </c>
      <c r="E117" s="3" t="s">
        <v>17</v>
      </c>
      <c r="F117" s="175">
        <f t="array" ref="F117">IFERROR(INDEX(Usage!$B$5:$P$18,MATCH($B117,Usage!$B$5:$B$18,0),MATCH($C117&amp;$D117&amp;$E117,Usage!$B$5:$S$5&amp;Usage!$B$6:$S$6&amp;Usage!$B$7:$S$7,0)),0)</f>
        <v>1349</v>
      </c>
      <c r="G117" s="3" t="s">
        <v>61</v>
      </c>
      <c r="H117" s="172"/>
      <c r="I117" s="172"/>
      <c r="J117" s="172">
        <f>SUM(J115:J116)</f>
        <v>67.109200000000001</v>
      </c>
      <c r="K117" s="191"/>
      <c r="L117" s="199"/>
      <c r="M117" s="191">
        <f t="shared" si="25"/>
        <v>0.25147365444623238</v>
      </c>
      <c r="N117" s="197"/>
      <c r="O117" s="172"/>
      <c r="P117" s="172"/>
      <c r="Q117" s="172">
        <f>SUM(Q115:Q116)</f>
        <v>83.985395770963095</v>
      </c>
      <c r="R117" s="191"/>
    </row>
    <row r="118" spans="2:18" x14ac:dyDescent="0.25">
      <c r="B118" s="3" t="str">
        <f t="shared" si="24"/>
        <v>Energex</v>
      </c>
      <c r="C118" s="3" t="str">
        <f t="shared" si="24"/>
        <v>Residential</v>
      </c>
      <c r="D118" s="3" t="str">
        <f t="shared" si="24"/>
        <v>with CL</v>
      </c>
      <c r="E118" s="3" t="s">
        <v>61</v>
      </c>
      <c r="F118" s="175">
        <f t="array" ref="F118">IFERROR(INDEX(Usage!$B$5:$P$18,MATCH($B118,Usage!$B$5:$B$18,0),MATCH($C118&amp;$D118&amp;$E118,Usage!$B$5:$S$5&amp;Usage!$B$6:$S$6&amp;Usage!$B$7:$S$7,0)),0)</f>
        <v>6300</v>
      </c>
      <c r="G118" s="3" t="s">
        <v>61</v>
      </c>
      <c r="H118" s="172"/>
      <c r="I118" s="172"/>
      <c r="J118" s="172">
        <f>SUM(J111,J114,J117)</f>
        <v>644.0569999999999</v>
      </c>
      <c r="K118" s="192"/>
      <c r="L118" s="199"/>
      <c r="M118" s="191">
        <f t="shared" si="25"/>
        <v>7.3442718897955839E-2</v>
      </c>
      <c r="N118" s="197"/>
      <c r="O118" s="172"/>
      <c r="P118" s="172"/>
      <c r="Q118" s="172">
        <f>SUM(Q111,Q114,Q117)</f>
        <v>691.35829720526067</v>
      </c>
      <c r="R118" s="192"/>
    </row>
    <row r="119" spans="2:18" outlineLevel="1" x14ac:dyDescent="0.25">
      <c r="B119" s="3" t="str">
        <f t="shared" si="24"/>
        <v>Energex</v>
      </c>
      <c r="C119" s="3" t="str">
        <f t="shared" si="24"/>
        <v>Residential</v>
      </c>
      <c r="D119" s="3" t="str">
        <f t="shared" si="24"/>
        <v>with CL</v>
      </c>
      <c r="F119" s="175"/>
      <c r="G119" s="3" t="s">
        <v>41</v>
      </c>
      <c r="H119" s="172"/>
      <c r="I119" s="172"/>
      <c r="J119" s="172">
        <f>J118*GST</f>
        <v>64.405699999999996</v>
      </c>
      <c r="K119" s="192"/>
      <c r="L119" s="199"/>
      <c r="M119" s="191">
        <f t="shared" si="25"/>
        <v>7.3442718897955839E-2</v>
      </c>
      <c r="N119" s="197"/>
      <c r="O119" s="172"/>
      <c r="P119" s="172"/>
      <c r="Q119" s="172">
        <f>Q118*GST</f>
        <v>69.135829720526075</v>
      </c>
      <c r="R119" s="192"/>
    </row>
    <row r="120" spans="2:18" x14ac:dyDescent="0.25">
      <c r="B120" s="3" t="str">
        <f t="shared" si="24"/>
        <v>Energex</v>
      </c>
      <c r="C120" s="3" t="str">
        <f t="shared" si="24"/>
        <v>Residential</v>
      </c>
      <c r="D120" s="3" t="str">
        <f t="shared" si="24"/>
        <v>with CL</v>
      </c>
      <c r="F120" s="175"/>
      <c r="G120" s="5" t="s">
        <v>87</v>
      </c>
      <c r="H120" s="174"/>
      <c r="I120" s="174"/>
      <c r="J120" s="174">
        <f>SUM(J118:J119)</f>
        <v>708.46269999999993</v>
      </c>
      <c r="K120" s="193"/>
      <c r="L120" s="200"/>
      <c r="M120" s="193">
        <f t="shared" si="25"/>
        <v>7.3442718897955839E-2</v>
      </c>
      <c r="N120" s="198"/>
      <c r="O120" s="174"/>
      <c r="P120" s="174"/>
      <c r="Q120" s="174">
        <f>SUM(Q118:Q119)</f>
        <v>760.49412692578676</v>
      </c>
      <c r="R120" s="193"/>
    </row>
    <row r="121" spans="2:18" x14ac:dyDescent="0.25">
      <c r="F121" s="175"/>
      <c r="H121" s="172"/>
      <c r="I121" s="172"/>
      <c r="J121" s="172"/>
      <c r="K121" s="191"/>
      <c r="L121" s="199"/>
      <c r="M121" s="191"/>
      <c r="N121" s="197"/>
      <c r="O121" s="172"/>
      <c r="P121" s="172"/>
      <c r="Q121" s="172"/>
      <c r="R121" s="191"/>
    </row>
    <row r="122" spans="2:18" x14ac:dyDescent="0.25">
      <c r="B122" s="5" t="s">
        <v>0</v>
      </c>
      <c r="C122" s="5" t="s">
        <v>15</v>
      </c>
      <c r="D122" s="5" t="s">
        <v>146</v>
      </c>
      <c r="E122" s="5"/>
      <c r="F122" s="201"/>
      <c r="H122" s="172"/>
      <c r="I122" s="172"/>
      <c r="J122" s="172"/>
      <c r="K122" s="191"/>
      <c r="L122" s="199"/>
      <c r="M122" s="191"/>
      <c r="N122" s="197"/>
      <c r="O122" s="172"/>
      <c r="P122" s="172"/>
      <c r="Q122" s="172"/>
      <c r="R122" s="191"/>
    </row>
    <row r="123" spans="2:18" x14ac:dyDescent="0.25">
      <c r="B123" s="3" t="str">
        <f t="shared" ref="B123:D127" si="26">B$122</f>
        <v>Energex</v>
      </c>
      <c r="C123" s="3" t="str">
        <f t="shared" si="26"/>
        <v>Small business</v>
      </c>
      <c r="D123" s="3" t="str">
        <f t="shared" si="26"/>
        <v>without CL</v>
      </c>
      <c r="E123" s="3" t="s">
        <v>22</v>
      </c>
      <c r="F123" s="175">
        <f t="array" ref="F123">IFERROR(INDEX(Usage!$B$5:$P$18,MATCH($B123,Usage!$B$5:$B$18,0),MATCH($C123&amp;$D123&amp;$E123,Usage!$B$5:$S$5&amp;Usage!$B$6:$S$6&amp;Usage!$B$7:$S$7,0)),0)</f>
        <v>10000</v>
      </c>
      <c r="G123" s="3" t="s">
        <v>63</v>
      </c>
      <c r="H123" s="172">
        <f t="array" ref="H123">INDEX('Key inputs'!$B$17:$N$41,MATCH($B123&amp;$C123&amp;$E123,'Key inputs'!$B$17:$B$41&amp;'Key inputs'!$C$17:$C$41&amp;'Key inputs'!$D$17:$D$41,0),MATCH($G123&amp;H$4&amp;H$5,'Key inputs'!$B$18:$N$18&amp;'Key inputs'!$B$19:$N$19&amp;'Key inputs'!$B$20:$N$20,0))</f>
        <v>251.923</v>
      </c>
      <c r="I123" s="172">
        <f t="array" ref="I123">INDEX('Key inputs'!$B$17:$N$41,MATCH($B123&amp;$C123&amp;$E123,'Key inputs'!$B$17:$B$41&amp;'Key inputs'!$C$17:$C$41&amp;'Key inputs'!$D$17:$D$41,0),MATCH($G123&amp;I$4&amp;I$5,'Key inputs'!$B$18:$N$18&amp;'Key inputs'!$B$19:$N$19&amp;'Key inputs'!$B$20:$N$20,0))</f>
        <v>81.8</v>
      </c>
      <c r="J123" s="172">
        <f>H123+I123*$F123/1000</f>
        <v>1069.923</v>
      </c>
      <c r="K123" s="191">
        <f>IFERROR(J123/J125,"")</f>
        <v>0.96446545387675398</v>
      </c>
      <c r="L123" s="191"/>
      <c r="M123" s="191">
        <f t="shared" ref="M123:M127" si="27">IF(OR(J123=0,J123="",Q123=""),"",Q123/J123-1)</f>
        <v>3.8985897764536537E-2</v>
      </c>
      <c r="N123" s="188"/>
      <c r="O123" s="172">
        <f t="array" ref="O123">INDEX('Key inputs'!$B$17:$N$41,MATCH($B123&amp;$C123&amp;$E123,'Key inputs'!$B$17:$B$41&amp;'Key inputs'!$C$17:$C$41&amp;'Key inputs'!$D$17:$D$41,0),MATCH($G123&amp;O$4&amp;O$5,'Key inputs'!$B$18:$N$18&amp;'Key inputs'!$B$19:$N$19&amp;'Key inputs'!$B$20:$N$20,0))</f>
        <v>268.17970607642337</v>
      </c>
      <c r="P123" s="172">
        <f t="array" ref="P123">INDEX('Key inputs'!$B$17:$N$41,MATCH($B123&amp;$C123&amp;$E123,'Key inputs'!$B$17:$B$41&amp;'Key inputs'!$C$17:$C$41&amp;'Key inputs'!$D$17:$D$41,0),MATCH($G123&amp;P$4&amp;P$5,'Key inputs'!$B$18:$N$18&amp;'Key inputs'!$B$19:$N$19&amp;'Key inputs'!$B$20:$N$20,0))</f>
        <v>84.345520261750295</v>
      </c>
      <c r="Q123" s="172">
        <f>O123+P123*$F123/1000</f>
        <v>1111.6349086939263</v>
      </c>
      <c r="R123" s="191">
        <f>IFERROR(Q123/Q125,"")</f>
        <v>0.96316753669337252</v>
      </c>
    </row>
    <row r="124" spans="2:18" x14ac:dyDescent="0.25">
      <c r="B124" s="3" t="str">
        <f t="shared" si="26"/>
        <v>Energex</v>
      </c>
      <c r="C124" s="3" t="str">
        <f t="shared" si="26"/>
        <v>Small business</v>
      </c>
      <c r="D124" s="3" t="str">
        <f t="shared" si="26"/>
        <v>without CL</v>
      </c>
      <c r="E124" s="3" t="s">
        <v>22</v>
      </c>
      <c r="F124" s="175">
        <f t="array" ref="F124">IFERROR(INDEX(Usage!$B$5:$P$18,MATCH($B124,Usage!$B$5:$B$18,0),MATCH($C124&amp;$D124&amp;$E124,Usage!$B$5:$S$5&amp;Usage!$B$6:$S$6&amp;Usage!$B$7:$S$7,0)),0)</f>
        <v>10000</v>
      </c>
      <c r="G124" s="3" t="s">
        <v>67</v>
      </c>
      <c r="H124" s="172">
        <f t="array" ref="H124">INDEX('Key inputs'!$B$17:$N$41,MATCH($B124&amp;$C124&amp;$E124,'Key inputs'!$B$17:$B$41&amp;'Key inputs'!$C$17:$C$41&amp;'Key inputs'!$D$17:$D$41,0),MATCH($G124&amp;H$4&amp;H$5,'Key inputs'!$B$18:$N$18&amp;'Key inputs'!$B$19:$N$19&amp;'Key inputs'!$B$20:$N$20,0))</f>
        <v>39.42</v>
      </c>
      <c r="I124" s="172">
        <f>IFERROR(INDEX('Detail inputs'!$B$3:$K$196,MATCH($B124&amp;$C124&amp;$E124&amp;$G124&amp;I$5,'Detail inputs'!$B$3:$B$196&amp;'Detail inputs'!$D$3:$D$196&amp;'Detail inputs'!$F$3:$F$196&amp;'Detail inputs'!$G$3:$G$196&amp;'Detail inputs'!$H$3:$H$196,0),MATCH(I$4,'Detail inputs'!$B$3:$K$3,0)),0)</f>
        <v>0</v>
      </c>
      <c r="J124" s="172">
        <f>H124+I124*$F124/1000</f>
        <v>39.42</v>
      </c>
      <c r="K124" s="191">
        <f>IFERROR(J124/J125,"")</f>
        <v>3.5534546123245921E-2</v>
      </c>
      <c r="L124" s="191"/>
      <c r="M124" s="191">
        <f t="shared" si="27"/>
        <v>7.8386605783866248E-2</v>
      </c>
      <c r="N124" s="188"/>
      <c r="O124" s="172">
        <f t="array" ref="O124">INDEX('Key inputs'!$B$17:$N$41,MATCH($B124&amp;$C124&amp;$E124,'Key inputs'!$B$17:$B$41&amp;'Key inputs'!$C$17:$C$41&amp;'Key inputs'!$D$17:$D$41,0),MATCH($G124&amp;O$4&amp;O$5,'Key inputs'!$B$18:$N$18&amp;'Key inputs'!$B$19:$N$19&amp;'Key inputs'!$B$20:$N$20,0))</f>
        <v>42.510000000000005</v>
      </c>
      <c r="P124" s="172">
        <f>IFERROR(INDEX('Detail inputs'!$B$3:$K$196,MATCH($B124&amp;$C124&amp;$E124&amp;$G124&amp;P$5,'Detail inputs'!$B$3:$B$196&amp;'Detail inputs'!$D$3:$D$196&amp;'Detail inputs'!$F$3:$F$196&amp;'Detail inputs'!$G$3:$G$196&amp;'Detail inputs'!$H$3:$H$196,0),MATCH(P$4,'Detail inputs'!$B$3:$K$3,0)),0)</f>
        <v>0</v>
      </c>
      <c r="Q124" s="172">
        <f>O124+P124*$F124/1000</f>
        <v>42.510000000000005</v>
      </c>
      <c r="R124" s="191">
        <f>IFERROR(Q124/Q125,"")</f>
        <v>3.6832463306627518E-2</v>
      </c>
    </row>
    <row r="125" spans="2:18" x14ac:dyDescent="0.25">
      <c r="B125" s="3" t="str">
        <f t="shared" si="26"/>
        <v>Energex</v>
      </c>
      <c r="C125" s="3" t="str">
        <f t="shared" si="26"/>
        <v>Small business</v>
      </c>
      <c r="D125" s="3" t="str">
        <f t="shared" si="26"/>
        <v>without CL</v>
      </c>
      <c r="E125" s="3" t="s">
        <v>22</v>
      </c>
      <c r="F125" s="175">
        <f t="array" ref="F125">IFERROR(INDEX(Usage!$B$5:$P$18,MATCH($B125,Usage!$B$5:$B$18,0),MATCH($C125&amp;$D125&amp;$E125,Usage!$B$5:$S$5&amp;Usage!$B$6:$S$6&amp;Usage!$B$7:$S$7,0)),0)</f>
        <v>10000</v>
      </c>
      <c r="G125" s="3" t="s">
        <v>61</v>
      </c>
      <c r="H125" s="172"/>
      <c r="I125" s="172"/>
      <c r="J125" s="172">
        <f>SUM(J123:J124)</f>
        <v>1109.3430000000001</v>
      </c>
      <c r="K125" s="192"/>
      <c r="L125" s="199"/>
      <c r="M125" s="191">
        <f t="shared" si="27"/>
        <v>4.0385984040937961E-2</v>
      </c>
      <c r="N125" s="197"/>
      <c r="O125" s="172"/>
      <c r="P125" s="172"/>
      <c r="Q125" s="172">
        <f>SUM(Q123:Q124)</f>
        <v>1154.1449086939263</v>
      </c>
      <c r="R125" s="192"/>
    </row>
    <row r="126" spans="2:18" outlineLevel="1" x14ac:dyDescent="0.25">
      <c r="B126" s="3" t="str">
        <f t="shared" si="26"/>
        <v>Energex</v>
      </c>
      <c r="C126" s="3" t="str">
        <f t="shared" si="26"/>
        <v>Small business</v>
      </c>
      <c r="D126" s="3" t="str">
        <f t="shared" si="26"/>
        <v>without CL</v>
      </c>
      <c r="F126" s="175"/>
      <c r="G126" s="3" t="s">
        <v>41</v>
      </c>
      <c r="H126" s="172"/>
      <c r="I126" s="172"/>
      <c r="J126" s="172">
        <f>J125*GST</f>
        <v>110.93430000000001</v>
      </c>
      <c r="K126" s="192"/>
      <c r="L126" s="199"/>
      <c r="M126" s="191">
        <f t="shared" si="27"/>
        <v>4.0385984040937961E-2</v>
      </c>
      <c r="N126" s="197"/>
      <c r="O126" s="172"/>
      <c r="P126" s="172"/>
      <c r="Q126" s="172">
        <f>Q125*GST</f>
        <v>115.41449086939264</v>
      </c>
      <c r="R126" s="192"/>
    </row>
    <row r="127" spans="2:18" x14ac:dyDescent="0.25">
      <c r="B127" s="3" t="str">
        <f t="shared" si="26"/>
        <v>Energex</v>
      </c>
      <c r="C127" s="3" t="str">
        <f t="shared" si="26"/>
        <v>Small business</v>
      </c>
      <c r="D127" s="3" t="str">
        <f t="shared" si="26"/>
        <v>without CL</v>
      </c>
      <c r="F127" s="175"/>
      <c r="G127" s="5" t="s">
        <v>87</v>
      </c>
      <c r="H127" s="174"/>
      <c r="I127" s="174"/>
      <c r="J127" s="174">
        <f>SUM(J125:J126)</f>
        <v>1220.2773000000002</v>
      </c>
      <c r="K127" s="193"/>
      <c r="L127" s="200"/>
      <c r="M127" s="193">
        <f t="shared" si="27"/>
        <v>4.0385984040937961E-2</v>
      </c>
      <c r="N127" s="198"/>
      <c r="O127" s="174"/>
      <c r="P127" s="174"/>
      <c r="Q127" s="174">
        <f>SUM(Q125:Q126)</f>
        <v>1269.5593995633189</v>
      </c>
      <c r="R127" s="193"/>
    </row>
    <row r="128" spans="2:18" x14ac:dyDescent="0.25">
      <c r="F128" s="197"/>
      <c r="H128" s="172"/>
      <c r="I128" s="172"/>
      <c r="J128" s="172"/>
      <c r="K128" s="199"/>
      <c r="L128" s="199"/>
      <c r="M128" s="199"/>
      <c r="N128" s="197"/>
      <c r="O128" s="172"/>
      <c r="P128" s="172"/>
      <c r="Q128" s="172"/>
      <c r="R128" s="199"/>
    </row>
    <row r="129" spans="2:18" x14ac:dyDescent="0.25">
      <c r="B129" s="5" t="s">
        <v>5</v>
      </c>
      <c r="C129" s="5" t="s">
        <v>6</v>
      </c>
      <c r="D129" s="5" t="s">
        <v>146</v>
      </c>
      <c r="F129" s="175"/>
      <c r="G129" s="58"/>
      <c r="H129" s="172"/>
      <c r="I129" s="172"/>
      <c r="J129" s="172"/>
      <c r="K129" s="191"/>
      <c r="L129" s="199"/>
      <c r="M129" s="191"/>
      <c r="N129" s="197"/>
      <c r="O129" s="172"/>
      <c r="P129" s="172"/>
      <c r="Q129" s="172"/>
      <c r="R129" s="191"/>
    </row>
    <row r="130" spans="2:18" x14ac:dyDescent="0.25">
      <c r="B130" s="3" t="str">
        <f t="shared" ref="B130:D134" si="28">B$129</f>
        <v>SAPN</v>
      </c>
      <c r="C130" s="3" t="str">
        <f t="shared" si="28"/>
        <v>Residential</v>
      </c>
      <c r="D130" s="3" t="str">
        <f t="shared" si="28"/>
        <v>without CL</v>
      </c>
      <c r="E130" s="3" t="s">
        <v>22</v>
      </c>
      <c r="F130" s="175">
        <f t="array" ref="F130">IFERROR(INDEX(Usage!$B$5:$P$18,MATCH($B130,Usage!$B$5:$B$18,0),MATCH($C130&amp;$D130&amp;$E130,Usage!$B$5:$S$5&amp;Usage!$B$6:$S$6&amp;Usage!$B$7:$S$7,0)),0)</f>
        <v>4000</v>
      </c>
      <c r="G130" s="3" t="s">
        <v>63</v>
      </c>
      <c r="H130" s="172">
        <f t="array" ref="H130">INDEX('Key inputs'!$B$17:$N$41,MATCH($B130&amp;$C130&amp;$E130,'Key inputs'!$B$17:$B$41&amp;'Key inputs'!$C$17:$C$41&amp;'Key inputs'!$D$17:$D$41,0),MATCH($G130&amp;H$4&amp;H$5,'Key inputs'!$B$18:$N$18&amp;'Key inputs'!$B$19:$N$19&amp;'Key inputs'!$B$20:$N$20,0))</f>
        <v>190.01899999999998</v>
      </c>
      <c r="I130" s="172">
        <f t="array" ref="I130">INDEX('Key inputs'!$B$17:$N$41,MATCH($B130&amp;$C130&amp;$E130,'Key inputs'!$B$17:$B$41&amp;'Key inputs'!$C$17:$C$41&amp;'Key inputs'!$D$17:$D$41,0),MATCH($G130&amp;I$4&amp;I$5,'Key inputs'!$B$18:$N$18&amp;'Key inputs'!$B$19:$N$19&amp;'Key inputs'!$B$20:$N$20,0))</f>
        <v>134.4</v>
      </c>
      <c r="J130" s="172">
        <f>H130+I130*$F130/1000</f>
        <v>727.61900000000003</v>
      </c>
      <c r="K130" s="191">
        <f>IFERROR(J130/J132,"")</f>
        <v>0.96809468879016602</v>
      </c>
      <c r="L130" s="191"/>
      <c r="M130" s="191">
        <f t="shared" ref="M130:M134" si="29">IF(OR(J130=0,J130="",Q130=""),"",Q130/J130-1)</f>
        <v>1.6121624091725018E-3</v>
      </c>
      <c r="N130" s="188"/>
      <c r="O130" s="172">
        <f t="array" ref="O130">INDEX('Key inputs'!$B$17:$N$41,MATCH($B130&amp;$C130&amp;$E130,'Key inputs'!$B$17:$B$41&amp;'Key inputs'!$C$17:$C$41&amp;'Key inputs'!$D$17:$D$41,0),MATCH($G130&amp;O$4&amp;O$5,'Key inputs'!$B$18:$N$18&amp;'Key inputs'!$B$19:$N$19&amp;'Key inputs'!$B$20:$N$20,0))</f>
        <v>200.0225999999997</v>
      </c>
      <c r="P130" s="172">
        <f t="array" ref="P130">INDEX('Key inputs'!$B$17:$N$41,MATCH($B130&amp;$C130&amp;$E130,'Key inputs'!$B$17:$B$41&amp;'Key inputs'!$C$17:$C$41&amp;'Key inputs'!$D$17:$D$41,0),MATCH($G130&amp;P$4&amp;P$5,'Key inputs'!$B$18:$N$18&amp;'Key inputs'!$B$19:$N$19&amp;'Key inputs'!$B$20:$N$20,0))</f>
        <v>132.19236000000001</v>
      </c>
      <c r="Q130" s="172">
        <f>O130+P130*$F130/1000</f>
        <v>728.7920399999997</v>
      </c>
      <c r="R130" s="191">
        <f>IFERROR(Q130/Q132,"")</f>
        <v>0.96573255138884928</v>
      </c>
    </row>
    <row r="131" spans="2:18" x14ac:dyDescent="0.25">
      <c r="B131" s="3" t="str">
        <f t="shared" si="28"/>
        <v>SAPN</v>
      </c>
      <c r="C131" s="3" t="str">
        <f t="shared" si="28"/>
        <v>Residential</v>
      </c>
      <c r="D131" s="3" t="str">
        <f t="shared" si="28"/>
        <v>without CL</v>
      </c>
      <c r="E131" s="3" t="s">
        <v>22</v>
      </c>
      <c r="F131" s="175">
        <f t="array" ref="F131">IFERROR(INDEX(Usage!$B$5:$P$18,MATCH($B131,Usage!$B$5:$B$18,0),MATCH($C131&amp;$D131&amp;$E131,Usage!$B$5:$S$5&amp;Usage!$B$6:$S$6&amp;Usage!$B$7:$S$7,0)),0)</f>
        <v>4000</v>
      </c>
      <c r="G131" s="3" t="s">
        <v>67</v>
      </c>
      <c r="H131" s="172">
        <f t="array" ref="H131">INDEX('Key inputs'!$B$17:$N$41,MATCH($B131&amp;$C131&amp;$E131,'Key inputs'!$B$17:$B$41&amp;'Key inputs'!$C$17:$C$41&amp;'Key inputs'!$D$17:$D$41,0),MATCH($G131&amp;H$4&amp;H$5,'Key inputs'!$B$18:$N$18&amp;'Key inputs'!$B$19:$N$19&amp;'Key inputs'!$B$20:$N$20,0))</f>
        <v>23.98</v>
      </c>
      <c r="I131" s="172">
        <f>IFERROR(INDEX('Detail inputs'!$B$3:$K$196,MATCH($B131&amp;$C131&amp;$E131&amp;$G131&amp;I$5,'Detail inputs'!$B$3:$B$196&amp;'Detail inputs'!$D$3:$D$196&amp;'Detail inputs'!$F$3:$F$196&amp;'Detail inputs'!$G$3:$G$196&amp;'Detail inputs'!$H$3:$H$196,0),MATCH(I$4,'Detail inputs'!$B$3:$K$3,0)),0)</f>
        <v>0</v>
      </c>
      <c r="J131" s="172">
        <f>H131+I131*$F131/1000</f>
        <v>23.98</v>
      </c>
      <c r="K131" s="191">
        <f>IFERROR(J131/J132,"")</f>
        <v>3.1905311209833968E-2</v>
      </c>
      <c r="L131" s="191"/>
      <c r="M131" s="191">
        <f t="shared" si="29"/>
        <v>7.839866555462871E-2</v>
      </c>
      <c r="N131" s="188"/>
      <c r="O131" s="172">
        <f t="array" ref="O131">INDEX('Key inputs'!$B$17:$N$41,MATCH($B131&amp;$C131&amp;$E131,'Key inputs'!$B$17:$B$41&amp;'Key inputs'!$C$17:$C$41&amp;'Key inputs'!$D$17:$D$41,0),MATCH($G131&amp;O$4&amp;O$5,'Key inputs'!$B$18:$N$18&amp;'Key inputs'!$B$19:$N$19&amp;'Key inputs'!$B$20:$N$20,0))</f>
        <v>25.86</v>
      </c>
      <c r="P131" s="172">
        <f>IFERROR(INDEX('Detail inputs'!$B$3:$K$196,MATCH($B131&amp;$C131&amp;$E131&amp;$G131&amp;P$5,'Detail inputs'!$B$3:$B$196&amp;'Detail inputs'!$D$3:$D$196&amp;'Detail inputs'!$F$3:$F$196&amp;'Detail inputs'!$G$3:$G$196&amp;'Detail inputs'!$H$3:$H$196,0),MATCH(P$4,'Detail inputs'!$B$3:$K$3,0)),0)</f>
        <v>0</v>
      </c>
      <c r="Q131" s="172">
        <f>O131+P131*$F131/1000</f>
        <v>25.86</v>
      </c>
      <c r="R131" s="191">
        <f>IFERROR(Q131/Q132,"")</f>
        <v>3.4267448611150657E-2</v>
      </c>
    </row>
    <row r="132" spans="2:18" x14ac:dyDescent="0.25">
      <c r="B132" s="3" t="str">
        <f t="shared" si="28"/>
        <v>SAPN</v>
      </c>
      <c r="C132" s="3" t="str">
        <f t="shared" si="28"/>
        <v>Residential</v>
      </c>
      <c r="D132" s="3" t="str">
        <f t="shared" si="28"/>
        <v>without CL</v>
      </c>
      <c r="E132" s="3" t="s">
        <v>22</v>
      </c>
      <c r="F132" s="175">
        <f t="array" ref="F132">IFERROR(INDEX(Usage!$B$5:$P$18,MATCH($B132,Usage!$B$5:$B$18,0),MATCH($C132&amp;$D132&amp;$E132,Usage!$B$5:$S$5&amp;Usage!$B$6:$S$6&amp;Usage!$B$7:$S$7,0)),0)</f>
        <v>4000</v>
      </c>
      <c r="G132" s="3" t="s">
        <v>61</v>
      </c>
      <c r="H132" s="172"/>
      <c r="I132" s="172"/>
      <c r="J132" s="172">
        <f>SUM(J130:J131)</f>
        <v>751.59900000000005</v>
      </c>
      <c r="K132" s="192"/>
      <c r="L132" s="199"/>
      <c r="M132" s="191">
        <f t="shared" si="29"/>
        <v>4.0620596887430693E-3</v>
      </c>
      <c r="N132" s="197"/>
      <c r="O132" s="172"/>
      <c r="P132" s="172"/>
      <c r="Q132" s="172">
        <f>SUM(Q130:Q131)</f>
        <v>754.65203999999972</v>
      </c>
      <c r="R132" s="192"/>
    </row>
    <row r="133" spans="2:18" outlineLevel="1" x14ac:dyDescent="0.25">
      <c r="B133" s="3" t="str">
        <f t="shared" si="28"/>
        <v>SAPN</v>
      </c>
      <c r="C133" s="3" t="str">
        <f t="shared" si="28"/>
        <v>Residential</v>
      </c>
      <c r="D133" s="3" t="str">
        <f t="shared" si="28"/>
        <v>without CL</v>
      </c>
      <c r="F133" s="175"/>
      <c r="G133" s="3" t="s">
        <v>41</v>
      </c>
      <c r="H133" s="172"/>
      <c r="I133" s="172"/>
      <c r="J133" s="172">
        <f>J132*GST</f>
        <v>75.159900000000007</v>
      </c>
      <c r="K133" s="192"/>
      <c r="L133" s="199"/>
      <c r="M133" s="191">
        <f t="shared" si="29"/>
        <v>4.0620596887430693E-3</v>
      </c>
      <c r="N133" s="197"/>
      <c r="O133" s="172"/>
      <c r="P133" s="172"/>
      <c r="Q133" s="172">
        <f>Q132*GST</f>
        <v>75.465203999999972</v>
      </c>
      <c r="R133" s="192"/>
    </row>
    <row r="134" spans="2:18" x14ac:dyDescent="0.25">
      <c r="B134" s="3" t="str">
        <f t="shared" si="28"/>
        <v>SAPN</v>
      </c>
      <c r="C134" s="3" t="str">
        <f t="shared" si="28"/>
        <v>Residential</v>
      </c>
      <c r="D134" s="3" t="str">
        <f t="shared" si="28"/>
        <v>without CL</v>
      </c>
      <c r="F134" s="175"/>
      <c r="G134" s="5" t="s">
        <v>87</v>
      </c>
      <c r="H134" s="174"/>
      <c r="I134" s="174"/>
      <c r="J134" s="174">
        <f>SUM(J132:J133)</f>
        <v>826.75890000000004</v>
      </c>
      <c r="K134" s="193"/>
      <c r="L134" s="200"/>
      <c r="M134" s="193">
        <f t="shared" si="29"/>
        <v>4.0620596887430693E-3</v>
      </c>
      <c r="N134" s="198"/>
      <c r="O134" s="174"/>
      <c r="P134" s="174"/>
      <c r="Q134" s="174">
        <f>SUM(Q132:Q133)</f>
        <v>830.11724399999969</v>
      </c>
      <c r="R134" s="193"/>
    </row>
    <row r="135" spans="2:18" x14ac:dyDescent="0.25">
      <c r="F135" s="175"/>
      <c r="H135" s="172"/>
      <c r="I135" s="172"/>
      <c r="J135" s="172"/>
      <c r="K135" s="191"/>
      <c r="L135" s="199"/>
      <c r="M135" s="191"/>
      <c r="N135" s="197"/>
      <c r="O135" s="172"/>
      <c r="P135" s="172"/>
      <c r="Q135" s="172"/>
      <c r="R135" s="191"/>
    </row>
    <row r="136" spans="2:18" x14ac:dyDescent="0.25">
      <c r="B136" s="5" t="s">
        <v>5</v>
      </c>
      <c r="C136" s="5" t="s">
        <v>6</v>
      </c>
      <c r="D136" s="5" t="s">
        <v>147</v>
      </c>
      <c r="F136" s="175"/>
      <c r="H136" s="172"/>
      <c r="I136" s="172"/>
      <c r="J136" s="172"/>
      <c r="K136" s="191"/>
      <c r="L136" s="199"/>
      <c r="M136" s="191"/>
      <c r="N136" s="197"/>
      <c r="O136" s="172"/>
      <c r="P136" s="172"/>
      <c r="Q136" s="172"/>
      <c r="R136" s="191"/>
    </row>
    <row r="137" spans="2:18" x14ac:dyDescent="0.25">
      <c r="B137" s="3" t="str">
        <f t="shared" ref="B137:D145" si="30">B$136</f>
        <v>SAPN</v>
      </c>
      <c r="C137" s="3" t="str">
        <f t="shared" si="30"/>
        <v>Residential</v>
      </c>
      <c r="D137" s="3" t="str">
        <f t="shared" si="30"/>
        <v>with CL</v>
      </c>
      <c r="E137" s="3" t="s">
        <v>22</v>
      </c>
      <c r="F137" s="175">
        <f t="array" ref="F137">IFERROR(INDEX(Usage!$B$5:$P$18,MATCH($B137,Usage!$B$5:$B$18,0),MATCH($C137&amp;$D137&amp;$E137,Usage!$B$5:$S$5&amp;Usage!$B$6:$S$6&amp;Usage!$B$7:$S$7,0)),0)</f>
        <v>4200</v>
      </c>
      <c r="G137" s="3" t="s">
        <v>63</v>
      </c>
      <c r="H137" s="172">
        <f t="array" ref="H137">INDEX('Key inputs'!$B$17:$N$41,MATCH($B137&amp;$C137&amp;$E137,'Key inputs'!$B$17:$B$41&amp;'Key inputs'!$C$17:$C$41&amp;'Key inputs'!$D$17:$D$41,0),MATCH($G137&amp;H$4&amp;H$5,'Key inputs'!$B$18:$N$18&amp;'Key inputs'!$B$19:$N$19&amp;'Key inputs'!$B$20:$N$20,0))</f>
        <v>190.01899999999998</v>
      </c>
      <c r="I137" s="172">
        <f t="array" ref="I137">INDEX('Key inputs'!$B$17:$N$41,MATCH($B137&amp;$C137&amp;$E137,'Key inputs'!$B$17:$B$41&amp;'Key inputs'!$C$17:$C$41&amp;'Key inputs'!$D$17:$D$41,0),MATCH($G137&amp;I$4&amp;I$5,'Key inputs'!$B$18:$N$18&amp;'Key inputs'!$B$19:$N$19&amp;'Key inputs'!$B$20:$N$20,0))</f>
        <v>134.4</v>
      </c>
      <c r="J137" s="172">
        <f>H137+I137*$F137/1000</f>
        <v>754.49900000000002</v>
      </c>
      <c r="K137" s="191">
        <f>IFERROR(J137/J139,"")</f>
        <v>0.96919634312550496</v>
      </c>
      <c r="L137" s="191"/>
      <c r="M137" s="191">
        <f t="shared" ref="M137:M139" si="31">IF(OR(J137=0,J137="",Q137=""),"",Q137/J137-1)</f>
        <v>9.6953342549110921E-4</v>
      </c>
      <c r="N137" s="188"/>
      <c r="O137" s="172">
        <f t="array" ref="O137">INDEX('Key inputs'!$B$17:$N$41,MATCH($B137&amp;$C137&amp;$E137,'Key inputs'!$B$17:$B$41&amp;'Key inputs'!$C$17:$C$41&amp;'Key inputs'!$D$17:$D$41,0),MATCH($G137&amp;O$4&amp;O$5,'Key inputs'!$B$18:$N$18&amp;'Key inputs'!$B$19:$N$19&amp;'Key inputs'!$B$20:$N$20,0))</f>
        <v>200.0225999999997</v>
      </c>
      <c r="P137" s="172">
        <f t="array" ref="P137">INDEX('Key inputs'!$B$17:$N$41,MATCH($B137&amp;$C137&amp;$E137,'Key inputs'!$B$17:$B$41&amp;'Key inputs'!$C$17:$C$41&amp;'Key inputs'!$D$17:$D$41,0),MATCH($G137&amp;P$4&amp;P$5,'Key inputs'!$B$18:$N$18&amp;'Key inputs'!$B$19:$N$19&amp;'Key inputs'!$B$20:$N$20,0))</f>
        <v>132.19236000000001</v>
      </c>
      <c r="Q137" s="172">
        <f>O137+P137*$F137/1000</f>
        <v>755.23051199999964</v>
      </c>
      <c r="R137" s="191">
        <f>IFERROR(Q137/Q139,"")</f>
        <v>0.9668924412693416</v>
      </c>
    </row>
    <row r="138" spans="2:18" x14ac:dyDescent="0.25">
      <c r="B138" s="3" t="str">
        <f t="shared" si="30"/>
        <v>SAPN</v>
      </c>
      <c r="C138" s="3" t="str">
        <f t="shared" si="30"/>
        <v>Residential</v>
      </c>
      <c r="D138" s="3" t="str">
        <f t="shared" si="30"/>
        <v>with CL</v>
      </c>
      <c r="E138" s="3" t="s">
        <v>22</v>
      </c>
      <c r="F138" s="175">
        <f t="array" ref="F138">IFERROR(INDEX(Usage!$B$5:$P$18,MATCH($B138,Usage!$B$5:$B$18,0),MATCH($C138&amp;$D138&amp;$E138,Usage!$B$5:$S$5&amp;Usage!$B$6:$S$6&amp;Usage!$B$7:$S$7,0)),0)</f>
        <v>4200</v>
      </c>
      <c r="G138" s="3" t="s">
        <v>67</v>
      </c>
      <c r="H138" s="172">
        <f t="array" ref="H138">INDEX('Key inputs'!$B$17:$N$41,MATCH($B138&amp;$C138&amp;$E138,'Key inputs'!$B$17:$B$41&amp;'Key inputs'!$C$17:$C$41&amp;'Key inputs'!$D$17:$D$41,0),MATCH($G138&amp;H$4&amp;H$5,'Key inputs'!$B$18:$N$18&amp;'Key inputs'!$B$19:$N$19&amp;'Key inputs'!$B$20:$N$20,0))</f>
        <v>23.98</v>
      </c>
      <c r="I138" s="172">
        <f>IFERROR(INDEX('Detail inputs'!$B$3:$K$196,MATCH($B138&amp;$C138&amp;$E138&amp;$G138&amp;I$5,'Detail inputs'!$B$3:$B$196&amp;'Detail inputs'!$D$3:$D$196&amp;'Detail inputs'!$F$3:$F$196&amp;'Detail inputs'!$G$3:$G$196&amp;'Detail inputs'!$H$3:$H$196,0),MATCH(I$4,'Detail inputs'!$B$3:$K$3,0)),0)</f>
        <v>0</v>
      </c>
      <c r="J138" s="172">
        <f>H138+I138*$F138/1000</f>
        <v>23.98</v>
      </c>
      <c r="K138" s="191">
        <f>IFERROR(J138/J139,"")</f>
        <v>3.0803656874495006E-2</v>
      </c>
      <c r="L138" s="191"/>
      <c r="M138" s="191">
        <f t="shared" si="31"/>
        <v>7.839866555462871E-2</v>
      </c>
      <c r="N138" s="188"/>
      <c r="O138" s="172">
        <f t="array" ref="O138">INDEX('Key inputs'!$B$17:$N$41,MATCH($B138&amp;$C138&amp;$E138,'Key inputs'!$B$17:$B$41&amp;'Key inputs'!$C$17:$C$41&amp;'Key inputs'!$D$17:$D$41,0),MATCH($G138&amp;O$4&amp;O$5,'Key inputs'!$B$18:$N$18&amp;'Key inputs'!$B$19:$N$19&amp;'Key inputs'!$B$20:$N$20,0))</f>
        <v>25.86</v>
      </c>
      <c r="P138" s="172">
        <f>IFERROR(INDEX('Detail inputs'!$B$3:$K$196,MATCH($B138&amp;$C138&amp;$E138&amp;$G138&amp;P$5,'Detail inputs'!$B$3:$B$196&amp;'Detail inputs'!$D$3:$D$196&amp;'Detail inputs'!$F$3:$F$196&amp;'Detail inputs'!$G$3:$G$196&amp;'Detail inputs'!$H$3:$H$196,0),MATCH(P$4,'Detail inputs'!$B$3:$K$3,0)),0)</f>
        <v>0</v>
      </c>
      <c r="Q138" s="172">
        <f>O138+P138*$F138/1000</f>
        <v>25.86</v>
      </c>
      <c r="R138" s="191">
        <f>IFERROR(Q138/Q139,"")</f>
        <v>3.3107558730658362E-2</v>
      </c>
    </row>
    <row r="139" spans="2:18" x14ac:dyDescent="0.25">
      <c r="B139" s="3" t="str">
        <f t="shared" si="30"/>
        <v>SAPN</v>
      </c>
      <c r="C139" s="3" t="str">
        <f t="shared" si="30"/>
        <v>Residential</v>
      </c>
      <c r="D139" s="3" t="str">
        <f t="shared" si="30"/>
        <v>with CL</v>
      </c>
      <c r="E139" s="3" t="s">
        <v>22</v>
      </c>
      <c r="F139" s="175">
        <f t="array" ref="F139">IFERROR(INDEX(Usage!$B$5:$P$18,MATCH($B139,Usage!$B$5:$B$18,0),MATCH($C139&amp;$D139&amp;$E139,Usage!$B$5:$S$5&amp;Usage!$B$6:$S$6&amp;Usage!$B$7:$S$7,0)),0)</f>
        <v>4200</v>
      </c>
      <c r="G139" s="3" t="s">
        <v>61</v>
      </c>
      <c r="H139" s="172"/>
      <c r="I139" s="172"/>
      <c r="J139" s="172">
        <f>SUM(J137:J138)</f>
        <v>778.47900000000004</v>
      </c>
      <c r="K139" s="192"/>
      <c r="L139" s="199"/>
      <c r="M139" s="191">
        <f t="shared" si="31"/>
        <v>3.3546338436869494E-3</v>
      </c>
      <c r="N139" s="197"/>
      <c r="O139" s="172"/>
      <c r="P139" s="172"/>
      <c r="Q139" s="172">
        <f>SUM(Q137:Q138)</f>
        <v>781.09051199999965</v>
      </c>
      <c r="R139" s="191"/>
    </row>
    <row r="140" spans="2:18" x14ac:dyDescent="0.25">
      <c r="B140" s="3" t="str">
        <f t="shared" si="30"/>
        <v>SAPN</v>
      </c>
      <c r="C140" s="3" t="str">
        <f t="shared" si="30"/>
        <v>Residential</v>
      </c>
      <c r="D140" s="3" t="str">
        <f t="shared" si="30"/>
        <v>with CL</v>
      </c>
      <c r="E140" s="3" t="s">
        <v>16</v>
      </c>
      <c r="F140" s="175">
        <f t="array" ref="F140">IFERROR(INDEX(Usage!$B$5:$P$18,MATCH($B140,Usage!$B$5:$B$18,0),MATCH($C140&amp;$D140&amp;$E140,Usage!$B$5:$S$5&amp;Usage!$B$6:$S$6&amp;Usage!$B$7:$S$7,0)),0)</f>
        <v>1800</v>
      </c>
      <c r="G140" s="3" t="s">
        <v>63</v>
      </c>
      <c r="H140" s="172">
        <f t="array" ref="H140">INDEX('Key inputs'!$B$17:$N$41,MATCH($B140&amp;$C140&amp;$E140,'Key inputs'!$B$17:$B$41&amp;'Key inputs'!$C$17:$C$41&amp;'Key inputs'!$D$17:$D$41,0),MATCH($G140&amp;H$4&amp;H$5,'Key inputs'!$B$18:$N$18&amp;'Key inputs'!$B$19:$N$19&amp;'Key inputs'!$B$20:$N$20,0))</f>
        <v>0</v>
      </c>
      <c r="I140" s="172">
        <f t="array" ref="I140">INDEX('Key inputs'!$B$17:$N$41,MATCH($B140&amp;$C140&amp;$E140,'Key inputs'!$B$17:$B$41&amp;'Key inputs'!$C$17:$C$41&amp;'Key inputs'!$D$17:$D$41,0),MATCH($G140&amp;I$4&amp;I$5,'Key inputs'!$B$18:$N$18&amp;'Key inputs'!$B$19:$N$19&amp;'Key inputs'!$B$20:$N$20,0))</f>
        <v>67.300000000000011</v>
      </c>
      <c r="J140" s="172">
        <f>H140*INDEX(Usage!$B$4:$M$18,MATCH($B140,Usage!$B$4:$B$18,0),MATCH(IF($E140="CL1","CL1 Proportion","CL2 Proportion"),Usage!$B$8:$M$8,0))+I140*$F140/1000</f>
        <v>121.14000000000001</v>
      </c>
      <c r="K140" s="191">
        <f>IFERROR(J140/J142,"")</f>
        <v>0.83475744211686886</v>
      </c>
      <c r="L140" s="191"/>
      <c r="M140" s="191">
        <f t="shared" ref="M140:M145" si="32">IF(OR(J140=0,J140="",Q140=""),"",Q140/J140-1)</f>
        <v>-9.6754829123328889E-3</v>
      </c>
      <c r="N140" s="188"/>
      <c r="O140" s="172">
        <f t="array" ref="O140">INDEX('Key inputs'!$B$17:$N$41,MATCH($B140&amp;$C140&amp;$E140,'Key inputs'!$B$17:$B$41&amp;'Key inputs'!$C$17:$C$41&amp;'Key inputs'!$D$17:$D$41,0),MATCH($G140&amp;O$4&amp;O$5,'Key inputs'!$B$18:$N$18&amp;'Key inputs'!$B$19:$N$19&amp;'Key inputs'!$B$20:$N$20,0))</f>
        <v>0</v>
      </c>
      <c r="P140" s="172">
        <f t="array" ref="P140">INDEX('Key inputs'!$B$17:$N$41,MATCH($B140&amp;$C140&amp;$E140,'Key inputs'!$B$17:$B$41&amp;'Key inputs'!$C$17:$C$41&amp;'Key inputs'!$D$17:$D$41,0),MATCH($G140&amp;P$4&amp;P$5,'Key inputs'!$B$18:$N$18&amp;'Key inputs'!$B$19:$N$19&amp;'Key inputs'!$B$20:$N$20,0))</f>
        <v>66.648840000000007</v>
      </c>
      <c r="Q140" s="172">
        <f>O140*INDEX(Usage!$B$4:$M$18,MATCH($B140,Usage!$B$4:$B$18,0),MATCH(IF($E140="CL1","CL1 Proportion","CL2 Proportion"),Usage!$B$8:$M$8,0))+P140*$F140/1000</f>
        <v>119.96791200000001</v>
      </c>
      <c r="R140" s="191">
        <f>IFERROR(Q140/Q142,"")</f>
        <v>0.82266769341112145</v>
      </c>
    </row>
    <row r="141" spans="2:18" x14ac:dyDescent="0.25">
      <c r="B141" s="3" t="str">
        <f t="shared" si="30"/>
        <v>SAPN</v>
      </c>
      <c r="C141" s="3" t="str">
        <f t="shared" si="30"/>
        <v>Residential</v>
      </c>
      <c r="D141" s="3" t="str">
        <f t="shared" si="30"/>
        <v>with CL</v>
      </c>
      <c r="E141" s="3" t="s">
        <v>16</v>
      </c>
      <c r="F141" s="175">
        <f t="array" ref="F141">IFERROR(INDEX(Usage!$B$5:$P$18,MATCH($B141,Usage!$B$5:$B$18,0),MATCH($C141&amp;$D141&amp;$E141,Usage!$B$5:$S$5&amp;Usage!$B$6:$S$6&amp;Usage!$B$7:$S$7,0)),0)</f>
        <v>1800</v>
      </c>
      <c r="G141" s="3" t="s">
        <v>67</v>
      </c>
      <c r="H141" s="172">
        <f t="array" ref="H141">INDEX('Key inputs'!$B$17:$N$41,MATCH($B141&amp;$C141&amp;$E141,'Key inputs'!$B$17:$B$41&amp;'Key inputs'!$C$17:$C$41&amp;'Key inputs'!$D$17:$D$41,0),MATCH($G141&amp;H$4&amp;H$5,'Key inputs'!$B$18:$N$18&amp;'Key inputs'!$B$19:$N$19&amp;'Key inputs'!$B$20:$N$20,0))</f>
        <v>23.98</v>
      </c>
      <c r="I141" s="172">
        <f>IFERROR(INDEX('Detail inputs'!$B$3:$K$196,MATCH($B141&amp;$C141&amp;$E141&amp;$G141&amp;I$5,'Detail inputs'!$B$3:$B$196&amp;'Detail inputs'!$D$3:$D$196&amp;'Detail inputs'!$F$3:$F$196&amp;'Detail inputs'!$G$3:$G$196&amp;'Detail inputs'!$H$3:$H$196,0),MATCH(I$4,'Detail inputs'!$B$3:$K$3,0)),0)</f>
        <v>0</v>
      </c>
      <c r="J141" s="172">
        <f>H141*INDEX(Usage!$B$4:$M$18,MATCH($B141,Usage!$B$4:$B$18,0),MATCH(IF($E141="CL1","CL1 Proportion","CL2 Proportion"),Usage!$B$8:$M$8,0))+I141*$F141/1000</f>
        <v>23.98</v>
      </c>
      <c r="K141" s="191">
        <f>IFERROR(J141/J142,"")</f>
        <v>0.16524255788313119</v>
      </c>
      <c r="L141" s="191"/>
      <c r="M141" s="191">
        <f t="shared" si="32"/>
        <v>7.839866555462871E-2</v>
      </c>
      <c r="N141" s="188"/>
      <c r="O141" s="172">
        <f t="array" ref="O141">INDEX('Key inputs'!$B$17:$N$41,MATCH($B141&amp;$C141&amp;$E141,'Key inputs'!$B$17:$B$41&amp;'Key inputs'!$C$17:$C$41&amp;'Key inputs'!$D$17:$D$41,0),MATCH($G141&amp;O$4&amp;O$5,'Key inputs'!$B$18:$N$18&amp;'Key inputs'!$B$19:$N$19&amp;'Key inputs'!$B$20:$N$20,0))</f>
        <v>25.86</v>
      </c>
      <c r="P141" s="172">
        <f>IFERROR(INDEX('Detail inputs'!$B$3:$K$196,MATCH($B141&amp;$C141&amp;$E141&amp;$G141&amp;P$5,'Detail inputs'!$B$3:$B$196&amp;'Detail inputs'!$D$3:$D$196&amp;'Detail inputs'!$F$3:$F$196&amp;'Detail inputs'!$G$3:$G$196&amp;'Detail inputs'!$H$3:$H$196,0),MATCH(P$4,'Detail inputs'!$B$3:$K$3,0)),0)</f>
        <v>0</v>
      </c>
      <c r="Q141" s="172">
        <f>O141*INDEX(Usage!$B$4:$M$18,MATCH($B141,Usage!$B$4:$B$18,0),MATCH(IF($E141="CL1","CL1 Proportion","CL2 Proportion"),Usage!$B$8:$M$8,0))+P141*$F141/1000</f>
        <v>25.86</v>
      </c>
      <c r="R141" s="191">
        <f>IFERROR(Q141/Q142,"")</f>
        <v>0.1773323065888785</v>
      </c>
    </row>
    <row r="142" spans="2:18" x14ac:dyDescent="0.25">
      <c r="B142" s="3" t="str">
        <f t="shared" si="30"/>
        <v>SAPN</v>
      </c>
      <c r="C142" s="3" t="str">
        <f t="shared" si="30"/>
        <v>Residential</v>
      </c>
      <c r="D142" s="3" t="str">
        <f t="shared" si="30"/>
        <v>with CL</v>
      </c>
      <c r="E142" s="3" t="s">
        <v>16</v>
      </c>
      <c r="F142" s="175">
        <f t="array" ref="F142">IFERROR(INDEX(Usage!$B$5:$P$18,MATCH($B142,Usage!$B$5:$B$18,0),MATCH($C142&amp;$D142&amp;$E142,Usage!$B$5:$S$5&amp;Usage!$B$6:$S$6&amp;Usage!$B$7:$S$7,0)),0)</f>
        <v>1800</v>
      </c>
      <c r="G142" s="3" t="s">
        <v>61</v>
      </c>
      <c r="H142" s="172"/>
      <c r="I142" s="172"/>
      <c r="J142" s="172">
        <f>SUM(J140:J141)</f>
        <v>145.12</v>
      </c>
      <c r="K142" s="192"/>
      <c r="L142" s="199"/>
      <c r="M142" s="191">
        <f t="shared" si="32"/>
        <v>4.8781146637266737E-3</v>
      </c>
      <c r="N142" s="197"/>
      <c r="O142" s="172"/>
      <c r="P142" s="172"/>
      <c r="Q142" s="172">
        <f>SUM(Q140:Q141)</f>
        <v>145.82791200000003</v>
      </c>
      <c r="R142" s="191"/>
    </row>
    <row r="143" spans="2:18" x14ac:dyDescent="0.25">
      <c r="B143" s="3" t="str">
        <f t="shared" si="30"/>
        <v>SAPN</v>
      </c>
      <c r="C143" s="3" t="str">
        <f t="shared" si="30"/>
        <v>Residential</v>
      </c>
      <c r="D143" s="3" t="str">
        <f t="shared" si="30"/>
        <v>with CL</v>
      </c>
      <c r="E143" s="3" t="s">
        <v>61</v>
      </c>
      <c r="F143" s="175">
        <f t="array" ref="F143">IFERROR(INDEX(Usage!$B$5:$P$18,MATCH($B143,Usage!$B$5:$B$18,0),MATCH($C143&amp;$D143&amp;$E143,Usage!$B$5:$S$5&amp;Usage!$B$6:$S$6&amp;Usage!$B$7:$S$7,0)),0)</f>
        <v>6000</v>
      </c>
      <c r="G143" s="3" t="s">
        <v>61</v>
      </c>
      <c r="H143" s="172"/>
      <c r="I143" s="172"/>
      <c r="J143" s="172">
        <f>SUM(J136,J139,J142)</f>
        <v>923.59900000000005</v>
      </c>
      <c r="K143" s="192"/>
      <c r="L143" s="199"/>
      <c r="M143" s="191">
        <f t="shared" si="32"/>
        <v>3.5940099545361814E-3</v>
      </c>
      <c r="N143" s="197"/>
      <c r="O143" s="172"/>
      <c r="P143" s="172"/>
      <c r="Q143" s="172">
        <f>SUM(Q136,Q139,Q142)</f>
        <v>926.91842399999973</v>
      </c>
      <c r="R143" s="192"/>
    </row>
    <row r="144" spans="2:18" ht="13.5" customHeight="1" outlineLevel="1" x14ac:dyDescent="0.25">
      <c r="B144" s="3" t="str">
        <f t="shared" si="30"/>
        <v>SAPN</v>
      </c>
      <c r="C144" s="3" t="str">
        <f t="shared" si="30"/>
        <v>Residential</v>
      </c>
      <c r="D144" s="3" t="str">
        <f t="shared" si="30"/>
        <v>with CL</v>
      </c>
      <c r="F144" s="175"/>
      <c r="G144" s="3" t="s">
        <v>41</v>
      </c>
      <c r="H144" s="172"/>
      <c r="I144" s="172"/>
      <c r="J144" s="172">
        <f>J143*GST</f>
        <v>92.35990000000001</v>
      </c>
      <c r="K144" s="192"/>
      <c r="L144" s="199"/>
      <c r="M144" s="191">
        <f t="shared" si="32"/>
        <v>3.5940099545361814E-3</v>
      </c>
      <c r="N144" s="197"/>
      <c r="O144" s="172"/>
      <c r="P144" s="172"/>
      <c r="Q144" s="172">
        <f>Q143*GST</f>
        <v>92.691842399999985</v>
      </c>
      <c r="R144" s="192"/>
    </row>
    <row r="145" spans="2:18" x14ac:dyDescent="0.25">
      <c r="B145" s="3" t="str">
        <f t="shared" si="30"/>
        <v>SAPN</v>
      </c>
      <c r="C145" s="3" t="str">
        <f t="shared" si="30"/>
        <v>Residential</v>
      </c>
      <c r="D145" s="3" t="str">
        <f t="shared" si="30"/>
        <v>with CL</v>
      </c>
      <c r="F145" s="175"/>
      <c r="G145" s="5" t="s">
        <v>87</v>
      </c>
      <c r="H145" s="172"/>
      <c r="I145" s="172"/>
      <c r="J145" s="174">
        <f>SUM(J143:J144)</f>
        <v>1015.9589000000001</v>
      </c>
      <c r="K145" s="193"/>
      <c r="L145" s="200"/>
      <c r="M145" s="193">
        <f t="shared" si="32"/>
        <v>3.5940099545361814E-3</v>
      </c>
      <c r="N145" s="198"/>
      <c r="O145" s="174"/>
      <c r="P145" s="174"/>
      <c r="Q145" s="174">
        <f>SUM(Q143:Q144)</f>
        <v>1019.6102663999998</v>
      </c>
      <c r="R145" s="193"/>
    </row>
    <row r="146" spans="2:18" x14ac:dyDescent="0.25">
      <c r="F146" s="197"/>
      <c r="H146" s="172"/>
      <c r="I146" s="172"/>
      <c r="J146" s="172"/>
      <c r="K146" s="191"/>
      <c r="L146" s="191"/>
      <c r="M146" s="191"/>
      <c r="N146" s="188"/>
      <c r="O146" s="172"/>
      <c r="P146" s="172"/>
      <c r="Q146" s="172"/>
      <c r="R146" s="199"/>
    </row>
    <row r="147" spans="2:18" x14ac:dyDescent="0.25">
      <c r="B147" s="5" t="s">
        <v>5</v>
      </c>
      <c r="C147" s="5" t="s">
        <v>15</v>
      </c>
      <c r="D147" s="5" t="s">
        <v>146</v>
      </c>
      <c r="F147" s="175"/>
      <c r="H147" s="172"/>
      <c r="I147" s="172"/>
      <c r="J147" s="172"/>
      <c r="K147" s="191"/>
      <c r="L147" s="191"/>
      <c r="M147" s="191"/>
      <c r="N147" s="188"/>
      <c r="O147" s="172"/>
      <c r="P147" s="172"/>
      <c r="Q147" s="172"/>
      <c r="R147" s="191"/>
    </row>
    <row r="148" spans="2:18" ht="11.25" hidden="1" customHeight="1" outlineLevel="1" x14ac:dyDescent="0.25">
      <c r="B148" s="3" t="str">
        <f>B147</f>
        <v>SAPN</v>
      </c>
      <c r="C148" s="3" t="str">
        <f t="shared" ref="C148:C150" si="33">C147</f>
        <v>Small business</v>
      </c>
      <c r="D148" s="3" t="str">
        <f t="shared" ref="D148:D150" si="34">D147</f>
        <v>without CL</v>
      </c>
      <c r="E148" s="3" t="s">
        <v>22</v>
      </c>
      <c r="F148" s="175">
        <f t="array" ref="F148">IFERROR(INDEX(Usage!$B$5:$P$18,MATCH($B148,Usage!$B$5:$B$18,0),MATCH($C148&amp;$D148&amp;$E148,Usage!$B$5:$S$5&amp;Usage!$B$6:$S$6&amp;Usage!$B$7:$S$7,0)),0)</f>
        <v>10000</v>
      </c>
      <c r="G148" s="3" t="s">
        <v>56</v>
      </c>
      <c r="H148" s="172" t="str">
        <f t="array" ref="H148">IFERROR(INDEX('Detail inputs'!$B$3:$K$196,MATCH($B148&amp;$C148&amp;$E148&amp;$G148&amp;H$5,'Detail inputs'!$B$3:$B$196&amp;'Detail inputs'!$D$3:$D$196&amp;'Detail inputs'!$F$3:$F$196&amp;'Detail inputs'!$G$3:$G$196&amp;'Detail inputs'!$H$3:$H$196,0),MATCH(H$4,'Detail inputs'!$B$3:$K$3,0)),"")</f>
        <v/>
      </c>
      <c r="I148" s="172" t="str">
        <f t="array" ref="I148">IFERROR(INDEX('Detail inputs'!$B$3:$K$196,MATCH($B148&amp;$C148&amp;$E148&amp;$G148&amp;I$5,'Detail inputs'!$B$3:$B$196&amp;'Detail inputs'!$D$3:$D$196&amp;'Detail inputs'!$F$3:$F$196&amp;'Detail inputs'!$G$3:$G$196&amp;'Detail inputs'!$H$3:$H$196,0),MATCH(I$4,'Detail inputs'!$B$3:$K$3,0)),"")</f>
        <v/>
      </c>
      <c r="J148" s="172" t="str">
        <f>IFERROR(IF(H148="",I148*$F148/1000,IF(I148="",H148,H148+I148*$F148/1000)),"")</f>
        <v/>
      </c>
      <c r="K148" s="191" t="str">
        <f>IFERROR(J148/J151,"")</f>
        <v/>
      </c>
      <c r="L148" s="191"/>
      <c r="M148" s="191" t="str">
        <f t="shared" ref="M148:M155" si="35">IF(OR(J148=0,J148="",Q148=""),"",Q148/J148-1)</f>
        <v/>
      </c>
      <c r="N148" s="188"/>
      <c r="O148" s="172" t="str">
        <f t="array" ref="O148">IFERROR(INDEX('Detail inputs'!$B$3:$K$196,MATCH($B148&amp;$C148&amp;$E148&amp;$G148&amp;O$5,'Detail inputs'!$B$3:$B$196&amp;'Detail inputs'!$D$3:$D$196&amp;'Detail inputs'!$F$3:$F$196&amp;'Detail inputs'!$G$3:$G$196&amp;'Detail inputs'!$H$3:$H$196,0),MATCH(O$4,'Detail inputs'!$B$3:$K$3,0)),"")</f>
        <v/>
      </c>
      <c r="P148" s="172" t="str">
        <f t="array" ref="P148">IFERROR(INDEX('Detail inputs'!$B$3:$K$196,MATCH($B148&amp;$C148&amp;$E148&amp;$G148&amp;P$5,'Detail inputs'!$B$3:$B$196&amp;'Detail inputs'!$D$3:$D$196&amp;'Detail inputs'!$F$3:$F$196&amp;'Detail inputs'!$G$3:$G$196&amp;'Detail inputs'!$H$3:$H$196,0),MATCH(P$4,'Detail inputs'!$B$3:$K$3,0)),"")</f>
        <v/>
      </c>
      <c r="Q148" s="172" t="str">
        <f>IFERROR(IF(O148="",P148*$F148/1000,IF(P148="",O148,O148+P148*$F148/1000)),"")</f>
        <v/>
      </c>
      <c r="R148" s="191" t="str">
        <f>IFERROR(Q148/Q151,"")</f>
        <v/>
      </c>
    </row>
    <row r="149" spans="2:18" ht="18" hidden="1" customHeight="1" outlineLevel="1" x14ac:dyDescent="0.25">
      <c r="B149" s="3" t="str">
        <f t="shared" ref="B149:B150" si="36">B148</f>
        <v>SAPN</v>
      </c>
      <c r="C149" s="3" t="str">
        <f t="shared" si="33"/>
        <v>Small business</v>
      </c>
      <c r="D149" s="3" t="str">
        <f t="shared" si="34"/>
        <v>without CL</v>
      </c>
      <c r="E149" s="3" t="s">
        <v>22</v>
      </c>
      <c r="F149" s="175">
        <f t="array" ref="F149">IFERROR(INDEX(Usage!$B$5:$P$18,MATCH($B149,Usage!$B$5:$B$18,0),MATCH($C149&amp;$D149&amp;$E149,Usage!$B$5:$S$5&amp;Usage!$B$6:$S$6&amp;Usage!$B$7:$S$7,0)),0)</f>
        <v>10000</v>
      </c>
      <c r="G149" s="3" t="s">
        <v>57</v>
      </c>
      <c r="H149" s="172" t="str">
        <f t="array" ref="H149">IFERROR(INDEX('Detail inputs'!$B$3:$K$196,MATCH($B149&amp;$C149&amp;$E149&amp;$G149&amp;H$5,'Detail inputs'!$B$3:$B$196&amp;'Detail inputs'!$D$3:$D$196&amp;'Detail inputs'!$F$3:$F$196&amp;'Detail inputs'!$G$3:$G$196&amp;'Detail inputs'!$H$3:$H$196,0),MATCH(H$4,'Detail inputs'!$B$3:$K$3,0)),"")</f>
        <v/>
      </c>
      <c r="I149" s="172" t="str">
        <f t="array" ref="I149">IFERROR(INDEX('Detail inputs'!$B$3:$K$196,MATCH($B149&amp;$C149&amp;$E149&amp;$G149&amp;I$5,'Detail inputs'!$B$3:$B$196&amp;'Detail inputs'!$D$3:$D$196&amp;'Detail inputs'!$F$3:$F$196&amp;'Detail inputs'!$G$3:$G$196&amp;'Detail inputs'!$H$3:$H$196,0),MATCH(I$4,'Detail inputs'!$B$3:$K$3,0)),"")</f>
        <v/>
      </c>
      <c r="J149" s="172" t="str">
        <f>IFERROR(IF(H149="",I149*$F149/1000,IF(I149="",H149,H149+I149*$F149/1000)),"")</f>
        <v/>
      </c>
      <c r="K149" s="191" t="str">
        <f>IFERROR(J149/J151,"")</f>
        <v/>
      </c>
      <c r="L149" s="191"/>
      <c r="M149" s="191" t="str">
        <f t="shared" si="35"/>
        <v/>
      </c>
      <c r="N149" s="188"/>
      <c r="O149" s="172" t="str">
        <f t="array" ref="O149">IFERROR(INDEX('Detail inputs'!$B$3:$K$196,MATCH($B149&amp;$C149&amp;$E149&amp;$G149&amp;O$5,'Detail inputs'!$B$3:$B$196&amp;'Detail inputs'!$D$3:$D$196&amp;'Detail inputs'!$F$3:$F$196&amp;'Detail inputs'!$G$3:$G$196&amp;'Detail inputs'!$H$3:$H$196,0),MATCH(O$4,'Detail inputs'!$B$3:$K$3,0)),"")</f>
        <v/>
      </c>
      <c r="P149" s="172" t="str">
        <f t="array" ref="P149">IFERROR(INDEX('Detail inputs'!$B$3:$K$196,MATCH($B149&amp;$C149&amp;$E149&amp;$G149&amp;P$5,'Detail inputs'!$B$3:$B$196&amp;'Detail inputs'!$D$3:$D$196&amp;'Detail inputs'!$F$3:$F$196&amp;'Detail inputs'!$G$3:$G$196&amp;'Detail inputs'!$H$3:$H$196,0),MATCH(P$4,'Detail inputs'!$B$3:$K$3,0)),"")</f>
        <v/>
      </c>
      <c r="Q149" s="172" t="str">
        <f>IFERROR(IF(O149="",P149*$F149/1000,IF(P149="",O149,O149+P149*$F149/1000)),"")</f>
        <v/>
      </c>
      <c r="R149" s="191" t="str">
        <f>IFERROR(Q149/Q151,"")</f>
        <v/>
      </c>
    </row>
    <row r="150" spans="2:18" ht="15.75" hidden="1" customHeight="1" outlineLevel="1" x14ac:dyDescent="0.25">
      <c r="B150" s="3" t="str">
        <f t="shared" si="36"/>
        <v>SAPN</v>
      </c>
      <c r="C150" s="3" t="str">
        <f t="shared" si="33"/>
        <v>Small business</v>
      </c>
      <c r="D150" s="3" t="str">
        <f t="shared" si="34"/>
        <v>without CL</v>
      </c>
      <c r="E150" s="3" t="s">
        <v>22</v>
      </c>
      <c r="F150" s="175">
        <f t="array" ref="F150">IFERROR(INDEX(Usage!$B$5:$P$18,MATCH($B150,Usage!$B$5:$B$18,0),MATCH($C150&amp;$D150&amp;$E150,Usage!$B$5:$S$5&amp;Usage!$B$6:$S$6&amp;Usage!$B$7:$S$7,0)),0)</f>
        <v>10000</v>
      </c>
      <c r="G150" s="3" t="s">
        <v>84</v>
      </c>
      <c r="H150" s="172" t="str">
        <f t="array" ref="H150">IFERROR(INDEX('Detail inputs'!$B$3:$K$196,MATCH($B150&amp;$C150&amp;$E150&amp;$G150&amp;H$5,'Detail inputs'!$B$3:$B$196&amp;'Detail inputs'!$D$3:$D$196&amp;'Detail inputs'!$F$3:$F$196&amp;'Detail inputs'!$G$3:$G$196&amp;'Detail inputs'!$H$3:$H$196,0),MATCH(H$4,'Detail inputs'!$B$3:$K$3,0)),"")</f>
        <v/>
      </c>
      <c r="I150" s="172" t="str">
        <f t="array" ref="I150">IFERROR(INDEX('Detail inputs'!$B$3:$K$196,MATCH($B150&amp;$C150&amp;$E150&amp;$G150&amp;I$5,'Detail inputs'!$B$3:$B$196&amp;'Detail inputs'!$D$3:$D$196&amp;'Detail inputs'!$F$3:$F$196&amp;'Detail inputs'!$G$3:$G$196&amp;'Detail inputs'!$H$3:$H$196,0),MATCH(I$4,'Detail inputs'!$B$3:$K$3,0)),"")</f>
        <v/>
      </c>
      <c r="J150" s="172" t="str">
        <f>IFERROR(IF(H150="",I150*$F150/1000,IF(I150="",H150,H150+I150*$F150/1000)),"")</f>
        <v/>
      </c>
      <c r="K150" s="191" t="str">
        <f>IFERROR(J150/J151,"")</f>
        <v/>
      </c>
      <c r="L150" s="191"/>
      <c r="M150" s="191" t="str">
        <f t="shared" si="35"/>
        <v/>
      </c>
      <c r="N150" s="188"/>
      <c r="O150" s="172" t="str">
        <f t="array" ref="O150">IFERROR(INDEX('Detail inputs'!$B$3:$K$196,MATCH($B150&amp;$C150&amp;$E150&amp;$G150&amp;O$5,'Detail inputs'!$B$3:$B$196&amp;'Detail inputs'!$D$3:$D$196&amp;'Detail inputs'!$F$3:$F$196&amp;'Detail inputs'!$G$3:$G$196&amp;'Detail inputs'!$H$3:$H$196,0),MATCH(O$4,'Detail inputs'!$B$3:$K$3,0)),"")</f>
        <v/>
      </c>
      <c r="P150" s="172" t="str">
        <f t="array" ref="P150">IFERROR(INDEX('Detail inputs'!$B$3:$K$196,MATCH($B150&amp;$C150&amp;$E150&amp;$G150&amp;P$5,'Detail inputs'!$B$3:$B$196&amp;'Detail inputs'!$D$3:$D$196&amp;'Detail inputs'!$F$3:$F$196&amp;'Detail inputs'!$G$3:$G$196&amp;'Detail inputs'!$H$3:$H$196,0),MATCH(P$4,'Detail inputs'!$B$3:$K$3,0)),"")</f>
        <v/>
      </c>
      <c r="Q150" s="172" t="str">
        <f>IFERROR(IF(O150="",P150*$F150/1000,IF(P150="",O150,O150+P150*$F150/1000)),"")</f>
        <v/>
      </c>
      <c r="R150" s="191" t="str">
        <f>IFERROR(Q150/Q151,"")</f>
        <v/>
      </c>
    </row>
    <row r="151" spans="2:18" collapsed="1" x14ac:dyDescent="0.25">
      <c r="B151" s="3" t="str">
        <f>B$150</f>
        <v>SAPN</v>
      </c>
      <c r="C151" s="3" t="str">
        <f t="shared" ref="C151:D151" si="37">C$150</f>
        <v>Small business</v>
      </c>
      <c r="D151" s="3" t="str">
        <f t="shared" si="37"/>
        <v>without CL</v>
      </c>
      <c r="E151" s="3" t="s">
        <v>22</v>
      </c>
      <c r="F151" s="175">
        <f t="array" ref="F151">IFERROR(INDEX(Usage!$B$5:$P$18,MATCH($B151,Usage!$B$5:$B$18,0),MATCH($C151&amp;$D151&amp;$E151,Usage!$B$5:$S$5&amp;Usage!$B$6:$S$6&amp;Usage!$B$7:$S$7,0)),0)</f>
        <v>10000</v>
      </c>
      <c r="G151" s="3" t="s">
        <v>63</v>
      </c>
      <c r="H151" s="172">
        <f t="array" ref="H151">INDEX('Key inputs'!$B$17:$N$41,MATCH($B151&amp;$C151&amp;$E151,'Key inputs'!$B$17:$B$41&amp;'Key inputs'!$C$17:$C$41&amp;'Key inputs'!$D$17:$D$41,0),MATCH($G151&amp;H$4&amp;H$5,'Key inputs'!$B$18:$N$18&amp;'Key inputs'!$B$19:$N$19&amp;'Key inputs'!$B$20:$N$20,0))</f>
        <v>224.98599999999999</v>
      </c>
      <c r="I151" s="172">
        <f t="array" ref="I151">INDEX('Key inputs'!$B$17:$N$41,MATCH($B151&amp;$C151&amp;$E151,'Key inputs'!$B$17:$B$41&amp;'Key inputs'!$C$17:$C$41&amp;'Key inputs'!$D$17:$D$41,0),MATCH($G151&amp;I$4&amp;I$5,'Key inputs'!$B$18:$N$18&amp;'Key inputs'!$B$19:$N$19&amp;'Key inputs'!$B$20:$N$20,0))</f>
        <v>150.60000000000002</v>
      </c>
      <c r="J151" s="172">
        <f>H151+I151*$F151/1000</f>
        <v>1730.9860000000003</v>
      </c>
      <c r="K151" s="191">
        <f>IFERROR(J151/J153,"")</f>
        <v>0.98633591761891681</v>
      </c>
      <c r="L151" s="191"/>
      <c r="M151" s="191">
        <f t="shared" si="35"/>
        <v>1.3997687329521336E-2</v>
      </c>
      <c r="N151" s="188"/>
      <c r="O151" s="172">
        <f t="array" ref="O151">INDEX('Key inputs'!$B$17:$N$41,MATCH($B151&amp;$C151&amp;$E151,'Key inputs'!$B$17:$B$41&amp;'Key inputs'!$C$17:$C$41&amp;'Key inputs'!$D$17:$D$41,0),MATCH($G151&amp;O$4&amp;O$5,'Key inputs'!$B$18:$N$18&amp;'Key inputs'!$B$19:$N$19&amp;'Key inputs'!$B$20:$N$20,0))</f>
        <v>244.98259999999939</v>
      </c>
      <c r="P151" s="172">
        <f t="array" ref="P151">INDEX('Key inputs'!$B$17:$N$41,MATCH($B151&amp;$C151&amp;$E151,'Key inputs'!$B$17:$B$41&amp;'Key inputs'!$C$17:$C$41&amp;'Key inputs'!$D$17:$D$41,0),MATCH($G151&amp;P$4&amp;P$5,'Key inputs'!$B$18:$N$18&amp;'Key inputs'!$B$19:$N$19&amp;'Key inputs'!$B$20:$N$20,0))</f>
        <v>151.02332007997799</v>
      </c>
      <c r="Q151" s="172">
        <f>O151+P151*$F151/1000</f>
        <v>1755.2158007997793</v>
      </c>
      <c r="R151" s="191">
        <f>IFERROR(Q151/Q153,"")</f>
        <v>0.98548068533164745</v>
      </c>
    </row>
    <row r="152" spans="2:18" x14ac:dyDescent="0.25">
      <c r="B152" s="3" t="str">
        <f t="shared" ref="B152:D155" si="38">B$150</f>
        <v>SAPN</v>
      </c>
      <c r="C152" s="3" t="str">
        <f t="shared" si="38"/>
        <v>Small business</v>
      </c>
      <c r="D152" s="3" t="str">
        <f t="shared" si="38"/>
        <v>without CL</v>
      </c>
      <c r="E152" s="3" t="s">
        <v>22</v>
      </c>
      <c r="F152" s="175">
        <f t="array" ref="F152">IFERROR(INDEX(Usage!$B$5:$P$18,MATCH($B152,Usage!$B$5:$B$18,0),MATCH($C152&amp;$D152&amp;$E152,Usage!$B$5:$S$5&amp;Usage!$B$6:$S$6&amp;Usage!$B$7:$S$7,0)),0)</f>
        <v>10000</v>
      </c>
      <c r="G152" s="3" t="s">
        <v>67</v>
      </c>
      <c r="H152" s="172">
        <f t="array" ref="H152">INDEX('Key inputs'!$B$17:$N$41,MATCH($B152&amp;$C152&amp;$E152,'Key inputs'!$B$17:$B$41&amp;'Key inputs'!$C$17:$C$41&amp;'Key inputs'!$D$17:$D$41,0),MATCH($G152&amp;H$4&amp;H$5,'Key inputs'!$B$18:$N$18&amp;'Key inputs'!$B$19:$N$19&amp;'Key inputs'!$B$20:$N$20,0))</f>
        <v>23.98</v>
      </c>
      <c r="I152" s="172">
        <f>IFERROR(INDEX('Detail inputs'!$B$3:$K$196,MATCH($B152&amp;$C152&amp;$E152&amp;$G152&amp;I$5,'Detail inputs'!$B$3:$B$196&amp;'Detail inputs'!$D$3:$D$196&amp;'Detail inputs'!$F$3:$F$196&amp;'Detail inputs'!$G$3:$G$196&amp;'Detail inputs'!$H$3:$H$196,0),MATCH(I$4,'Detail inputs'!$B$3:$K$3,0)),0)</f>
        <v>0</v>
      </c>
      <c r="J152" s="172">
        <f>H152+I152*$F152/1000</f>
        <v>23.98</v>
      </c>
      <c r="K152" s="191">
        <f>IFERROR(J152/J153,"")</f>
        <v>1.3664082381083164E-2</v>
      </c>
      <c r="L152" s="191"/>
      <c r="M152" s="191">
        <f t="shared" si="35"/>
        <v>7.839866555462871E-2</v>
      </c>
      <c r="N152" s="188"/>
      <c r="O152" s="172">
        <f t="array" ref="O152">INDEX('Key inputs'!$B$17:$N$41,MATCH($B152&amp;$C152&amp;$E152,'Key inputs'!$B$17:$B$41&amp;'Key inputs'!$C$17:$C$41&amp;'Key inputs'!$D$17:$D$41,0),MATCH($G152&amp;O$4&amp;O$5,'Key inputs'!$B$18:$N$18&amp;'Key inputs'!$B$19:$N$19&amp;'Key inputs'!$B$20:$N$20,0))</f>
        <v>25.86</v>
      </c>
      <c r="P152" s="172">
        <f>IFERROR(INDEX('Detail inputs'!$B$3:$K$196,MATCH($B152&amp;$C152&amp;$E152&amp;$G152&amp;P$5,'Detail inputs'!$B$3:$B$196&amp;'Detail inputs'!$D$3:$D$196&amp;'Detail inputs'!$F$3:$F$196&amp;'Detail inputs'!$G$3:$G$196&amp;'Detail inputs'!$H$3:$H$196,0),MATCH(P$4,'Detail inputs'!$B$3:$K$3,0)),0)</f>
        <v>0</v>
      </c>
      <c r="Q152" s="172">
        <f>O152+P152*$F152/1000</f>
        <v>25.86</v>
      </c>
      <c r="R152" s="191">
        <f>IFERROR(Q152/Q153,"")</f>
        <v>1.4519314668352551E-2</v>
      </c>
    </row>
    <row r="153" spans="2:18" x14ac:dyDescent="0.25">
      <c r="B153" s="3" t="str">
        <f t="shared" si="38"/>
        <v>SAPN</v>
      </c>
      <c r="C153" s="3" t="str">
        <f t="shared" si="38"/>
        <v>Small business</v>
      </c>
      <c r="D153" s="3" t="str">
        <f t="shared" si="38"/>
        <v>without CL</v>
      </c>
      <c r="E153" s="3" t="s">
        <v>22</v>
      </c>
      <c r="F153" s="175">
        <f t="array" ref="F153">IFERROR(INDEX(Usage!$B$5:$P$18,MATCH($B153,Usage!$B$5:$B$18,0),MATCH($C153&amp;$D153&amp;$E153,Usage!$B$5:$S$5&amp;Usage!$B$6:$S$6&amp;Usage!$B$7:$S$7,0)),0)</f>
        <v>10000</v>
      </c>
      <c r="G153" s="3" t="s">
        <v>61</v>
      </c>
      <c r="H153" s="172"/>
      <c r="I153" s="172"/>
      <c r="J153" s="172">
        <f>SUM(J151:J152)</f>
        <v>1754.9660000000003</v>
      </c>
      <c r="K153" s="192"/>
      <c r="L153" s="199"/>
      <c r="M153" s="191">
        <f t="shared" si="35"/>
        <v>1.4877667601411515E-2</v>
      </c>
      <c r="N153" s="197"/>
      <c r="O153" s="172"/>
      <c r="P153" s="172"/>
      <c r="Q153" s="172">
        <f>SUM(Q151:Q152)</f>
        <v>1781.0758007997792</v>
      </c>
      <c r="R153" s="192"/>
    </row>
    <row r="154" spans="2:18" outlineLevel="1" x14ac:dyDescent="0.25">
      <c r="B154" s="3" t="str">
        <f t="shared" si="38"/>
        <v>SAPN</v>
      </c>
      <c r="C154" s="3" t="str">
        <f t="shared" si="38"/>
        <v>Small business</v>
      </c>
      <c r="D154" s="3" t="str">
        <f t="shared" si="38"/>
        <v>without CL</v>
      </c>
      <c r="F154" s="197"/>
      <c r="G154" s="3" t="s">
        <v>41</v>
      </c>
      <c r="H154" s="172"/>
      <c r="I154" s="172"/>
      <c r="J154" s="172">
        <f>J153*GST</f>
        <v>175.49660000000006</v>
      </c>
      <c r="K154" s="192"/>
      <c r="L154" s="199"/>
      <c r="M154" s="191">
        <f t="shared" si="35"/>
        <v>1.4877667601411515E-2</v>
      </c>
      <c r="N154" s="197"/>
      <c r="O154" s="172"/>
      <c r="P154" s="172"/>
      <c r="Q154" s="172">
        <f>Q153*GST</f>
        <v>178.10758007997794</v>
      </c>
      <c r="R154" s="199"/>
    </row>
    <row r="155" spans="2:18" x14ac:dyDescent="0.25">
      <c r="B155" s="3" t="str">
        <f t="shared" si="38"/>
        <v>SAPN</v>
      </c>
      <c r="C155" s="3" t="str">
        <f t="shared" si="38"/>
        <v>Small business</v>
      </c>
      <c r="D155" s="3" t="str">
        <f t="shared" si="38"/>
        <v>without CL</v>
      </c>
      <c r="F155" s="197"/>
      <c r="G155" s="5" t="s">
        <v>87</v>
      </c>
      <c r="H155" s="174"/>
      <c r="I155" s="174"/>
      <c r="J155" s="174">
        <f>SUM(J153:J154)</f>
        <v>1930.4626000000003</v>
      </c>
      <c r="K155" s="193"/>
      <c r="L155" s="200"/>
      <c r="M155" s="193">
        <f t="shared" si="35"/>
        <v>1.4877667601411515E-2</v>
      </c>
      <c r="N155" s="198"/>
      <c r="O155" s="174"/>
      <c r="P155" s="174"/>
      <c r="Q155" s="174">
        <f>SUM(Q153:Q154)</f>
        <v>1959.1833808797571</v>
      </c>
      <c r="R155" s="199"/>
    </row>
    <row r="156" spans="2:18" x14ac:dyDescent="0.25">
      <c r="F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2:18" x14ac:dyDescent="0.25">
      <c r="F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2:18" x14ac:dyDescent="0.25">
      <c r="F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2:18" x14ac:dyDescent="0.25">
      <c r="F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2:18" x14ac:dyDescent="0.25">
      <c r="F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</sheetData>
  <mergeCells count="3">
    <mergeCell ref="O3:R3"/>
    <mergeCell ref="H3:K3"/>
    <mergeCell ref="A1:B1"/>
  </mergeCells>
  <conditionalFormatting sqref="B7:R8 B16:R16 B31:R31 P10 I18 I21 R17:R18 E13:L14 N20:N21 N17:N18 E28:L29 B69:R70 B77:R78 N75:R76 B92:R93 N81:R81 B100:R101 N98:R99 G12:L12 E75:L76 E81:L81 K17:L18 N12:R14 G22:L22 N22:R22 G25:L25 G19:L19 N19:R19 N25:R25 B39:R39 N9:N11 R20:R21 K20:L21 B128:R129 E84:L84 N84:R84 N87:R87 P18 P21 G9:G11 G17:G18 G20:G21 G23:G24 R23:R24 M20:M25 E32:G33 E38:R38 E15:R15 E30:R30 E94:G95 B99:L99 R94:R95 E85:G86 R85:R86 R82:R83 E82:G83 R79:R80 E79:G80 B91:L91 R71:R72 E71:G72 M51:M56 B46:G47 R54:R55 E40:G41 B61:G62 E48:G56 B68:G68 E63:G64 E87:L87 E98:L98 E9:F12 K9:L11 I10 E17:F27 G27:L27 M27:R29 E35:G37 R9:R11 E43:G45 E66:G67 B102:G127 E58:G60 M59:M60 E90:L90 N90:R91 R102:R127 R130:R155 B130:G155 E74:I74 R74 E97:I97 R97 R89 E89:I89 M112:M120">
    <cfRule type="expression" dxfId="1096" priority="1407">
      <formula>MOD(ROW(),2)=0</formula>
    </cfRule>
  </conditionalFormatting>
  <conditionalFormatting sqref="B13:D16 B25:D26 B28:D33 B36:D42 B59:D65 B67:D73 B90:D96 B7:D11 B75:D88 B44:D57 B98:D155">
    <cfRule type="expression" dxfId="1095" priority="1405">
      <formula>AND(B7=B6,MOD(ROW(),2)=1)</formula>
    </cfRule>
    <cfRule type="expression" dxfId="1094" priority="1406">
      <formula>AND(B7=B6,MOD(ROW(),2)=0)</formula>
    </cfRule>
  </conditionalFormatting>
  <conditionalFormatting sqref="H9">
    <cfRule type="expression" dxfId="1093" priority="1394">
      <formula>MOD(ROW(),2)=0</formula>
    </cfRule>
  </conditionalFormatting>
  <conditionalFormatting sqref="I9">
    <cfRule type="expression" dxfId="1092" priority="1393">
      <formula>MOD(ROW(),2)=0</formula>
    </cfRule>
  </conditionalFormatting>
  <conditionalFormatting sqref="O9">
    <cfRule type="expression" dxfId="1091" priority="1392">
      <formula>MOD(ROW(),2)=0</formula>
    </cfRule>
  </conditionalFormatting>
  <conditionalFormatting sqref="P9">
    <cfRule type="expression" dxfId="1090" priority="1391">
      <formula>MOD(ROW(),2)=0</formula>
    </cfRule>
  </conditionalFormatting>
  <conditionalFormatting sqref="H17">
    <cfRule type="expression" dxfId="1089" priority="1390">
      <formula>MOD(ROW(),2)=0</formula>
    </cfRule>
  </conditionalFormatting>
  <conditionalFormatting sqref="I17">
    <cfRule type="expression" dxfId="1088" priority="1389">
      <formula>MOD(ROW(),2)=0</formula>
    </cfRule>
  </conditionalFormatting>
  <conditionalFormatting sqref="H20">
    <cfRule type="expression" dxfId="1087" priority="1388">
      <formula>MOD(ROW(),2)=0</formula>
    </cfRule>
  </conditionalFormatting>
  <conditionalFormatting sqref="I20">
    <cfRule type="expression" dxfId="1086" priority="1387">
      <formula>MOD(ROW(),2)=0</formula>
    </cfRule>
  </conditionalFormatting>
  <conditionalFormatting sqref="O17">
    <cfRule type="expression" dxfId="1085" priority="1384">
      <formula>MOD(ROW(),2)=0</formula>
    </cfRule>
  </conditionalFormatting>
  <conditionalFormatting sqref="P17">
    <cfRule type="expression" dxfId="1084" priority="1383">
      <formula>MOD(ROW(),2)=0</formula>
    </cfRule>
  </conditionalFormatting>
  <conditionalFormatting sqref="O20">
    <cfRule type="expression" dxfId="1083" priority="1382">
      <formula>MOD(ROW(),2)=0</formula>
    </cfRule>
  </conditionalFormatting>
  <conditionalFormatting sqref="P20">
    <cfRule type="expression" dxfId="1082" priority="1381">
      <formula>MOD(ROW(),2)=0</formula>
    </cfRule>
  </conditionalFormatting>
  <conditionalFormatting sqref="H10">
    <cfRule type="expression" dxfId="1081" priority="1378">
      <formula>MOD(ROW(),2)=0</formula>
    </cfRule>
  </conditionalFormatting>
  <conditionalFormatting sqref="O10">
    <cfRule type="expression" dxfId="1080" priority="1377">
      <formula>MOD(ROW(),2)=0</formula>
    </cfRule>
  </conditionalFormatting>
  <conditionalFormatting sqref="O18">
    <cfRule type="expression" dxfId="1079" priority="1376">
      <formula>MOD(ROW(),2)=0</formula>
    </cfRule>
  </conditionalFormatting>
  <conditionalFormatting sqref="H18">
    <cfRule type="expression" dxfId="1078" priority="1375">
      <formula>MOD(ROW(),2)=0</formula>
    </cfRule>
  </conditionalFormatting>
  <conditionalFormatting sqref="H21">
    <cfRule type="expression" dxfId="1077" priority="1374">
      <formula>MOD(ROW(),2)=0</formula>
    </cfRule>
  </conditionalFormatting>
  <conditionalFormatting sqref="O21">
    <cfRule type="expression" dxfId="1076" priority="1373">
      <formula>MOD(ROW(),2)=0</formula>
    </cfRule>
  </conditionalFormatting>
  <conditionalFormatting sqref="J10:J11">
    <cfRule type="expression" dxfId="1075" priority="1368">
      <formula>MOD(ROW(),2)=0</formula>
    </cfRule>
  </conditionalFormatting>
  <conditionalFormatting sqref="M13">
    <cfRule type="expression" dxfId="1074" priority="1221">
      <formula>MOD(ROW(),2)=0</formula>
    </cfRule>
  </conditionalFormatting>
  <conditionalFormatting sqref="M14">
    <cfRule type="expression" dxfId="1073" priority="1220">
      <formula>MOD(ROW(),2)=0</formula>
    </cfRule>
  </conditionalFormatting>
  <conditionalFormatting sqref="Q17">
    <cfRule type="expression" dxfId="1072" priority="1360">
      <formula>MOD(ROW(),2)=0</formula>
    </cfRule>
  </conditionalFormatting>
  <conditionalFormatting sqref="Q18">
    <cfRule type="expression" dxfId="1071" priority="1359">
      <formula>MOD(ROW(),2)=0</formula>
    </cfRule>
  </conditionalFormatting>
  <conditionalFormatting sqref="M12">
    <cfRule type="expression" dxfId="1070" priority="1222">
      <formula>MOD(ROW(),2)=0</formula>
    </cfRule>
  </conditionalFormatting>
  <conditionalFormatting sqref="M75:M76">
    <cfRule type="expression" dxfId="1069" priority="1334">
      <formula>MOD(ROW(),2)=0</formula>
    </cfRule>
  </conditionalFormatting>
  <conditionalFormatting sqref="M81 M84 M87 M90:M91">
    <cfRule type="expression" dxfId="1068" priority="1333">
      <formula>MOD(ROW(),2)=0</formula>
    </cfRule>
  </conditionalFormatting>
  <conditionalFormatting sqref="M98:M99">
    <cfRule type="expression" dxfId="1067" priority="1332">
      <formula>MOD(ROW(),2)=0</formula>
    </cfRule>
  </conditionalFormatting>
  <conditionalFormatting sqref="J9">
    <cfRule type="expression" dxfId="1066" priority="1330">
      <formula>MOD(ROW(),2)=0</formula>
    </cfRule>
  </conditionalFormatting>
  <conditionalFormatting sqref="Q9:Q10">
    <cfRule type="expression" dxfId="1065" priority="1328">
      <formula>MOD(ROW(),2)=0</formula>
    </cfRule>
  </conditionalFormatting>
  <conditionalFormatting sqref="J17:J18">
    <cfRule type="expression" dxfId="1064" priority="1317">
      <formula>MOD(ROW(),2)=0</formula>
    </cfRule>
  </conditionalFormatting>
  <conditionalFormatting sqref="I54">
    <cfRule type="expression" dxfId="1063" priority="1065">
      <formula>MOD(ROW(),2)=0</formula>
    </cfRule>
  </conditionalFormatting>
  <conditionalFormatting sqref="O54">
    <cfRule type="expression" dxfId="1062" priority="1064">
      <formula>MOD(ROW(),2)=0</formula>
    </cfRule>
  </conditionalFormatting>
  <conditionalFormatting sqref="J20">
    <cfRule type="expression" dxfId="1061" priority="1309">
      <formula>MOD(ROW(),2)=0</formula>
    </cfRule>
  </conditionalFormatting>
  <conditionalFormatting sqref="Q54">
    <cfRule type="expression" dxfId="1060" priority="1045">
      <formula>MOD(ROW(),2)=0</formula>
    </cfRule>
  </conditionalFormatting>
  <conditionalFormatting sqref="J55">
    <cfRule type="expression" dxfId="1059" priority="1044">
      <formula>MOD(ROW(),2)=0</formula>
    </cfRule>
  </conditionalFormatting>
  <conditionalFormatting sqref="Q55">
    <cfRule type="expression" dxfId="1058" priority="1043">
      <formula>MOD(ROW(),2)=0</formula>
    </cfRule>
  </conditionalFormatting>
  <conditionalFormatting sqref="I64 H67:L68 R63:R64 N67:R68 N63:N64 K63:L64 R66 H66:I66">
    <cfRule type="expression" dxfId="1057" priority="1041">
      <formula>MOD(ROW(),2)=0</formula>
    </cfRule>
  </conditionalFormatting>
  <conditionalFormatting sqref="H63">
    <cfRule type="expression" dxfId="1056" priority="1040">
      <formula>MOD(ROW(),2)=0</formula>
    </cfRule>
  </conditionalFormatting>
  <conditionalFormatting sqref="I63">
    <cfRule type="expression" dxfId="1055" priority="1039">
      <formula>MOD(ROW(),2)=0</formula>
    </cfRule>
  </conditionalFormatting>
  <conditionalFormatting sqref="O63">
    <cfRule type="expression" dxfId="1054" priority="1038">
      <formula>MOD(ROW(),2)=0</formula>
    </cfRule>
  </conditionalFormatting>
  <conditionalFormatting sqref="P63">
    <cfRule type="expression" dxfId="1053" priority="1037">
      <formula>MOD(ROW(),2)=0</formula>
    </cfRule>
  </conditionalFormatting>
  <conditionalFormatting sqref="H64">
    <cfRule type="expression" dxfId="1052" priority="1036">
      <formula>MOD(ROW(),2)=0</formula>
    </cfRule>
  </conditionalFormatting>
  <conditionalFormatting sqref="O64">
    <cfRule type="expression" dxfId="1051" priority="1035">
      <formula>MOD(ROW(),2)=0</formula>
    </cfRule>
  </conditionalFormatting>
  <conditionalFormatting sqref="J64">
    <cfRule type="expression" dxfId="1050" priority="1034">
      <formula>MOD(ROW(),2)=0</formula>
    </cfRule>
  </conditionalFormatting>
  <conditionalFormatting sqref="J63">
    <cfRule type="expression" dxfId="1049" priority="1032">
      <formula>MOD(ROW(),2)=0</formula>
    </cfRule>
  </conditionalFormatting>
  <conditionalFormatting sqref="Q63:Q64">
    <cfRule type="expression" dxfId="1048" priority="1031">
      <formula>MOD(ROW(),2)=0</formula>
    </cfRule>
  </conditionalFormatting>
  <conditionalFormatting sqref="J54">
    <cfRule type="expression" dxfId="1047" priority="1060">
      <formula>MOD(ROW(),2)=0</formula>
    </cfRule>
  </conditionalFormatting>
  <conditionalFormatting sqref="Q51">
    <cfRule type="expression" dxfId="1046" priority="1070">
      <formula>MOD(ROW(),2)=0</formula>
    </cfRule>
  </conditionalFormatting>
  <conditionalFormatting sqref="J52">
    <cfRule type="expression" dxfId="1045" priority="1069">
      <formula>MOD(ROW(),2)=0</formula>
    </cfRule>
  </conditionalFormatting>
  <conditionalFormatting sqref="Q52">
    <cfRule type="expression" dxfId="1044" priority="1068">
      <formula>MOD(ROW(),2)=0</formula>
    </cfRule>
  </conditionalFormatting>
  <conditionalFormatting sqref="M9">
    <cfRule type="expression" dxfId="1043" priority="1224">
      <formula>MOD(ROW(),2)=0</formula>
    </cfRule>
  </conditionalFormatting>
  <conditionalFormatting sqref="M10:M11">
    <cfRule type="expression" dxfId="1042" priority="1223">
      <formula>MOD(ROW(),2)=0</formula>
    </cfRule>
  </conditionalFormatting>
  <conditionalFormatting sqref="M17:M19">
    <cfRule type="expression" dxfId="1041" priority="1214">
      <formula>MOD(ROW(),2)=0</formula>
    </cfRule>
  </conditionalFormatting>
  <conditionalFormatting sqref="Q20">
    <cfRule type="expression" dxfId="1040" priority="1197">
      <formula>MOD(ROW(),2)=0</formula>
    </cfRule>
  </conditionalFormatting>
  <conditionalFormatting sqref="J21">
    <cfRule type="expression" dxfId="1039" priority="1196">
      <formula>MOD(ROW(),2)=0</formula>
    </cfRule>
  </conditionalFormatting>
  <conditionalFormatting sqref="Q21">
    <cfRule type="expression" dxfId="1038" priority="1195">
      <formula>MOD(ROW(),2)=0</formula>
    </cfRule>
  </conditionalFormatting>
  <conditionalFormatting sqref="I24 N23:N24 K23:L24">
    <cfRule type="expression" dxfId="1037" priority="1194">
      <formula>MOD(ROW(),2)=0</formula>
    </cfRule>
  </conditionalFormatting>
  <conditionalFormatting sqref="H23">
    <cfRule type="expression" dxfId="1036" priority="1193">
      <formula>MOD(ROW(),2)=0</formula>
    </cfRule>
  </conditionalFormatting>
  <conditionalFormatting sqref="I23">
    <cfRule type="expression" dxfId="1035" priority="1192">
      <formula>MOD(ROW(),2)=0</formula>
    </cfRule>
  </conditionalFormatting>
  <conditionalFormatting sqref="O23">
    <cfRule type="expression" dxfId="1034" priority="1191">
      <formula>MOD(ROW(),2)=0</formula>
    </cfRule>
  </conditionalFormatting>
  <conditionalFormatting sqref="P23">
    <cfRule type="expression" dxfId="1033" priority="1190">
      <formula>MOD(ROW(),2)=0</formula>
    </cfRule>
  </conditionalFormatting>
  <conditionalFormatting sqref="H24">
    <cfRule type="expression" dxfId="1032" priority="1189">
      <formula>MOD(ROW(),2)=0</formula>
    </cfRule>
  </conditionalFormatting>
  <conditionalFormatting sqref="O24">
    <cfRule type="expression" dxfId="1031" priority="1188">
      <formula>MOD(ROW(),2)=0</formula>
    </cfRule>
  </conditionalFormatting>
  <conditionalFormatting sqref="J23">
    <cfRule type="expression" dxfId="1030" priority="1186">
      <formula>MOD(ROW(),2)=0</formula>
    </cfRule>
  </conditionalFormatting>
  <conditionalFormatting sqref="Q23">
    <cfRule type="expression" dxfId="1029" priority="1168">
      <formula>MOD(ROW(),2)=0</formula>
    </cfRule>
  </conditionalFormatting>
  <conditionalFormatting sqref="J24">
    <cfRule type="expression" dxfId="1028" priority="1167">
      <formula>MOD(ROW(),2)=0</formula>
    </cfRule>
  </conditionalFormatting>
  <conditionalFormatting sqref="Q24">
    <cfRule type="expression" dxfId="1027" priority="1166">
      <formula>MOD(ROW(),2)=0</formula>
    </cfRule>
  </conditionalFormatting>
  <conditionalFormatting sqref="I33 H36:L37 R32:R33 N36:R37 N32:N33 K32:L33 R35 H35:I35">
    <cfRule type="expression" dxfId="1026" priority="1164">
      <formula>MOD(ROW(),2)=0</formula>
    </cfRule>
  </conditionalFormatting>
  <conditionalFormatting sqref="H32">
    <cfRule type="expression" dxfId="1025" priority="1163">
      <formula>MOD(ROW(),2)=0</formula>
    </cfRule>
  </conditionalFormatting>
  <conditionalFormatting sqref="I32">
    <cfRule type="expression" dxfId="1024" priority="1162">
      <formula>MOD(ROW(),2)=0</formula>
    </cfRule>
  </conditionalFormatting>
  <conditionalFormatting sqref="O32">
    <cfRule type="expression" dxfId="1023" priority="1161">
      <formula>MOD(ROW(),2)=0</formula>
    </cfRule>
  </conditionalFormatting>
  <conditionalFormatting sqref="P32">
    <cfRule type="expression" dxfId="1022" priority="1160">
      <formula>MOD(ROW(),2)=0</formula>
    </cfRule>
  </conditionalFormatting>
  <conditionalFormatting sqref="H33">
    <cfRule type="expression" dxfId="1021" priority="1159">
      <formula>MOD(ROW(),2)=0</formula>
    </cfRule>
  </conditionalFormatting>
  <conditionalFormatting sqref="O33">
    <cfRule type="expression" dxfId="1020" priority="1158">
      <formula>MOD(ROW(),2)=0</formula>
    </cfRule>
  </conditionalFormatting>
  <conditionalFormatting sqref="J33">
    <cfRule type="expression" dxfId="1019" priority="1157">
      <formula>MOD(ROW(),2)=0</formula>
    </cfRule>
  </conditionalFormatting>
  <conditionalFormatting sqref="J32">
    <cfRule type="expression" dxfId="1018" priority="1155">
      <formula>MOD(ROW(),2)=0</formula>
    </cfRule>
  </conditionalFormatting>
  <conditionalFormatting sqref="Q32:Q33">
    <cfRule type="expression" dxfId="1017" priority="1154">
      <formula>MOD(ROW(),2)=0</formula>
    </cfRule>
  </conditionalFormatting>
  <conditionalFormatting sqref="M32">
    <cfRule type="expression" dxfId="1016" priority="1140">
      <formula>MOD(ROW(),2)=0</formula>
    </cfRule>
  </conditionalFormatting>
  <conditionalFormatting sqref="M33">
    <cfRule type="expression" dxfId="1015" priority="1139">
      <formula>MOD(ROW(),2)=0</formula>
    </cfRule>
  </conditionalFormatting>
  <conditionalFormatting sqref="M36">
    <cfRule type="expression" dxfId="1014" priority="1137">
      <formula>MOD(ROW(),2)=0</formula>
    </cfRule>
  </conditionalFormatting>
  <conditionalFormatting sqref="M37">
    <cfRule type="expression" dxfId="1013" priority="1136">
      <formula>MOD(ROW(),2)=0</formula>
    </cfRule>
  </conditionalFormatting>
  <conditionalFormatting sqref="H46:R47 H61:R62 I41 I49 I52 R48:R49 N51:N52 N48:N49 H44:L45 R40:R41 K48:L49 N44:R45 H53:L53 N53:R53 H56:L56 H50:L50 N50:R50 N56:R56 N40:N41 K40:L41 R51:R52 K51:L52 N59:R60 H59:L60 R43 H43:I43 H58:I58 R58">
    <cfRule type="expression" dxfId="1012" priority="1135">
      <formula>MOD(ROW(),2)=0</formula>
    </cfRule>
  </conditionalFormatting>
  <conditionalFormatting sqref="H40">
    <cfRule type="expression" dxfId="1011" priority="1134">
      <formula>MOD(ROW(),2)=0</formula>
    </cfRule>
  </conditionalFormatting>
  <conditionalFormatting sqref="I40">
    <cfRule type="expression" dxfId="1010" priority="1133">
      <formula>MOD(ROW(),2)=0</formula>
    </cfRule>
  </conditionalFormatting>
  <conditionalFormatting sqref="O40">
    <cfRule type="expression" dxfId="1009" priority="1132">
      <formula>MOD(ROW(),2)=0</formula>
    </cfRule>
  </conditionalFormatting>
  <conditionalFormatting sqref="P40">
    <cfRule type="expression" dxfId="1008" priority="1131">
      <formula>MOD(ROW(),2)=0</formula>
    </cfRule>
  </conditionalFormatting>
  <conditionalFormatting sqref="H48">
    <cfRule type="expression" dxfId="1007" priority="1130">
      <formula>MOD(ROW(),2)=0</formula>
    </cfRule>
  </conditionalFormatting>
  <conditionalFormatting sqref="I48">
    <cfRule type="expression" dxfId="1006" priority="1129">
      <formula>MOD(ROW(),2)=0</formula>
    </cfRule>
  </conditionalFormatting>
  <conditionalFormatting sqref="H51">
    <cfRule type="expression" dxfId="1005" priority="1128">
      <formula>MOD(ROW(),2)=0</formula>
    </cfRule>
  </conditionalFormatting>
  <conditionalFormatting sqref="I51">
    <cfRule type="expression" dxfId="1004" priority="1127">
      <formula>MOD(ROW(),2)=0</formula>
    </cfRule>
  </conditionalFormatting>
  <conditionalFormatting sqref="O48">
    <cfRule type="expression" dxfId="1003" priority="1126">
      <formula>MOD(ROW(),2)=0</formula>
    </cfRule>
  </conditionalFormatting>
  <conditionalFormatting sqref="P48">
    <cfRule type="expression" dxfId="1002" priority="1125">
      <formula>MOD(ROW(),2)=0</formula>
    </cfRule>
  </conditionalFormatting>
  <conditionalFormatting sqref="O51">
    <cfRule type="expression" dxfId="1001" priority="1124">
      <formula>MOD(ROW(),2)=0</formula>
    </cfRule>
  </conditionalFormatting>
  <conditionalFormatting sqref="P51">
    <cfRule type="expression" dxfId="1000" priority="1123">
      <formula>MOD(ROW(),2)=0</formula>
    </cfRule>
  </conditionalFormatting>
  <conditionalFormatting sqref="H41">
    <cfRule type="expression" dxfId="999" priority="1122">
      <formula>MOD(ROW(),2)=0</formula>
    </cfRule>
  </conditionalFormatting>
  <conditionalFormatting sqref="O41">
    <cfRule type="expression" dxfId="998" priority="1121">
      <formula>MOD(ROW(),2)=0</formula>
    </cfRule>
  </conditionalFormatting>
  <conditionalFormatting sqref="O49">
    <cfRule type="expression" dxfId="997" priority="1120">
      <formula>MOD(ROW(),2)=0</formula>
    </cfRule>
  </conditionalFormatting>
  <conditionalFormatting sqref="H49">
    <cfRule type="expression" dxfId="996" priority="1119">
      <formula>MOD(ROW(),2)=0</formula>
    </cfRule>
  </conditionalFormatting>
  <conditionalFormatting sqref="H52">
    <cfRule type="expression" dxfId="995" priority="1118">
      <formula>MOD(ROW(),2)=0</formula>
    </cfRule>
  </conditionalFormatting>
  <conditionalFormatting sqref="O52">
    <cfRule type="expression" dxfId="994" priority="1117">
      <formula>MOD(ROW(),2)=0</formula>
    </cfRule>
  </conditionalFormatting>
  <conditionalFormatting sqref="J41">
    <cfRule type="expression" dxfId="993" priority="1116">
      <formula>MOD(ROW(),2)=0</formula>
    </cfRule>
  </conditionalFormatting>
  <conditionalFormatting sqref="Q48">
    <cfRule type="expression" dxfId="992" priority="1115">
      <formula>MOD(ROW(),2)=0</formula>
    </cfRule>
  </conditionalFormatting>
  <conditionalFormatting sqref="Q49">
    <cfRule type="expression" dxfId="991" priority="1114">
      <formula>MOD(ROW(),2)=0</formula>
    </cfRule>
  </conditionalFormatting>
  <conditionalFormatting sqref="J40">
    <cfRule type="expression" dxfId="990" priority="1112">
      <formula>MOD(ROW(),2)=0</formula>
    </cfRule>
  </conditionalFormatting>
  <conditionalFormatting sqref="Q40:Q41">
    <cfRule type="expression" dxfId="989" priority="1111">
      <formula>MOD(ROW(),2)=0</formula>
    </cfRule>
  </conditionalFormatting>
  <conditionalFormatting sqref="J48:J49">
    <cfRule type="expression" dxfId="988" priority="1110">
      <formula>MOD(ROW(),2)=0</formula>
    </cfRule>
  </conditionalFormatting>
  <conditionalFormatting sqref="J51">
    <cfRule type="expression" dxfId="987" priority="1109">
      <formula>MOD(ROW(),2)=0</formula>
    </cfRule>
  </conditionalFormatting>
  <conditionalFormatting sqref="M40">
    <cfRule type="expression" dxfId="986" priority="1094">
      <formula>MOD(ROW(),2)=0</formula>
    </cfRule>
  </conditionalFormatting>
  <conditionalFormatting sqref="M41">
    <cfRule type="expression" dxfId="985" priority="1093">
      <formula>MOD(ROW(),2)=0</formula>
    </cfRule>
  </conditionalFormatting>
  <conditionalFormatting sqref="M44">
    <cfRule type="expression" dxfId="984" priority="1091">
      <formula>MOD(ROW(),2)=0</formula>
    </cfRule>
  </conditionalFormatting>
  <conditionalFormatting sqref="M45">
    <cfRule type="expression" dxfId="983" priority="1090">
      <formula>MOD(ROW(),2)=0</formula>
    </cfRule>
  </conditionalFormatting>
  <conditionalFormatting sqref="M48:M50">
    <cfRule type="expression" dxfId="982" priority="1084">
      <formula>MOD(ROW(),2)=0</formula>
    </cfRule>
  </conditionalFormatting>
  <conditionalFormatting sqref="I55 N54:N55 K54:L55">
    <cfRule type="expression" dxfId="981" priority="1067">
      <formula>MOD(ROW(),2)=0</formula>
    </cfRule>
  </conditionalFormatting>
  <conditionalFormatting sqref="H54">
    <cfRule type="expression" dxfId="980" priority="1066">
      <formula>MOD(ROW(),2)=0</formula>
    </cfRule>
  </conditionalFormatting>
  <conditionalFormatting sqref="P54">
    <cfRule type="expression" dxfId="979" priority="1063">
      <formula>MOD(ROW(),2)=0</formula>
    </cfRule>
  </conditionalFormatting>
  <conditionalFormatting sqref="H55">
    <cfRule type="expression" dxfId="978" priority="1062">
      <formula>MOD(ROW(),2)=0</formula>
    </cfRule>
  </conditionalFormatting>
  <conditionalFormatting sqref="O55">
    <cfRule type="expression" dxfId="977" priority="1061">
      <formula>MOD(ROW(),2)=0</formula>
    </cfRule>
  </conditionalFormatting>
  <conditionalFormatting sqref="M63">
    <cfRule type="expression" dxfId="976" priority="1017">
      <formula>MOD(ROW(),2)=0</formula>
    </cfRule>
  </conditionalFormatting>
  <conditionalFormatting sqref="M64">
    <cfRule type="expression" dxfId="975" priority="1016">
      <formula>MOD(ROW(),2)=0</formula>
    </cfRule>
  </conditionalFormatting>
  <conditionalFormatting sqref="M106">
    <cfRule type="expression" dxfId="974" priority="967">
      <formula>MOD(ROW(),2)=0</formula>
    </cfRule>
  </conditionalFormatting>
  <conditionalFormatting sqref="M67">
    <cfRule type="expression" dxfId="973" priority="1014">
      <formula>MOD(ROW(),2)=0</formula>
    </cfRule>
  </conditionalFormatting>
  <conditionalFormatting sqref="M68">
    <cfRule type="expression" dxfId="972" priority="1013">
      <formula>MOD(ROW(),2)=0</formula>
    </cfRule>
  </conditionalFormatting>
  <conditionalFormatting sqref="H107:Q108 H121:Q122 I103 I110 I113 N112:N113 N109:N110 H105:L106 K109:L110 N105:Q106 H114:L114 N114:Q114 H117:L117 H111:L111 N111:Q111 N117:Q117 N102:N103 K102:L103 K112:L113 N119:Q120 H119:L120 H104:I104 H118:I118">
    <cfRule type="expression" dxfId="971" priority="1012">
      <formula>MOD(ROW(),2)=0</formula>
    </cfRule>
  </conditionalFormatting>
  <conditionalFormatting sqref="H102">
    <cfRule type="expression" dxfId="970" priority="1011">
      <formula>MOD(ROW(),2)=0</formula>
    </cfRule>
  </conditionalFormatting>
  <conditionalFormatting sqref="I102">
    <cfRule type="expression" dxfId="969" priority="1010">
      <formula>MOD(ROW(),2)=0</formula>
    </cfRule>
  </conditionalFormatting>
  <conditionalFormatting sqref="O102">
    <cfRule type="expression" dxfId="968" priority="1009">
      <formula>MOD(ROW(),2)=0</formula>
    </cfRule>
  </conditionalFormatting>
  <conditionalFormatting sqref="P102">
    <cfRule type="expression" dxfId="967" priority="1008">
      <formula>MOD(ROW(),2)=0</formula>
    </cfRule>
  </conditionalFormatting>
  <conditionalFormatting sqref="H109">
    <cfRule type="expression" dxfId="966" priority="1007">
      <formula>MOD(ROW(),2)=0</formula>
    </cfRule>
  </conditionalFormatting>
  <conditionalFormatting sqref="I109">
    <cfRule type="expression" dxfId="965" priority="1006">
      <formula>MOD(ROW(),2)=0</formula>
    </cfRule>
  </conditionalFormatting>
  <conditionalFormatting sqref="H112">
    <cfRule type="expression" dxfId="964" priority="1005">
      <formula>MOD(ROW(),2)=0</formula>
    </cfRule>
  </conditionalFormatting>
  <conditionalFormatting sqref="I112">
    <cfRule type="expression" dxfId="963" priority="1004">
      <formula>MOD(ROW(),2)=0</formula>
    </cfRule>
  </conditionalFormatting>
  <conditionalFormatting sqref="O109">
    <cfRule type="expression" dxfId="962" priority="1003">
      <formula>MOD(ROW(),2)=0</formula>
    </cfRule>
  </conditionalFormatting>
  <conditionalFormatting sqref="P109">
    <cfRule type="expression" dxfId="961" priority="1002">
      <formula>MOD(ROW(),2)=0</formula>
    </cfRule>
  </conditionalFormatting>
  <conditionalFormatting sqref="O112">
    <cfRule type="expression" dxfId="960" priority="1001">
      <formula>MOD(ROW(),2)=0</formula>
    </cfRule>
  </conditionalFormatting>
  <conditionalFormatting sqref="P112">
    <cfRule type="expression" dxfId="959" priority="1000">
      <formula>MOD(ROW(),2)=0</formula>
    </cfRule>
  </conditionalFormatting>
  <conditionalFormatting sqref="H103">
    <cfRule type="expression" dxfId="958" priority="999">
      <formula>MOD(ROW(),2)=0</formula>
    </cfRule>
  </conditionalFormatting>
  <conditionalFormatting sqref="O103">
    <cfRule type="expression" dxfId="957" priority="998">
      <formula>MOD(ROW(),2)=0</formula>
    </cfRule>
  </conditionalFormatting>
  <conditionalFormatting sqref="O110">
    <cfRule type="expression" dxfId="956" priority="997">
      <formula>MOD(ROW(),2)=0</formula>
    </cfRule>
  </conditionalFormatting>
  <conditionalFormatting sqref="H110">
    <cfRule type="expression" dxfId="955" priority="996">
      <formula>MOD(ROW(),2)=0</formula>
    </cfRule>
  </conditionalFormatting>
  <conditionalFormatting sqref="H113">
    <cfRule type="expression" dxfId="954" priority="995">
      <formula>MOD(ROW(),2)=0</formula>
    </cfRule>
  </conditionalFormatting>
  <conditionalFormatting sqref="O113">
    <cfRule type="expression" dxfId="953" priority="994">
      <formula>MOD(ROW(),2)=0</formula>
    </cfRule>
  </conditionalFormatting>
  <conditionalFormatting sqref="J103">
    <cfRule type="expression" dxfId="952" priority="993">
      <formula>MOD(ROW(),2)=0</formula>
    </cfRule>
  </conditionalFormatting>
  <conditionalFormatting sqref="Q109">
    <cfRule type="expression" dxfId="951" priority="992">
      <formula>MOD(ROW(),2)=0</formula>
    </cfRule>
  </conditionalFormatting>
  <conditionalFormatting sqref="Q110">
    <cfRule type="expression" dxfId="950" priority="991">
      <formula>MOD(ROW(),2)=0</formula>
    </cfRule>
  </conditionalFormatting>
  <conditionalFormatting sqref="J102">
    <cfRule type="expression" dxfId="949" priority="989">
      <formula>MOD(ROW(),2)=0</formula>
    </cfRule>
  </conditionalFormatting>
  <conditionalFormatting sqref="Q102:Q103">
    <cfRule type="expression" dxfId="948" priority="988">
      <formula>MOD(ROW(),2)=0</formula>
    </cfRule>
  </conditionalFormatting>
  <conditionalFormatting sqref="J109:J110">
    <cfRule type="expression" dxfId="947" priority="987">
      <formula>MOD(ROW(),2)=0</formula>
    </cfRule>
  </conditionalFormatting>
  <conditionalFormatting sqref="J112">
    <cfRule type="expression" dxfId="946" priority="986">
      <formula>MOD(ROW(),2)=0</formula>
    </cfRule>
  </conditionalFormatting>
  <conditionalFormatting sqref="M102">
    <cfRule type="expression" dxfId="945" priority="971">
      <formula>MOD(ROW(),2)=0</formula>
    </cfRule>
  </conditionalFormatting>
  <conditionalFormatting sqref="M103">
    <cfRule type="expression" dxfId="944" priority="970">
      <formula>MOD(ROW(),2)=0</formula>
    </cfRule>
  </conditionalFormatting>
  <conditionalFormatting sqref="M105">
    <cfRule type="expression" dxfId="943" priority="968">
      <formula>MOD(ROW(),2)=0</formula>
    </cfRule>
  </conditionalFormatting>
  <conditionalFormatting sqref="M109:M111">
    <cfRule type="expression" dxfId="942" priority="961">
      <formula>MOD(ROW(),2)=0</formula>
    </cfRule>
  </conditionalFormatting>
  <conditionalFormatting sqref="Q112">
    <cfRule type="expression" dxfId="941" priority="947">
      <formula>MOD(ROW(),2)=0</formula>
    </cfRule>
  </conditionalFormatting>
  <conditionalFormatting sqref="J113">
    <cfRule type="expression" dxfId="940" priority="946">
      <formula>MOD(ROW(),2)=0</formula>
    </cfRule>
  </conditionalFormatting>
  <conditionalFormatting sqref="Q113">
    <cfRule type="expression" dxfId="939" priority="945">
      <formula>MOD(ROW(),2)=0</formula>
    </cfRule>
  </conditionalFormatting>
  <conditionalFormatting sqref="I116 N115:N116 K115:L116">
    <cfRule type="expression" dxfId="938" priority="944">
      <formula>MOD(ROW(),2)=0</formula>
    </cfRule>
  </conditionalFormatting>
  <conditionalFormatting sqref="H115">
    <cfRule type="expression" dxfId="937" priority="943">
      <formula>MOD(ROW(),2)=0</formula>
    </cfRule>
  </conditionalFormatting>
  <conditionalFormatting sqref="I115">
    <cfRule type="expression" dxfId="936" priority="942">
      <formula>MOD(ROW(),2)=0</formula>
    </cfRule>
  </conditionalFormatting>
  <conditionalFormatting sqref="O115">
    <cfRule type="expression" dxfId="935" priority="941">
      <formula>MOD(ROW(),2)=0</formula>
    </cfRule>
  </conditionalFormatting>
  <conditionalFormatting sqref="P115">
    <cfRule type="expression" dxfId="934" priority="940">
      <formula>MOD(ROW(),2)=0</formula>
    </cfRule>
  </conditionalFormatting>
  <conditionalFormatting sqref="H116">
    <cfRule type="expression" dxfId="933" priority="939">
      <formula>MOD(ROW(),2)=0</formula>
    </cfRule>
  </conditionalFormatting>
  <conditionalFormatting sqref="O116">
    <cfRule type="expression" dxfId="932" priority="938">
      <formula>MOD(ROW(),2)=0</formula>
    </cfRule>
  </conditionalFormatting>
  <conditionalFormatting sqref="J115">
    <cfRule type="expression" dxfId="931" priority="937">
      <formula>MOD(ROW(),2)=0</formula>
    </cfRule>
  </conditionalFormatting>
  <conditionalFormatting sqref="Q115">
    <cfRule type="expression" dxfId="930" priority="922">
      <formula>MOD(ROW(),2)=0</formula>
    </cfRule>
  </conditionalFormatting>
  <conditionalFormatting sqref="J116">
    <cfRule type="expression" dxfId="929" priority="921">
      <formula>MOD(ROW(),2)=0</formula>
    </cfRule>
  </conditionalFormatting>
  <conditionalFormatting sqref="Q116">
    <cfRule type="expression" dxfId="928" priority="920">
      <formula>MOD(ROW(),2)=0</formula>
    </cfRule>
  </conditionalFormatting>
  <conditionalFormatting sqref="I124 H126:L127 N126:Q127 N123:N124 K123:L124 H125:I125">
    <cfRule type="expression" dxfId="927" priority="918">
      <formula>MOD(ROW(),2)=0</formula>
    </cfRule>
  </conditionalFormatting>
  <conditionalFormatting sqref="H123">
    <cfRule type="expression" dxfId="926" priority="917">
      <formula>MOD(ROW(),2)=0</formula>
    </cfRule>
  </conditionalFormatting>
  <conditionalFormatting sqref="I123">
    <cfRule type="expression" dxfId="925" priority="916">
      <formula>MOD(ROW(),2)=0</formula>
    </cfRule>
  </conditionalFormatting>
  <conditionalFormatting sqref="O123">
    <cfRule type="expression" dxfId="924" priority="915">
      <formula>MOD(ROW(),2)=0</formula>
    </cfRule>
  </conditionalFormatting>
  <conditionalFormatting sqref="P123">
    <cfRule type="expression" dxfId="923" priority="914">
      <formula>MOD(ROW(),2)=0</formula>
    </cfRule>
  </conditionalFormatting>
  <conditionalFormatting sqref="H124">
    <cfRule type="expression" dxfId="922" priority="913">
      <formula>MOD(ROW(),2)=0</formula>
    </cfRule>
  </conditionalFormatting>
  <conditionalFormatting sqref="O124">
    <cfRule type="expression" dxfId="921" priority="912">
      <formula>MOD(ROW(),2)=0</formula>
    </cfRule>
  </conditionalFormatting>
  <conditionalFormatting sqref="J124">
    <cfRule type="expression" dxfId="920" priority="911">
      <formula>MOD(ROW(),2)=0</formula>
    </cfRule>
  </conditionalFormatting>
  <conditionalFormatting sqref="J123">
    <cfRule type="expression" dxfId="919" priority="909">
      <formula>MOD(ROW(),2)=0</formula>
    </cfRule>
  </conditionalFormatting>
  <conditionalFormatting sqref="Q123:Q124">
    <cfRule type="expression" dxfId="918" priority="908">
      <formula>MOD(ROW(),2)=0</formula>
    </cfRule>
  </conditionalFormatting>
  <conditionalFormatting sqref="M123">
    <cfRule type="expression" dxfId="917" priority="894">
      <formula>MOD(ROW(),2)=0</formula>
    </cfRule>
  </conditionalFormatting>
  <conditionalFormatting sqref="M124">
    <cfRule type="expression" dxfId="916" priority="893">
      <formula>MOD(ROW(),2)=0</formula>
    </cfRule>
  </conditionalFormatting>
  <conditionalFormatting sqref="M126">
    <cfRule type="expression" dxfId="915" priority="891">
      <formula>MOD(ROW(),2)=0</formula>
    </cfRule>
  </conditionalFormatting>
  <conditionalFormatting sqref="M127">
    <cfRule type="expression" dxfId="914" priority="890">
      <formula>MOD(ROW(),2)=0</formula>
    </cfRule>
  </conditionalFormatting>
  <conditionalFormatting sqref="H135:Q136 I131 H133:L134 N133:Q134 H142:I142 H139:I139 N130:N131 K130:L131 H132:I132">
    <cfRule type="expression" dxfId="913" priority="889">
      <formula>MOD(ROW(),2)=0</formula>
    </cfRule>
  </conditionalFormatting>
  <conditionalFormatting sqref="H130">
    <cfRule type="expression" dxfId="912" priority="888">
      <formula>MOD(ROW(),2)=0</formula>
    </cfRule>
  </conditionalFormatting>
  <conditionalFormatting sqref="I130">
    <cfRule type="expression" dxfId="911" priority="887">
      <formula>MOD(ROW(),2)=0</formula>
    </cfRule>
  </conditionalFormatting>
  <conditionalFormatting sqref="O130">
    <cfRule type="expression" dxfId="910" priority="886">
      <formula>MOD(ROW(),2)=0</formula>
    </cfRule>
  </conditionalFormatting>
  <conditionalFormatting sqref="P130">
    <cfRule type="expression" dxfId="909" priority="885">
      <formula>MOD(ROW(),2)=0</formula>
    </cfRule>
  </conditionalFormatting>
  <conditionalFormatting sqref="M130">
    <cfRule type="expression" dxfId="908" priority="848">
      <formula>MOD(ROW(),2)=0</formula>
    </cfRule>
  </conditionalFormatting>
  <conditionalFormatting sqref="H131">
    <cfRule type="expression" dxfId="907" priority="876">
      <formula>MOD(ROW(),2)=0</formula>
    </cfRule>
  </conditionalFormatting>
  <conditionalFormatting sqref="O131">
    <cfRule type="expression" dxfId="906" priority="875">
      <formula>MOD(ROW(),2)=0</formula>
    </cfRule>
  </conditionalFormatting>
  <conditionalFormatting sqref="J131">
    <cfRule type="expression" dxfId="905" priority="870">
      <formula>MOD(ROW(),2)=0</formula>
    </cfRule>
  </conditionalFormatting>
  <conditionalFormatting sqref="J130">
    <cfRule type="expression" dxfId="904" priority="866">
      <formula>MOD(ROW(),2)=0</formula>
    </cfRule>
  </conditionalFormatting>
  <conditionalFormatting sqref="Q130:Q131">
    <cfRule type="expression" dxfId="903" priority="865">
      <formula>MOD(ROW(),2)=0</formula>
    </cfRule>
  </conditionalFormatting>
  <conditionalFormatting sqref="H146">
    <cfRule type="expression" dxfId="902" priority="820">
      <formula>MOD(ROW(),2)=0</formula>
    </cfRule>
  </conditionalFormatting>
  <conditionalFormatting sqref="M131">
    <cfRule type="expression" dxfId="901" priority="847">
      <formula>MOD(ROW(),2)=0</formula>
    </cfRule>
  </conditionalFormatting>
  <conditionalFormatting sqref="M133">
    <cfRule type="expression" dxfId="900" priority="845">
      <formula>MOD(ROW(),2)=0</formula>
    </cfRule>
  </conditionalFormatting>
  <conditionalFormatting sqref="M134">
    <cfRule type="expression" dxfId="899" priority="844">
      <formula>MOD(ROW(),2)=0</formula>
    </cfRule>
  </conditionalFormatting>
  <conditionalFormatting sqref="I147 P147 N146:N147 K146:L147">
    <cfRule type="expression" dxfId="898" priority="821">
      <formula>MOD(ROW(),2)=0</formula>
    </cfRule>
  </conditionalFormatting>
  <conditionalFormatting sqref="I146">
    <cfRule type="expression" dxfId="897" priority="819">
      <formula>MOD(ROW(),2)=0</formula>
    </cfRule>
  </conditionalFormatting>
  <conditionalFormatting sqref="O146">
    <cfRule type="expression" dxfId="896" priority="818">
      <formula>MOD(ROW(),2)=0</formula>
    </cfRule>
  </conditionalFormatting>
  <conditionalFormatting sqref="P146">
    <cfRule type="expression" dxfId="895" priority="817">
      <formula>MOD(ROW(),2)=0</formula>
    </cfRule>
  </conditionalFormatting>
  <conditionalFormatting sqref="H147">
    <cfRule type="expression" dxfId="894" priority="816">
      <formula>MOD(ROW(),2)=0</formula>
    </cfRule>
  </conditionalFormatting>
  <conditionalFormatting sqref="O147">
    <cfRule type="expression" dxfId="893" priority="815">
      <formula>MOD(ROW(),2)=0</formula>
    </cfRule>
  </conditionalFormatting>
  <conditionalFormatting sqref="J146">
    <cfRule type="expression" dxfId="892" priority="814">
      <formula>MOD(ROW(),2)=0</formula>
    </cfRule>
  </conditionalFormatting>
  <conditionalFormatting sqref="H143:I143">
    <cfRule type="expression" dxfId="891" priority="812">
      <formula>MOD(ROW(),2)=0</formula>
    </cfRule>
  </conditionalFormatting>
  <conditionalFormatting sqref="H144:I144">
    <cfRule type="expression" dxfId="890" priority="807">
      <formula>MOD(ROW(),2)=0</formula>
    </cfRule>
  </conditionalFormatting>
  <conditionalFormatting sqref="H145:I145">
    <cfRule type="expression" dxfId="889" priority="802">
      <formula>MOD(ROW(),2)=0</formula>
    </cfRule>
  </conditionalFormatting>
  <conditionalFormatting sqref="J147">
    <cfRule type="expression" dxfId="888" priority="798">
      <formula>MOD(ROW(),2)=0</formula>
    </cfRule>
  </conditionalFormatting>
  <conditionalFormatting sqref="Q147">
    <cfRule type="expression" dxfId="887" priority="797">
      <formula>MOD(ROW(),2)=0</formula>
    </cfRule>
  </conditionalFormatting>
  <conditionalFormatting sqref="Q146">
    <cfRule type="expression" dxfId="886" priority="799">
      <formula>MOD(ROW(),2)=0</formula>
    </cfRule>
  </conditionalFormatting>
  <conditionalFormatting sqref="M146:M147">
    <cfRule type="expression" dxfId="885" priority="796">
      <formula>MOD(ROW(),2)=0</formula>
    </cfRule>
  </conditionalFormatting>
  <conditionalFormatting sqref="P79">
    <cfRule type="expression" dxfId="884" priority="715">
      <formula>MOD(ROW(),2)=0</formula>
    </cfRule>
  </conditionalFormatting>
  <conditionalFormatting sqref="J80">
    <cfRule type="expression" dxfId="883" priority="712">
      <formula>MOD(ROW(),2)=0</formula>
    </cfRule>
  </conditionalFormatting>
  <conditionalFormatting sqref="J79">
    <cfRule type="expression" dxfId="882" priority="711">
      <formula>MOD(ROW(),2)=0</formula>
    </cfRule>
  </conditionalFormatting>
  <conditionalFormatting sqref="Q79:Q80">
    <cfRule type="expression" dxfId="881" priority="710">
      <formula>MOD(ROW(),2)=0</formula>
    </cfRule>
  </conditionalFormatting>
  <conditionalFormatting sqref="M79">
    <cfRule type="expression" dxfId="880" priority="709">
      <formula>MOD(ROW(),2)=0</formula>
    </cfRule>
  </conditionalFormatting>
  <conditionalFormatting sqref="M80">
    <cfRule type="expression" dxfId="879" priority="708">
      <formula>MOD(ROW(),2)=0</formula>
    </cfRule>
  </conditionalFormatting>
  <conditionalFormatting sqref="I72 N71:N72 K71:L72">
    <cfRule type="expression" dxfId="878" priority="751">
      <formula>MOD(ROW(),2)=0</formula>
    </cfRule>
  </conditionalFormatting>
  <conditionalFormatting sqref="H71">
    <cfRule type="expression" dxfId="877" priority="750">
      <formula>MOD(ROW(),2)=0</formula>
    </cfRule>
  </conditionalFormatting>
  <conditionalFormatting sqref="I71">
    <cfRule type="expression" dxfId="876" priority="749">
      <formula>MOD(ROW(),2)=0</formula>
    </cfRule>
  </conditionalFormatting>
  <conditionalFormatting sqref="O71">
    <cfRule type="expression" dxfId="875" priority="748">
      <formula>MOD(ROW(),2)=0</formula>
    </cfRule>
  </conditionalFormatting>
  <conditionalFormatting sqref="P71">
    <cfRule type="expression" dxfId="874" priority="747">
      <formula>MOD(ROW(),2)=0</formula>
    </cfRule>
  </conditionalFormatting>
  <conditionalFormatting sqref="H72">
    <cfRule type="expression" dxfId="873" priority="746">
      <formula>MOD(ROW(),2)=0</formula>
    </cfRule>
  </conditionalFormatting>
  <conditionalFormatting sqref="O72">
    <cfRule type="expression" dxfId="872" priority="745">
      <formula>MOD(ROW(),2)=0</formula>
    </cfRule>
  </conditionalFormatting>
  <conditionalFormatting sqref="J72">
    <cfRule type="expression" dxfId="871" priority="744">
      <formula>MOD(ROW(),2)=0</formula>
    </cfRule>
  </conditionalFormatting>
  <conditionalFormatting sqref="J71">
    <cfRule type="expression" dxfId="870" priority="743">
      <formula>MOD(ROW(),2)=0</formula>
    </cfRule>
  </conditionalFormatting>
  <conditionalFormatting sqref="Q71:Q72">
    <cfRule type="expression" dxfId="869" priority="742">
      <formula>MOD(ROW(),2)=0</formula>
    </cfRule>
  </conditionalFormatting>
  <conditionalFormatting sqref="M71">
    <cfRule type="expression" dxfId="868" priority="741">
      <formula>MOD(ROW(),2)=0</formula>
    </cfRule>
  </conditionalFormatting>
  <conditionalFormatting sqref="M72">
    <cfRule type="expression" dxfId="867" priority="740">
      <formula>MOD(ROW(),2)=0</formula>
    </cfRule>
  </conditionalFormatting>
  <conditionalFormatting sqref="I80 N79:N80 K79:L80">
    <cfRule type="expression" dxfId="866" priority="719">
      <formula>MOD(ROW(),2)=0</formula>
    </cfRule>
  </conditionalFormatting>
  <conditionalFormatting sqref="H79">
    <cfRule type="expression" dxfId="865" priority="718">
      <formula>MOD(ROW(),2)=0</formula>
    </cfRule>
  </conditionalFormatting>
  <conditionalFormatting sqref="I79">
    <cfRule type="expression" dxfId="864" priority="717">
      <formula>MOD(ROW(),2)=0</formula>
    </cfRule>
  </conditionalFormatting>
  <conditionalFormatting sqref="O79">
    <cfRule type="expression" dxfId="863" priority="716">
      <formula>MOD(ROW(),2)=0</formula>
    </cfRule>
  </conditionalFormatting>
  <conditionalFormatting sqref="H80">
    <cfRule type="expression" dxfId="862" priority="714">
      <formula>MOD(ROW(),2)=0</formula>
    </cfRule>
  </conditionalFormatting>
  <conditionalFormatting sqref="O80">
    <cfRule type="expression" dxfId="861" priority="713">
      <formula>MOD(ROW(),2)=0</formula>
    </cfRule>
  </conditionalFormatting>
  <conditionalFormatting sqref="I82">
    <cfRule type="expression" dxfId="860" priority="688">
      <formula>MOD(ROW(),2)=0</formula>
    </cfRule>
  </conditionalFormatting>
  <conditionalFormatting sqref="O82">
    <cfRule type="expression" dxfId="859" priority="687">
      <formula>MOD(ROW(),2)=0</formula>
    </cfRule>
  </conditionalFormatting>
  <conditionalFormatting sqref="Q82">
    <cfRule type="expression" dxfId="858" priority="684">
      <formula>MOD(ROW(),2)=0</formula>
    </cfRule>
  </conditionalFormatting>
  <conditionalFormatting sqref="M82">
    <cfRule type="expression" dxfId="857" priority="683">
      <formula>MOD(ROW(),2)=0</formula>
    </cfRule>
  </conditionalFormatting>
  <conditionalFormatting sqref="N82 K82:L82">
    <cfRule type="expression" dxfId="856" priority="690">
      <formula>MOD(ROW(),2)=0</formula>
    </cfRule>
  </conditionalFormatting>
  <conditionalFormatting sqref="H82">
    <cfRule type="expression" dxfId="855" priority="689">
      <formula>MOD(ROW(),2)=0</formula>
    </cfRule>
  </conditionalFormatting>
  <conditionalFormatting sqref="P82">
    <cfRule type="expression" dxfId="854" priority="686">
      <formula>MOD(ROW(),2)=0</formula>
    </cfRule>
  </conditionalFormatting>
  <conditionalFormatting sqref="J82">
    <cfRule type="expression" dxfId="853" priority="685">
      <formula>MOD(ROW(),2)=0</formula>
    </cfRule>
  </conditionalFormatting>
  <conditionalFormatting sqref="I85">
    <cfRule type="expression" dxfId="852" priority="680">
      <formula>MOD(ROW(),2)=0</formula>
    </cfRule>
  </conditionalFormatting>
  <conditionalFormatting sqref="O85">
    <cfRule type="expression" dxfId="851" priority="679">
      <formula>MOD(ROW(),2)=0</formula>
    </cfRule>
  </conditionalFormatting>
  <conditionalFormatting sqref="Q85">
    <cfRule type="expression" dxfId="850" priority="676">
      <formula>MOD(ROW(),2)=0</formula>
    </cfRule>
  </conditionalFormatting>
  <conditionalFormatting sqref="M85">
    <cfRule type="expression" dxfId="849" priority="675">
      <formula>MOD(ROW(),2)=0</formula>
    </cfRule>
  </conditionalFormatting>
  <conditionalFormatting sqref="N85 K85:L85">
    <cfRule type="expression" dxfId="848" priority="682">
      <formula>MOD(ROW(),2)=0</formula>
    </cfRule>
  </conditionalFormatting>
  <conditionalFormatting sqref="H85">
    <cfRule type="expression" dxfId="847" priority="681">
      <formula>MOD(ROW(),2)=0</formula>
    </cfRule>
  </conditionalFormatting>
  <conditionalFormatting sqref="P85">
    <cfRule type="expression" dxfId="846" priority="678">
      <formula>MOD(ROW(),2)=0</formula>
    </cfRule>
  </conditionalFormatting>
  <conditionalFormatting sqref="J85">
    <cfRule type="expression" dxfId="845" priority="677">
      <formula>MOD(ROW(),2)=0</formula>
    </cfRule>
  </conditionalFormatting>
  <conditionalFormatting sqref="J83">
    <cfRule type="expression" dxfId="844" priority="671">
      <formula>MOD(ROW(),2)=0</formula>
    </cfRule>
  </conditionalFormatting>
  <conditionalFormatting sqref="Q83">
    <cfRule type="expression" dxfId="843" priority="670">
      <formula>MOD(ROW(),2)=0</formula>
    </cfRule>
  </conditionalFormatting>
  <conditionalFormatting sqref="M83">
    <cfRule type="expression" dxfId="842" priority="669">
      <formula>MOD(ROW(),2)=0</formula>
    </cfRule>
  </conditionalFormatting>
  <conditionalFormatting sqref="I83 N83 K83:L83">
    <cfRule type="expression" dxfId="841" priority="674">
      <formula>MOD(ROW(),2)=0</formula>
    </cfRule>
  </conditionalFormatting>
  <conditionalFormatting sqref="H83">
    <cfRule type="expression" dxfId="840" priority="673">
      <formula>MOD(ROW(),2)=0</formula>
    </cfRule>
  </conditionalFormatting>
  <conditionalFormatting sqref="O83">
    <cfRule type="expression" dxfId="839" priority="672">
      <formula>MOD(ROW(),2)=0</formula>
    </cfRule>
  </conditionalFormatting>
  <conditionalFormatting sqref="J86">
    <cfRule type="expression" dxfId="838" priority="665">
      <formula>MOD(ROW(),2)=0</formula>
    </cfRule>
  </conditionalFormatting>
  <conditionalFormatting sqref="Q86">
    <cfRule type="expression" dxfId="837" priority="664">
      <formula>MOD(ROW(),2)=0</formula>
    </cfRule>
  </conditionalFormatting>
  <conditionalFormatting sqref="M86">
    <cfRule type="expression" dxfId="836" priority="663">
      <formula>MOD(ROW(),2)=0</formula>
    </cfRule>
  </conditionalFormatting>
  <conditionalFormatting sqref="I86 N86 K86:L86">
    <cfRule type="expression" dxfId="835" priority="668">
      <formula>MOD(ROW(),2)=0</formula>
    </cfRule>
  </conditionalFormatting>
  <conditionalFormatting sqref="H86">
    <cfRule type="expression" dxfId="834" priority="667">
      <formula>MOD(ROW(),2)=0</formula>
    </cfRule>
  </conditionalFormatting>
  <conditionalFormatting sqref="O86">
    <cfRule type="expression" dxfId="833" priority="666">
      <formula>MOD(ROW(),2)=0</formula>
    </cfRule>
  </conditionalFormatting>
  <conditionalFormatting sqref="I95 N94:N95 K94:L95">
    <cfRule type="expression" dxfId="832" priority="646">
      <formula>MOD(ROW(),2)=0</formula>
    </cfRule>
  </conditionalFormatting>
  <conditionalFormatting sqref="H94">
    <cfRule type="expression" dxfId="831" priority="645">
      <formula>MOD(ROW(),2)=0</formula>
    </cfRule>
  </conditionalFormatting>
  <conditionalFormatting sqref="I94">
    <cfRule type="expression" dxfId="830" priority="644">
      <formula>MOD(ROW(),2)=0</formula>
    </cfRule>
  </conditionalFormatting>
  <conditionalFormatting sqref="O94">
    <cfRule type="expression" dxfId="829" priority="643">
      <formula>MOD(ROW(),2)=0</formula>
    </cfRule>
  </conditionalFormatting>
  <conditionalFormatting sqref="P94">
    <cfRule type="expression" dxfId="828" priority="642">
      <formula>MOD(ROW(),2)=0</formula>
    </cfRule>
  </conditionalFormatting>
  <conditionalFormatting sqref="H95">
    <cfRule type="expression" dxfId="827" priority="641">
      <formula>MOD(ROW(),2)=0</formula>
    </cfRule>
  </conditionalFormatting>
  <conditionalFormatting sqref="O95">
    <cfRule type="expression" dxfId="826" priority="640">
      <formula>MOD(ROW(),2)=0</formula>
    </cfRule>
  </conditionalFormatting>
  <conditionalFormatting sqref="J95">
    <cfRule type="expression" dxfId="825" priority="639">
      <formula>MOD(ROW(),2)=0</formula>
    </cfRule>
  </conditionalFormatting>
  <conditionalFormatting sqref="J94">
    <cfRule type="expression" dxfId="824" priority="638">
      <formula>MOD(ROW(),2)=0</formula>
    </cfRule>
  </conditionalFormatting>
  <conditionalFormatting sqref="Q94:Q95">
    <cfRule type="expression" dxfId="823" priority="637">
      <formula>MOD(ROW(),2)=0</formula>
    </cfRule>
  </conditionalFormatting>
  <conditionalFormatting sqref="M94">
    <cfRule type="expression" dxfId="822" priority="636">
      <formula>MOD(ROW(),2)=0</formula>
    </cfRule>
  </conditionalFormatting>
  <conditionalFormatting sqref="M95">
    <cfRule type="expression" dxfId="821" priority="635">
      <formula>MOD(ROW(),2)=0</formula>
    </cfRule>
  </conditionalFormatting>
  <conditionalFormatting sqref="I152 H154:L155 L148 N148 N154:Q155 H148:I148 N151:N152 K151:L152 H153:I153">
    <cfRule type="expression" dxfId="820" priority="629">
      <formula>MOD(ROW(),2)=0</formula>
    </cfRule>
  </conditionalFormatting>
  <conditionalFormatting sqref="H151">
    <cfRule type="expression" dxfId="819" priority="628">
      <formula>MOD(ROW(),2)=0</formula>
    </cfRule>
  </conditionalFormatting>
  <conditionalFormatting sqref="I151">
    <cfRule type="expression" dxfId="818" priority="627">
      <formula>MOD(ROW(),2)=0</formula>
    </cfRule>
  </conditionalFormatting>
  <conditionalFormatting sqref="O151">
    <cfRule type="expression" dxfId="817" priority="626">
      <formula>MOD(ROW(),2)=0</formula>
    </cfRule>
  </conditionalFormatting>
  <conditionalFormatting sqref="P151">
    <cfRule type="expression" dxfId="816" priority="625">
      <formula>MOD(ROW(),2)=0</formula>
    </cfRule>
  </conditionalFormatting>
  <conditionalFormatting sqref="H152">
    <cfRule type="expression" dxfId="815" priority="624">
      <formula>MOD(ROW(),2)=0</formula>
    </cfRule>
  </conditionalFormatting>
  <conditionalFormatting sqref="O152">
    <cfRule type="expression" dxfId="814" priority="623">
      <formula>MOD(ROW(),2)=0</formula>
    </cfRule>
  </conditionalFormatting>
  <conditionalFormatting sqref="J152">
    <cfRule type="expression" dxfId="813" priority="622">
      <formula>MOD(ROW(),2)=0</formula>
    </cfRule>
  </conditionalFormatting>
  <conditionalFormatting sqref="M148">
    <cfRule type="expression" dxfId="812" priority="621">
      <formula>MOD(ROW(),2)=0</formula>
    </cfRule>
  </conditionalFormatting>
  <conditionalFormatting sqref="J151">
    <cfRule type="expression" dxfId="811" priority="620">
      <formula>MOD(ROW(),2)=0</formula>
    </cfRule>
  </conditionalFormatting>
  <conditionalFormatting sqref="Q151:Q152">
    <cfRule type="expression" dxfId="810" priority="619">
      <formula>MOD(ROW(),2)=0</formula>
    </cfRule>
  </conditionalFormatting>
  <conditionalFormatting sqref="J148">
    <cfRule type="expression" dxfId="809" priority="618">
      <formula>MOD(ROW(),2)=0</formula>
    </cfRule>
  </conditionalFormatting>
  <conditionalFormatting sqref="O148:P148">
    <cfRule type="expression" dxfId="808" priority="617">
      <formula>MOD(ROW(),2)=0</formula>
    </cfRule>
  </conditionalFormatting>
  <conditionalFormatting sqref="Q148">
    <cfRule type="expression" dxfId="807" priority="616">
      <formula>MOD(ROW(),2)=0</formula>
    </cfRule>
  </conditionalFormatting>
  <conditionalFormatting sqref="L149 N149 H149:I149">
    <cfRule type="expression" dxfId="806" priority="615">
      <formula>MOD(ROW(),2)=0</formula>
    </cfRule>
  </conditionalFormatting>
  <conditionalFormatting sqref="M149">
    <cfRule type="expression" dxfId="805" priority="614">
      <formula>MOD(ROW(),2)=0</formula>
    </cfRule>
  </conditionalFormatting>
  <conditionalFormatting sqref="J149">
    <cfRule type="expression" dxfId="804" priority="613">
      <formula>MOD(ROW(),2)=0</formula>
    </cfRule>
  </conditionalFormatting>
  <conditionalFormatting sqref="O149:P149">
    <cfRule type="expression" dxfId="803" priority="612">
      <formula>MOD(ROW(),2)=0</formula>
    </cfRule>
  </conditionalFormatting>
  <conditionalFormatting sqref="Q149">
    <cfRule type="expression" dxfId="802" priority="611">
      <formula>MOD(ROW(),2)=0</formula>
    </cfRule>
  </conditionalFormatting>
  <conditionalFormatting sqref="L150 N150 H150:I150">
    <cfRule type="expression" dxfId="801" priority="610">
      <formula>MOD(ROW(),2)=0</formula>
    </cfRule>
  </conditionalFormatting>
  <conditionalFormatting sqref="M150">
    <cfRule type="expression" dxfId="800" priority="609">
      <formula>MOD(ROW(),2)=0</formula>
    </cfRule>
  </conditionalFormatting>
  <conditionalFormatting sqref="J150">
    <cfRule type="expression" dxfId="799" priority="608">
      <formula>MOD(ROW(),2)=0</formula>
    </cfRule>
  </conditionalFormatting>
  <conditionalFormatting sqref="O150:P150">
    <cfRule type="expression" dxfId="798" priority="607">
      <formula>MOD(ROW(),2)=0</formula>
    </cfRule>
  </conditionalFormatting>
  <conditionalFormatting sqref="Q150">
    <cfRule type="expression" dxfId="797" priority="606">
      <formula>MOD(ROW(),2)=0</formula>
    </cfRule>
  </conditionalFormatting>
  <conditionalFormatting sqref="M151">
    <cfRule type="expression" dxfId="796" priority="605">
      <formula>MOD(ROW(),2)=0</formula>
    </cfRule>
  </conditionalFormatting>
  <conditionalFormatting sqref="M152">
    <cfRule type="expression" dxfId="795" priority="604">
      <formula>MOD(ROW(),2)=0</formula>
    </cfRule>
  </conditionalFormatting>
  <conditionalFormatting sqref="M154">
    <cfRule type="expression" dxfId="794" priority="602">
      <formula>MOD(ROW(),2)=0</formula>
    </cfRule>
  </conditionalFormatting>
  <conditionalFormatting sqref="M155">
    <cfRule type="expression" dxfId="793" priority="601">
      <formula>MOD(ROW(),2)=0</formula>
    </cfRule>
  </conditionalFormatting>
  <conditionalFormatting sqref="I141 N140:N141 K140:L141">
    <cfRule type="expression" dxfId="792" priority="600">
      <formula>MOD(ROW(),2)=0</formula>
    </cfRule>
  </conditionalFormatting>
  <conditionalFormatting sqref="H140">
    <cfRule type="expression" dxfId="791" priority="599">
      <formula>MOD(ROW(),2)=0</formula>
    </cfRule>
  </conditionalFormatting>
  <conditionalFormatting sqref="I140">
    <cfRule type="expression" dxfId="790" priority="598">
      <formula>MOD(ROW(),2)=0</formula>
    </cfRule>
  </conditionalFormatting>
  <conditionalFormatting sqref="O140">
    <cfRule type="expression" dxfId="789" priority="597">
      <formula>MOD(ROW(),2)=0</formula>
    </cfRule>
  </conditionalFormatting>
  <conditionalFormatting sqref="P140">
    <cfRule type="expression" dxfId="788" priority="596">
      <formula>MOD(ROW(),2)=0</formula>
    </cfRule>
  </conditionalFormatting>
  <conditionalFormatting sqref="H141">
    <cfRule type="expression" dxfId="787" priority="595">
      <formula>MOD(ROW(),2)=0</formula>
    </cfRule>
  </conditionalFormatting>
  <conditionalFormatting sqref="O141">
    <cfRule type="expression" dxfId="786" priority="594">
      <formula>MOD(ROW(),2)=0</formula>
    </cfRule>
  </conditionalFormatting>
  <conditionalFormatting sqref="J140">
    <cfRule type="expression" dxfId="785" priority="593">
      <formula>MOD(ROW(),2)=0</formula>
    </cfRule>
  </conditionalFormatting>
  <conditionalFormatting sqref="Q140">
    <cfRule type="expression" dxfId="784" priority="592">
      <formula>MOD(ROW(),2)=0</formula>
    </cfRule>
  </conditionalFormatting>
  <conditionalFormatting sqref="J141">
    <cfRule type="expression" dxfId="783" priority="591">
      <formula>MOD(ROW(),2)=0</formula>
    </cfRule>
  </conditionalFormatting>
  <conditionalFormatting sqref="Q141">
    <cfRule type="expression" dxfId="782" priority="590">
      <formula>MOD(ROW(),2)=0</formula>
    </cfRule>
  </conditionalFormatting>
  <conditionalFormatting sqref="M140:M141">
    <cfRule type="expression" dxfId="781" priority="589">
      <formula>MOD(ROW(),2)=0</formula>
    </cfRule>
  </conditionalFormatting>
  <conditionalFormatting sqref="I138 N137:N138 K137:L138">
    <cfRule type="expression" dxfId="780" priority="588">
      <formula>MOD(ROW(),2)=0</formula>
    </cfRule>
  </conditionalFormatting>
  <conditionalFormatting sqref="H137">
    <cfRule type="expression" dxfId="779" priority="587">
      <formula>MOD(ROW(),2)=0</formula>
    </cfRule>
  </conditionalFormatting>
  <conditionalFormatting sqref="I137">
    <cfRule type="expression" dxfId="778" priority="586">
      <formula>MOD(ROW(),2)=0</formula>
    </cfRule>
  </conditionalFormatting>
  <conditionalFormatting sqref="O137">
    <cfRule type="expression" dxfId="777" priority="585">
      <formula>MOD(ROW(),2)=0</formula>
    </cfRule>
  </conditionalFormatting>
  <conditionalFormatting sqref="P137">
    <cfRule type="expression" dxfId="776" priority="584">
      <formula>MOD(ROW(),2)=0</formula>
    </cfRule>
  </conditionalFormatting>
  <conditionalFormatting sqref="O138">
    <cfRule type="expression" dxfId="775" priority="583">
      <formula>MOD(ROW(),2)=0</formula>
    </cfRule>
  </conditionalFormatting>
  <conditionalFormatting sqref="H138">
    <cfRule type="expression" dxfId="774" priority="582">
      <formula>MOD(ROW(),2)=0</formula>
    </cfRule>
  </conditionalFormatting>
  <conditionalFormatting sqref="Q137">
    <cfRule type="expression" dxfId="773" priority="581">
      <formula>MOD(ROW(),2)=0</formula>
    </cfRule>
  </conditionalFormatting>
  <conditionalFormatting sqref="Q138">
    <cfRule type="expression" dxfId="772" priority="580">
      <formula>MOD(ROW(),2)=0</formula>
    </cfRule>
  </conditionalFormatting>
  <conditionalFormatting sqref="J137:J138">
    <cfRule type="expression" dxfId="771" priority="579">
      <formula>MOD(ROW(),2)=0</formula>
    </cfRule>
  </conditionalFormatting>
  <conditionalFormatting sqref="M137:M138">
    <cfRule type="expression" dxfId="770" priority="578">
      <formula>MOD(ROW(),2)=0</formula>
    </cfRule>
  </conditionalFormatting>
  <conditionalFormatting sqref="J139:L139 N139:Q139">
    <cfRule type="expression" dxfId="769" priority="572">
      <formula>MOD(ROW(),2)=0</formula>
    </cfRule>
  </conditionalFormatting>
  <conditionalFormatting sqref="M139">
    <cfRule type="expression" dxfId="768" priority="571">
      <formula>MOD(ROW(),2)=0</formula>
    </cfRule>
  </conditionalFormatting>
  <conditionalFormatting sqref="J142:L142 N142:Q142">
    <cfRule type="expression" dxfId="767" priority="564">
      <formula>MOD(ROW(),2)=0</formula>
    </cfRule>
  </conditionalFormatting>
  <conditionalFormatting sqref="M142">
    <cfRule type="expression" dxfId="766" priority="563">
      <formula>MOD(ROW(),2)=0</formula>
    </cfRule>
  </conditionalFormatting>
  <conditionalFormatting sqref="M144">
    <cfRule type="expression" dxfId="765" priority="559">
      <formula>MOD(ROW(),2)=0</formula>
    </cfRule>
  </conditionalFormatting>
  <conditionalFormatting sqref="J144:L145 N144:Q145">
    <cfRule type="expression" dxfId="764" priority="560">
      <formula>MOD(ROW(),2)=0</formula>
    </cfRule>
  </conditionalFormatting>
  <conditionalFormatting sqref="M145">
    <cfRule type="expression" dxfId="763" priority="558">
      <formula>MOD(ROW(),2)=0</formula>
    </cfRule>
  </conditionalFormatting>
  <conditionalFormatting sqref="K148">
    <cfRule type="expression" dxfId="762" priority="508">
      <formula>MOD(ROW(),2)=0</formula>
    </cfRule>
  </conditionalFormatting>
  <conditionalFormatting sqref="K149">
    <cfRule type="expression" dxfId="761" priority="507">
      <formula>MOD(ROW(),2)=0</formula>
    </cfRule>
  </conditionalFormatting>
  <conditionalFormatting sqref="K150">
    <cfRule type="expression" dxfId="760" priority="506">
      <formula>MOD(ROW(),2)=0</formula>
    </cfRule>
  </conditionalFormatting>
  <conditionalFormatting sqref="P24">
    <cfRule type="expression" dxfId="759" priority="283">
      <formula>MOD(ROW(),2)=0</formula>
    </cfRule>
  </conditionalFormatting>
  <conditionalFormatting sqref="P33">
    <cfRule type="expression" dxfId="758" priority="282">
      <formula>MOD(ROW(),2)=0</formula>
    </cfRule>
  </conditionalFormatting>
  <conditionalFormatting sqref="P41">
    <cfRule type="expression" dxfId="757" priority="281">
      <formula>MOD(ROW(),2)=0</formula>
    </cfRule>
  </conditionalFormatting>
  <conditionalFormatting sqref="P49">
    <cfRule type="expression" dxfId="756" priority="280">
      <formula>MOD(ROW(),2)=0</formula>
    </cfRule>
  </conditionalFormatting>
  <conditionalFormatting sqref="P52">
    <cfRule type="expression" dxfId="755" priority="279">
      <formula>MOD(ROW(),2)=0</formula>
    </cfRule>
  </conditionalFormatting>
  <conditionalFormatting sqref="P55">
    <cfRule type="expression" dxfId="754" priority="278">
      <formula>MOD(ROW(),2)=0</formula>
    </cfRule>
  </conditionalFormatting>
  <conditionalFormatting sqref="P64">
    <cfRule type="expression" dxfId="753" priority="277">
      <formula>MOD(ROW(),2)=0</formula>
    </cfRule>
  </conditionalFormatting>
  <conditionalFormatting sqref="P72">
    <cfRule type="expression" dxfId="752" priority="276">
      <formula>MOD(ROW(),2)=0</formula>
    </cfRule>
  </conditionalFormatting>
  <conditionalFormatting sqref="P80">
    <cfRule type="expression" dxfId="751" priority="275">
      <formula>MOD(ROW(),2)=0</formula>
    </cfRule>
  </conditionalFormatting>
  <conditionalFormatting sqref="P83">
    <cfRule type="expression" dxfId="750" priority="274">
      <formula>MOD(ROW(),2)=0</formula>
    </cfRule>
  </conditionalFormatting>
  <conditionalFormatting sqref="P86">
    <cfRule type="expression" dxfId="749" priority="273">
      <formula>MOD(ROW(),2)=0</formula>
    </cfRule>
  </conditionalFormatting>
  <conditionalFormatting sqref="P95">
    <cfRule type="expression" dxfId="748" priority="272">
      <formula>MOD(ROW(),2)=0</formula>
    </cfRule>
  </conditionalFormatting>
  <conditionalFormatting sqref="P103">
    <cfRule type="expression" dxfId="747" priority="271">
      <formula>MOD(ROW(),2)=0</formula>
    </cfRule>
  </conditionalFormatting>
  <conditionalFormatting sqref="P110">
    <cfRule type="expression" dxfId="746" priority="270">
      <formula>MOD(ROW(),2)=0</formula>
    </cfRule>
  </conditionalFormatting>
  <conditionalFormatting sqref="P113">
    <cfRule type="expression" dxfId="745" priority="269">
      <formula>MOD(ROW(),2)=0</formula>
    </cfRule>
  </conditionalFormatting>
  <conditionalFormatting sqref="P116">
    <cfRule type="expression" dxfId="744" priority="268">
      <formula>MOD(ROW(),2)=0</formula>
    </cfRule>
  </conditionalFormatting>
  <conditionalFormatting sqref="P124">
    <cfRule type="expression" dxfId="743" priority="267">
      <formula>MOD(ROW(),2)=0</formula>
    </cfRule>
  </conditionalFormatting>
  <conditionalFormatting sqref="P131">
    <cfRule type="expression" dxfId="742" priority="266">
      <formula>MOD(ROW(),2)=0</formula>
    </cfRule>
  </conditionalFormatting>
  <conditionalFormatting sqref="P138">
    <cfRule type="expression" dxfId="741" priority="265">
      <formula>MOD(ROW(),2)=0</formula>
    </cfRule>
  </conditionalFormatting>
  <conditionalFormatting sqref="P141">
    <cfRule type="expression" dxfId="740" priority="264">
      <formula>MOD(ROW(),2)=0</formula>
    </cfRule>
  </conditionalFormatting>
  <conditionalFormatting sqref="P152">
    <cfRule type="expression" dxfId="739" priority="263">
      <formula>MOD(ROW(),2)=0</formula>
    </cfRule>
  </conditionalFormatting>
  <conditionalFormatting sqref="B32:D33 B35:D38">
    <cfRule type="expression" dxfId="738" priority="244">
      <formula>MOD(ROW(),2)=0</formula>
    </cfRule>
  </conditionalFormatting>
  <conditionalFormatting sqref="C24">
    <cfRule type="expression" dxfId="737" priority="241">
      <formula>MOD(ROW(),2)=0</formula>
    </cfRule>
  </conditionalFormatting>
  <conditionalFormatting sqref="B9:D15">
    <cfRule type="expression" dxfId="736" priority="250">
      <formula>MOD(ROW(),2)=0</formula>
    </cfRule>
  </conditionalFormatting>
  <conditionalFormatting sqref="B17:D23 B24 D24 B25:D30">
    <cfRule type="expression" dxfId="735" priority="247">
      <formula>MOD(ROW(),2)=0</formula>
    </cfRule>
  </conditionalFormatting>
  <conditionalFormatting sqref="B17:D23 B24 D24">
    <cfRule type="expression" dxfId="734" priority="245">
      <formula>AND(B17=B16,MOD(ROW(),2)=1)</formula>
    </cfRule>
    <cfRule type="expression" dxfId="733" priority="246">
      <formula>AND(B17=B16,MOD(ROW(),2)=0)</formula>
    </cfRule>
  </conditionalFormatting>
  <conditionalFormatting sqref="C24">
    <cfRule type="expression" dxfId="732" priority="239">
      <formula>AND(C24=C23,MOD(ROW(),2)=1)</formula>
    </cfRule>
    <cfRule type="expression" dxfId="731" priority="240">
      <formula>AND(C24=C23,MOD(ROW(),2)=0)</formula>
    </cfRule>
  </conditionalFormatting>
  <conditionalFormatting sqref="B40:D45">
    <cfRule type="expression" dxfId="730" priority="234">
      <formula>MOD(ROW(),2)=0</formula>
    </cfRule>
  </conditionalFormatting>
  <conditionalFormatting sqref="B48:D60">
    <cfRule type="expression" dxfId="729" priority="231">
      <formula>MOD(ROW(),2)=0</formula>
    </cfRule>
  </conditionalFormatting>
  <conditionalFormatting sqref="B63:D67">
    <cfRule type="expression" dxfId="728" priority="228">
      <formula>MOD(ROW(),2)=0</formula>
    </cfRule>
  </conditionalFormatting>
  <conditionalFormatting sqref="B71:D76">
    <cfRule type="expression" dxfId="727" priority="225">
      <formula>MOD(ROW(),2)=0</formula>
    </cfRule>
  </conditionalFormatting>
  <conditionalFormatting sqref="B79:D90">
    <cfRule type="expression" dxfId="726" priority="222">
      <formula>MOD(ROW(),2)=0</formula>
    </cfRule>
  </conditionalFormatting>
  <conditionalFormatting sqref="B94:D98">
    <cfRule type="expression" dxfId="725" priority="219">
      <formula>MOD(ROW(),2)=0</formula>
    </cfRule>
  </conditionalFormatting>
  <conditionalFormatting sqref="B12:D12 B27:D27 B35:D35 B43:D43 B58:D58 B66:D66 B74:D74 B89:D89 B97:D97">
    <cfRule type="expression" dxfId="724" priority="2026">
      <formula>AND(B12=B10,MOD(ROW(),2)=1)</formula>
    </cfRule>
    <cfRule type="expression" dxfId="723" priority="2027">
      <formula>AND(B12=B10,MOD(ROW(),2)=0)</formula>
    </cfRule>
  </conditionalFormatting>
  <conditionalFormatting sqref="B11">
    <cfRule type="expression" dxfId="722" priority="198">
      <formula>MOD(ROW(),2)=0</formula>
    </cfRule>
  </conditionalFormatting>
  <conditionalFormatting sqref="Q11">
    <cfRule type="expression" dxfId="721" priority="197">
      <formula>MOD(ROW(),2)=0</formula>
    </cfRule>
  </conditionalFormatting>
  <conditionalFormatting sqref="N42 E42:G42 K42:L42 R42">
    <cfRule type="expression" dxfId="720" priority="166">
      <formula>MOD(ROW(),2)=0</formula>
    </cfRule>
  </conditionalFormatting>
  <conditionalFormatting sqref="B26:D26">
    <cfRule type="expression" dxfId="719" priority="193">
      <formula>AND(B26=B24,MOD(ROW(),2)=1)</formula>
    </cfRule>
    <cfRule type="expression" dxfId="718" priority="194">
      <formula>AND(B26=B24,MOD(ROW(),2)=0)</formula>
    </cfRule>
  </conditionalFormatting>
  <conditionalFormatting sqref="J34">
    <cfRule type="expression" dxfId="717" priority="171">
      <formula>MOD(ROW(),2)=0</formula>
    </cfRule>
  </conditionalFormatting>
  <conditionalFormatting sqref="M26">
    <cfRule type="expression" dxfId="716" priority="177">
      <formula>MOD(ROW(),2)=0</formula>
    </cfRule>
  </conditionalFormatting>
  <conditionalFormatting sqref="Q26">
    <cfRule type="expression" dxfId="715" priority="176">
      <formula>MOD(ROW(),2)=0</formula>
    </cfRule>
  </conditionalFormatting>
  <conditionalFormatting sqref="Q73">
    <cfRule type="expression" dxfId="714" priority="148">
      <formula>MOD(ROW(),2)=0</formula>
    </cfRule>
  </conditionalFormatting>
  <conditionalFormatting sqref="N34 G34 K34:L34 R34">
    <cfRule type="expression" dxfId="713" priority="173">
      <formula>MOD(ROW(),2)=0</formula>
    </cfRule>
  </conditionalFormatting>
  <conditionalFormatting sqref="E34:F34">
    <cfRule type="expression" dxfId="712" priority="182">
      <formula>MOD(ROW(),2)=0</formula>
    </cfRule>
  </conditionalFormatting>
  <conditionalFormatting sqref="B34:D34">
    <cfRule type="expression" dxfId="711" priority="181">
      <formula>MOD(ROW(),2)=0</formula>
    </cfRule>
  </conditionalFormatting>
  <conditionalFormatting sqref="B34:D34">
    <cfRule type="expression" dxfId="710" priority="183">
      <formula>AND(B34=B32,MOD(ROW(),2)=1)</formula>
    </cfRule>
    <cfRule type="expression" dxfId="709" priority="184">
      <formula>AND(B34=B32,MOD(ROW(),2)=0)</formula>
    </cfRule>
  </conditionalFormatting>
  <conditionalFormatting sqref="N26 G26 K26:L26 R26">
    <cfRule type="expression" dxfId="708" priority="180">
      <formula>MOD(ROW(),2)=0</formula>
    </cfRule>
  </conditionalFormatting>
  <conditionalFormatting sqref="J26">
    <cfRule type="expression" dxfId="707" priority="178">
      <formula>MOD(ROW(),2)=0</formula>
    </cfRule>
  </conditionalFormatting>
  <conditionalFormatting sqref="M34">
    <cfRule type="expression" dxfId="706" priority="170">
      <formula>MOD(ROW(),2)=0</formula>
    </cfRule>
  </conditionalFormatting>
  <conditionalFormatting sqref="Q34">
    <cfRule type="expression" dxfId="705" priority="169">
      <formula>MOD(ROW(),2)=0</formula>
    </cfRule>
  </conditionalFormatting>
  <conditionalFormatting sqref="J96">
    <cfRule type="expression" dxfId="704" priority="143">
      <formula>MOD(ROW(),2)=0</formula>
    </cfRule>
  </conditionalFormatting>
  <conditionalFormatting sqref="M96">
    <cfRule type="expression" dxfId="703" priority="142">
      <formula>MOD(ROW(),2)=0</formula>
    </cfRule>
  </conditionalFormatting>
  <conditionalFormatting sqref="Q96">
    <cfRule type="expression" dxfId="702" priority="141">
      <formula>MOD(ROW(),2)=0</formula>
    </cfRule>
  </conditionalFormatting>
  <conditionalFormatting sqref="J42">
    <cfRule type="expression" dxfId="701" priority="164">
      <formula>MOD(ROW(),2)=0</formula>
    </cfRule>
  </conditionalFormatting>
  <conditionalFormatting sqref="M42">
    <cfRule type="expression" dxfId="700" priority="163">
      <formula>MOD(ROW(),2)=0</formula>
    </cfRule>
  </conditionalFormatting>
  <conditionalFormatting sqref="Q42">
    <cfRule type="expression" dxfId="699" priority="162">
      <formula>MOD(ROW(),2)=0</formula>
    </cfRule>
  </conditionalFormatting>
  <conditionalFormatting sqref="N65 E65:G65 K65:L65 R65">
    <cfRule type="expression" dxfId="698" priority="159">
      <formula>MOD(ROW(),2)=0</formula>
    </cfRule>
  </conditionalFormatting>
  <conditionalFormatting sqref="J65">
    <cfRule type="expression" dxfId="697" priority="157">
      <formula>MOD(ROW(),2)=0</formula>
    </cfRule>
  </conditionalFormatting>
  <conditionalFormatting sqref="M65">
    <cfRule type="expression" dxfId="696" priority="156">
      <formula>MOD(ROW(),2)=0</formula>
    </cfRule>
  </conditionalFormatting>
  <conditionalFormatting sqref="Q65">
    <cfRule type="expression" dxfId="695" priority="155">
      <formula>MOD(ROW(),2)=0</formula>
    </cfRule>
  </conditionalFormatting>
  <conditionalFormatting sqref="N73 E73:G73 K73:L73 R73">
    <cfRule type="expression" dxfId="694" priority="152">
      <formula>MOD(ROW(),2)=0</formula>
    </cfRule>
  </conditionalFormatting>
  <conditionalFormatting sqref="J73">
    <cfRule type="expression" dxfId="693" priority="150">
      <formula>MOD(ROW(),2)=0</formula>
    </cfRule>
  </conditionalFormatting>
  <conditionalFormatting sqref="M73">
    <cfRule type="expression" dxfId="692" priority="149">
      <formula>MOD(ROW(),2)=0</formula>
    </cfRule>
  </conditionalFormatting>
  <conditionalFormatting sqref="N96 E96:G96 K96:L96 R96">
    <cfRule type="expression" dxfId="691" priority="145">
      <formula>MOD(ROW(),2)=0</formula>
    </cfRule>
  </conditionalFormatting>
  <conditionalFormatting sqref="B105:D105">
    <cfRule type="expression" dxfId="690" priority="109">
      <formula>AND(B105=#REF!,MOD(ROW(),2)=1)</formula>
    </cfRule>
    <cfRule type="expression" dxfId="689" priority="110">
      <formula>AND(B105=#REF!,MOD(ROW(),2)=0)</formula>
    </cfRule>
  </conditionalFormatting>
  <conditionalFormatting sqref="B96:D96">
    <cfRule type="expression" dxfId="688" priority="105">
      <formula>AND(B96=B94,MOD(ROW(),2)=1)</formula>
    </cfRule>
    <cfRule type="expression" dxfId="687" priority="106">
      <formula>AND(B96=B94,MOD(ROW(),2)=0)</formula>
    </cfRule>
  </conditionalFormatting>
  <conditionalFormatting sqref="B73:D73">
    <cfRule type="expression" dxfId="686" priority="103">
      <formula>AND(B73=B71,MOD(ROW(),2)=1)</formula>
    </cfRule>
    <cfRule type="expression" dxfId="685" priority="104">
      <formula>AND(B73=B71,MOD(ROW(),2)=0)</formula>
    </cfRule>
  </conditionalFormatting>
  <conditionalFormatting sqref="B65:D65">
    <cfRule type="expression" dxfId="684" priority="101">
      <formula>AND(B65=B63,MOD(ROW(),2)=1)</formula>
    </cfRule>
    <cfRule type="expression" dxfId="683" priority="102">
      <formula>AND(B65=B63,MOD(ROW(),2)=0)</formula>
    </cfRule>
  </conditionalFormatting>
  <conditionalFormatting sqref="B42:D42">
    <cfRule type="expression" dxfId="682" priority="99">
      <formula>AND(B42=B40,MOD(ROW(),2)=1)</formula>
    </cfRule>
    <cfRule type="expression" dxfId="681" priority="100">
      <formula>AND(B42=B40,MOD(ROW(),2)=0)</formula>
    </cfRule>
  </conditionalFormatting>
  <conditionalFormatting sqref="E57:F57">
    <cfRule type="expression" dxfId="680" priority="98">
      <formula>MOD(ROW(),2)=0</formula>
    </cfRule>
  </conditionalFormatting>
  <conditionalFormatting sqref="M57">
    <cfRule type="expression" dxfId="679" priority="94">
      <formula>MOD(ROW(),2)=0</formula>
    </cfRule>
  </conditionalFormatting>
  <conditionalFormatting sqref="Q57">
    <cfRule type="expression" dxfId="678" priority="93">
      <formula>MOD(ROW(),2)=0</formula>
    </cfRule>
  </conditionalFormatting>
  <conditionalFormatting sqref="N57 G57 K57:L57 R57">
    <cfRule type="expression" dxfId="677" priority="97">
      <formula>MOD(ROW(),2)=0</formula>
    </cfRule>
  </conditionalFormatting>
  <conditionalFormatting sqref="J57">
    <cfRule type="expression" dxfId="676" priority="95">
      <formula>MOD(ROW(),2)=0</formula>
    </cfRule>
  </conditionalFormatting>
  <conditionalFormatting sqref="E88:F88">
    <cfRule type="expression" dxfId="675" priority="90">
      <formula>MOD(ROW(),2)=0</formula>
    </cfRule>
  </conditionalFormatting>
  <conditionalFormatting sqref="M88">
    <cfRule type="expression" dxfId="674" priority="86">
      <formula>MOD(ROW(),2)=0</formula>
    </cfRule>
  </conditionalFormatting>
  <conditionalFormatting sqref="Q88">
    <cfRule type="expression" dxfId="673" priority="85">
      <formula>MOD(ROW(),2)=0</formula>
    </cfRule>
  </conditionalFormatting>
  <conditionalFormatting sqref="N88 G88 K88:L88 R88">
    <cfRule type="expression" dxfId="672" priority="89">
      <formula>MOD(ROW(),2)=0</formula>
    </cfRule>
  </conditionalFormatting>
  <conditionalFormatting sqref="J88">
    <cfRule type="expression" dxfId="671" priority="87">
      <formula>MOD(ROW(),2)=0</formula>
    </cfRule>
  </conditionalFormatting>
  <conditionalFormatting sqref="J125:L125 N125:Q125">
    <cfRule type="expression" dxfId="670" priority="54">
      <formula>MOD(ROW(),2)=0</formula>
    </cfRule>
  </conditionalFormatting>
  <conditionalFormatting sqref="M125">
    <cfRule type="expression" dxfId="669" priority="53">
      <formula>MOD(ROW(),2)=0</formula>
    </cfRule>
  </conditionalFormatting>
  <conditionalFormatting sqref="J104:L104 N104:Q104">
    <cfRule type="expression" dxfId="668" priority="56">
      <formula>MOD(ROW(),2)=0</formula>
    </cfRule>
  </conditionalFormatting>
  <conditionalFormatting sqref="M104">
    <cfRule type="expression" dxfId="667" priority="55">
      <formula>MOD(ROW(),2)=0</formula>
    </cfRule>
  </conditionalFormatting>
  <conditionalFormatting sqref="J132:L132 N132:Q132">
    <cfRule type="expression" dxfId="666" priority="52">
      <formula>MOD(ROW(),2)=0</formula>
    </cfRule>
  </conditionalFormatting>
  <conditionalFormatting sqref="M132">
    <cfRule type="expression" dxfId="665" priority="51">
      <formula>MOD(ROW(),2)=0</formula>
    </cfRule>
  </conditionalFormatting>
  <conditionalFormatting sqref="J153:L153 N153:Q153">
    <cfRule type="expression" dxfId="664" priority="50">
      <formula>MOD(ROW(),2)=0</formula>
    </cfRule>
  </conditionalFormatting>
  <conditionalFormatting sqref="M153">
    <cfRule type="expression" dxfId="663" priority="49">
      <formula>MOD(ROW(),2)=0</formula>
    </cfRule>
  </conditionalFormatting>
  <conditionalFormatting sqref="J118:L118 N118:Q118">
    <cfRule type="expression" dxfId="662" priority="46">
      <formula>MOD(ROW(),2)=0</formula>
    </cfRule>
  </conditionalFormatting>
  <conditionalFormatting sqref="O11:P11">
    <cfRule type="expression" dxfId="661" priority="43">
      <formula>MOD(ROW(),2)=0</formula>
    </cfRule>
  </conditionalFormatting>
  <conditionalFormatting sqref="H11:I11">
    <cfRule type="expression" dxfId="660" priority="44">
      <formula>MOD(ROW(),2)=0</formula>
    </cfRule>
  </conditionalFormatting>
  <conditionalFormatting sqref="H26:I26">
    <cfRule type="expression" dxfId="659" priority="42">
      <formula>MOD(ROW(),2)=0</formula>
    </cfRule>
  </conditionalFormatting>
  <conditionalFormatting sqref="O26:P26">
    <cfRule type="expression" dxfId="658" priority="41">
      <formula>MOD(ROW(),2)=0</formula>
    </cfRule>
  </conditionalFormatting>
  <conditionalFormatting sqref="H34:I34">
    <cfRule type="expression" dxfId="657" priority="40">
      <formula>MOD(ROW(),2)=0</formula>
    </cfRule>
  </conditionalFormatting>
  <conditionalFormatting sqref="O34:P34">
    <cfRule type="expression" dxfId="656" priority="39">
      <formula>MOD(ROW(),2)=0</formula>
    </cfRule>
  </conditionalFormatting>
  <conditionalFormatting sqref="H42:I42">
    <cfRule type="expression" dxfId="655" priority="38">
      <formula>MOD(ROW(),2)=0</formula>
    </cfRule>
  </conditionalFormatting>
  <conditionalFormatting sqref="O42:P42">
    <cfRule type="expression" dxfId="654" priority="37">
      <formula>MOD(ROW(),2)=0</formula>
    </cfRule>
  </conditionalFormatting>
  <conditionalFormatting sqref="H57:I57">
    <cfRule type="expression" dxfId="653" priority="36">
      <formula>MOD(ROW(),2)=0</formula>
    </cfRule>
  </conditionalFormatting>
  <conditionalFormatting sqref="O57:P57">
    <cfRule type="expression" dxfId="652" priority="35">
      <formula>MOD(ROW(),2)=0</formula>
    </cfRule>
  </conditionalFormatting>
  <conditionalFormatting sqref="H65:I65">
    <cfRule type="expression" dxfId="651" priority="34">
      <formula>MOD(ROW(),2)=0</formula>
    </cfRule>
  </conditionalFormatting>
  <conditionalFormatting sqref="O65:P65">
    <cfRule type="expression" dxfId="650" priority="33">
      <formula>MOD(ROW(),2)=0</formula>
    </cfRule>
  </conditionalFormatting>
  <conditionalFormatting sqref="H73:I73">
    <cfRule type="expression" dxfId="649" priority="32">
      <formula>MOD(ROW(),2)=0</formula>
    </cfRule>
  </conditionalFormatting>
  <conditionalFormatting sqref="O73:P73">
    <cfRule type="expression" dxfId="648" priority="31">
      <formula>MOD(ROW(),2)=0</formula>
    </cfRule>
  </conditionalFormatting>
  <conditionalFormatting sqref="H88:I88">
    <cfRule type="expression" dxfId="647" priority="30">
      <formula>MOD(ROW(),2)=0</formula>
    </cfRule>
  </conditionalFormatting>
  <conditionalFormatting sqref="O88:P88">
    <cfRule type="expression" dxfId="646" priority="29">
      <formula>MOD(ROW(),2)=0</formula>
    </cfRule>
  </conditionalFormatting>
  <conditionalFormatting sqref="H96:I96">
    <cfRule type="expression" dxfId="645" priority="28">
      <formula>MOD(ROW(),2)=0</formula>
    </cfRule>
  </conditionalFormatting>
  <conditionalFormatting sqref="O96:P96">
    <cfRule type="expression" dxfId="644" priority="27">
      <formula>MOD(ROW(),2)=0</formula>
    </cfRule>
  </conditionalFormatting>
  <conditionalFormatting sqref="M143">
    <cfRule type="expression" dxfId="643" priority="14">
      <formula>MOD(ROW(),2)=0</formula>
    </cfRule>
  </conditionalFormatting>
  <conditionalFormatting sqref="J143:L143 N143:Q143">
    <cfRule type="expression" dxfId="642" priority="13">
      <formula>MOD(ROW(),2)=0</formula>
    </cfRule>
  </conditionalFormatting>
  <conditionalFormatting sqref="J35:L35 N35:Q35">
    <cfRule type="expression" dxfId="641" priority="12">
      <formula>MOD(ROW(),2)=0</formula>
    </cfRule>
  </conditionalFormatting>
  <conditionalFormatting sqref="M35">
    <cfRule type="expression" dxfId="640" priority="11">
      <formula>MOD(ROW(),2)=0</formula>
    </cfRule>
  </conditionalFormatting>
  <conditionalFormatting sqref="J43:L43 N43:Q43">
    <cfRule type="expression" dxfId="639" priority="10">
      <formula>MOD(ROW(),2)=0</formula>
    </cfRule>
  </conditionalFormatting>
  <conditionalFormatting sqref="M43">
    <cfRule type="expression" dxfId="638" priority="9">
      <formula>MOD(ROW(),2)=0</formula>
    </cfRule>
  </conditionalFormatting>
  <conditionalFormatting sqref="J66:L66 N66:Q66">
    <cfRule type="expression" dxfId="637" priority="8">
      <formula>MOD(ROW(),2)=0</formula>
    </cfRule>
  </conditionalFormatting>
  <conditionalFormatting sqref="M66">
    <cfRule type="expression" dxfId="636" priority="7">
      <formula>MOD(ROW(),2)=0</formula>
    </cfRule>
  </conditionalFormatting>
  <conditionalFormatting sqref="J74:L74 N74:Q74">
    <cfRule type="expression" dxfId="635" priority="6">
      <formula>MOD(ROW(),2)=0</formula>
    </cfRule>
  </conditionalFormatting>
  <conditionalFormatting sqref="M74">
    <cfRule type="expression" dxfId="634" priority="5">
      <formula>MOD(ROW(),2)=0</formula>
    </cfRule>
  </conditionalFormatting>
  <conditionalFormatting sqref="J97:L97 N97:Q97">
    <cfRule type="expression" dxfId="633" priority="4">
      <formula>MOD(ROW(),2)=0</formula>
    </cfRule>
  </conditionalFormatting>
  <conditionalFormatting sqref="M97">
    <cfRule type="expression" dxfId="632" priority="3">
      <formula>MOD(ROW(),2)=0</formula>
    </cfRule>
  </conditionalFormatting>
  <conditionalFormatting sqref="J89:Q89">
    <cfRule type="expression" dxfId="631" priority="1">
      <formula>MOD(ROW(),2)=0</formula>
    </cfRule>
  </conditionalFormatting>
  <conditionalFormatting sqref="J58:Q58">
    <cfRule type="expression" dxfId="630" priority="2">
      <formula>MOD(ROW(),2)=0</formula>
    </cfRule>
  </conditionalFormatting>
  <hyperlinks>
    <hyperlink ref="A1" location="Index!A1" display="&lt;&lt;Back to Index" xr:uid="{00000000-0004-0000-1100-00000000000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ignoredErrors>
    <ignoredError sqref="R38:R39 R69:R70 R27:R31 R89:R93 R12:R19 R153:R155 R10 L98:R102 L126:R130 L119:R123 G85:G86 G82:G83 G23:G24 G20:G21 F90:H93 F75:H78 G74:H74 F105:G108 F133:G136 F153:G154 G10 G43 F44:G47 G71:G72 G89:H89 F97:I101 F66:G68 L139:R140 R21:R25 L144:R150 N17:N18 G25:I25 G12:I12 F13:J14 F38:I39 F69:I70 I74:I78 F128:I129 G22:I22 G27:I27 F28:J29 G84:I84 I89:I93 N25:P25 N12:P12 N27:P27 K27:L29 F30:M31 K12:L14 F15:M16 K17:L22 N9:N10 L9:L10 N19:P19 N20:N21 K25:L25 N22:P22 G17:G18 G19:I19 F35:G37 F32:G33 G40:G41 G58 G79:G80 G81:I81 F94:G95 G104 G118 F125:G127 G132 G143 L114:R115 R104:R112 G9 N14:Q16 N28:Q31 L133:R137 L75:R79 L90:Q94 L67:Q70 J36:Q39 L84:R85 L81:R82 L40:Q40 L48:Q48 L71:R71 J44:Q47 L41:O41 Q41 L50:Q51 L49:O49 Q49 L53:Q54 L52:O52 Q52 L59:Q63 L55:O55 Q55 L64:O64 Q64 L72:O72 Q72:R72 L80:O80 Q80:R80 L83:O83 Q83:R83 L86:O86 Q86:R86 L95:O95 Q95 L105:Q109 L103:O103 Q103:R103 L111:Q112 L110:O110 Q110 L113:O113 Q113:R113 L116:O116 Q116:R116 L124:O124 Q124:R124 L131:O131 Q131:R131 L138:O138 Q138:R138 L141:O141 Q141:R141 J154:Q154 L152:O152 Q152:R152 J40:K41 L56:Q56 J48:K56 G48:G56 J59:K64 F59:G64 J67:K72 J75:K87 G87:I87 L87:R87 J90:K95 J98:K103 G102:G103 J105:K117 G109:G117 L117:R117 J119:K124 F119:G124 J144:K152 F144:G152 J133:K142 G137:G142 L142:R142 J126:K131 G130:G131 R74 R97 R125 R132 R118 R143 I9 N13:P13 L151:P151 R15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0070C0"/>
  </sheetPr>
  <dimension ref="A1:S271"/>
  <sheetViews>
    <sheetView topLeftCell="B1" zoomScale="80" zoomScaleNormal="80" workbookViewId="0">
      <pane xSplit="3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Q25" sqref="Q25"/>
    </sheetView>
  </sheetViews>
  <sheetFormatPr defaultColWidth="8.85546875" defaultRowHeight="15" outlineLevelRow="1" x14ac:dyDescent="0.25"/>
  <cols>
    <col min="1" max="1" width="1.85546875" style="3" customWidth="1"/>
    <col min="2" max="3" width="15.85546875" style="3" customWidth="1"/>
    <col min="4" max="4" width="18.140625" style="3" customWidth="1"/>
    <col min="5" max="5" width="10.85546875" style="3" customWidth="1"/>
    <col min="6" max="6" width="10.85546875" style="20" customWidth="1"/>
    <col min="7" max="7" width="10.85546875" style="3" customWidth="1"/>
    <col min="8" max="10" width="10.85546875" style="63" customWidth="1"/>
    <col min="11" max="11" width="11.85546875" style="20" customWidth="1"/>
    <col min="12" max="12" width="0.85546875" style="20" customWidth="1"/>
    <col min="13" max="13" width="10.85546875" style="20" customWidth="1"/>
    <col min="14" max="14" width="0.85546875" style="20" customWidth="1"/>
    <col min="15" max="17" width="10.85546875" style="63" customWidth="1"/>
    <col min="18" max="18" width="11.85546875" style="20" bestFit="1" customWidth="1"/>
    <col min="19" max="19" width="10.85546875" style="3" bestFit="1" customWidth="1"/>
    <col min="20" max="16384" width="8.85546875" style="3"/>
  </cols>
  <sheetData>
    <row r="1" spans="1:19" ht="10.35" customHeight="1" x14ac:dyDescent="0.25">
      <c r="A1" s="286" t="s">
        <v>21</v>
      </c>
      <c r="B1" s="291"/>
    </row>
    <row r="2" spans="1:19" s="14" customFormat="1" ht="22.5" customHeight="1" x14ac:dyDescent="0.25">
      <c r="A2" s="15" t="s">
        <v>88</v>
      </c>
      <c r="F2" s="21"/>
      <c r="H2" s="64"/>
      <c r="I2" s="64"/>
      <c r="J2" s="64"/>
      <c r="K2" s="21"/>
      <c r="L2" s="21"/>
      <c r="M2" s="21"/>
      <c r="N2" s="21"/>
      <c r="O2" s="64"/>
      <c r="P2" s="64"/>
      <c r="Q2" s="64"/>
      <c r="R2" s="21"/>
    </row>
    <row r="3" spans="1:19" s="29" customFormat="1" ht="17.850000000000001" customHeight="1" x14ac:dyDescent="0.25">
      <c r="B3" s="30"/>
      <c r="C3" s="30"/>
      <c r="D3" s="30"/>
      <c r="E3" s="30"/>
      <c r="F3" s="44"/>
      <c r="G3" s="30"/>
      <c r="H3" s="320" t="str">
        <f>PY</f>
        <v>2022-23</v>
      </c>
      <c r="I3" s="320"/>
      <c r="J3" s="320"/>
      <c r="K3" s="320"/>
      <c r="L3" s="36"/>
      <c r="M3" s="41" t="str">
        <f>FY</f>
        <v>2023-24</v>
      </c>
      <c r="N3" s="36"/>
      <c r="O3" s="320" t="str">
        <f>FY</f>
        <v>2023-24</v>
      </c>
      <c r="P3" s="320"/>
      <c r="Q3" s="320"/>
      <c r="R3" s="320"/>
    </row>
    <row r="4" spans="1:19" s="29" customFormat="1" ht="3" customHeight="1" x14ac:dyDescent="0.25">
      <c r="B4" s="30"/>
      <c r="C4" s="30"/>
      <c r="D4" s="30"/>
      <c r="E4" s="30"/>
      <c r="F4" s="40" t="str">
        <f t="shared" ref="F4:K4" si="0">$H$3</f>
        <v>2022-23</v>
      </c>
      <c r="G4" s="30"/>
      <c r="H4" s="65" t="str">
        <f>$H$3</f>
        <v>2022-23</v>
      </c>
      <c r="I4" s="65" t="str">
        <f t="shared" si="0"/>
        <v>2022-23</v>
      </c>
      <c r="J4" s="65" t="str">
        <f t="shared" si="0"/>
        <v>2022-23</v>
      </c>
      <c r="K4" s="40" t="str">
        <f t="shared" si="0"/>
        <v>2022-23</v>
      </c>
      <c r="L4" s="40"/>
      <c r="M4" s="40" t="str">
        <f>FY</f>
        <v>2023-24</v>
      </c>
      <c r="N4" s="40"/>
      <c r="O4" s="65" t="str">
        <f>$O$3</f>
        <v>2023-24</v>
      </c>
      <c r="P4" s="65" t="str">
        <f>$O$3</f>
        <v>2023-24</v>
      </c>
      <c r="Q4" s="65" t="str">
        <f>$O$3</f>
        <v>2023-24</v>
      </c>
      <c r="R4" s="40" t="str">
        <f>$O$3</f>
        <v>2023-24</v>
      </c>
    </row>
    <row r="5" spans="1:19" s="5" customFormat="1" ht="17.850000000000001" customHeight="1" x14ac:dyDescent="0.25">
      <c r="B5" s="24" t="s">
        <v>1</v>
      </c>
      <c r="C5" s="24" t="s">
        <v>12</v>
      </c>
      <c r="D5" s="24" t="s">
        <v>25</v>
      </c>
      <c r="E5" s="24" t="s">
        <v>13</v>
      </c>
      <c r="F5" s="12" t="s">
        <v>27</v>
      </c>
      <c r="G5" s="24" t="s">
        <v>35</v>
      </c>
      <c r="H5" s="194" t="s">
        <v>49</v>
      </c>
      <c r="I5" s="194" t="s">
        <v>50</v>
      </c>
      <c r="J5" s="194" t="s">
        <v>24</v>
      </c>
      <c r="K5" s="178" t="s">
        <v>26</v>
      </c>
      <c r="L5" s="178"/>
      <c r="M5" s="178" t="s">
        <v>23</v>
      </c>
      <c r="N5" s="178"/>
      <c r="O5" s="194" t="s">
        <v>49</v>
      </c>
      <c r="P5" s="194" t="s">
        <v>50</v>
      </c>
      <c r="Q5" s="194" t="s">
        <v>24</v>
      </c>
      <c r="R5" s="178" t="s">
        <v>26</v>
      </c>
    </row>
    <row r="6" spans="1:19" s="31" customFormat="1" ht="17.850000000000001" customHeight="1" x14ac:dyDescent="0.25">
      <c r="B6" s="32"/>
      <c r="C6" s="32"/>
      <c r="D6" s="32"/>
      <c r="E6" s="32"/>
      <c r="F6" s="33" t="s">
        <v>59</v>
      </c>
      <c r="G6" s="32"/>
      <c r="H6" s="195" t="s">
        <v>74</v>
      </c>
      <c r="I6" s="195" t="s">
        <v>47</v>
      </c>
      <c r="J6" s="195" t="s">
        <v>48</v>
      </c>
      <c r="K6" s="196" t="s">
        <v>30</v>
      </c>
      <c r="L6" s="196"/>
      <c r="M6" s="196" t="s">
        <v>30</v>
      </c>
      <c r="N6" s="196"/>
      <c r="O6" s="195" t="s">
        <v>74</v>
      </c>
      <c r="P6" s="195" t="s">
        <v>47</v>
      </c>
      <c r="Q6" s="195" t="s">
        <v>48</v>
      </c>
      <c r="R6" s="196" t="s">
        <v>30</v>
      </c>
    </row>
    <row r="7" spans="1:19" x14ac:dyDescent="0.25">
      <c r="F7" s="175"/>
      <c r="H7" s="172"/>
      <c r="I7" s="172"/>
      <c r="J7" s="172"/>
      <c r="K7" s="191"/>
      <c r="L7" s="191"/>
      <c r="M7" s="191"/>
      <c r="N7" s="188"/>
      <c r="O7" s="172"/>
      <c r="P7" s="172"/>
      <c r="Q7" s="172"/>
      <c r="R7" s="191"/>
    </row>
    <row r="8" spans="1:19" x14ac:dyDescent="0.25">
      <c r="B8" s="5" t="s">
        <v>2</v>
      </c>
      <c r="C8" s="5" t="s">
        <v>6</v>
      </c>
      <c r="D8" s="5" t="s">
        <v>146</v>
      </c>
      <c r="F8" s="175"/>
      <c r="H8" s="172"/>
      <c r="I8" s="172"/>
      <c r="J8" s="172"/>
      <c r="K8" s="191"/>
      <c r="L8" s="191"/>
      <c r="M8" s="191"/>
      <c r="N8" s="188"/>
      <c r="O8" s="172"/>
      <c r="P8" s="172"/>
      <c r="Q8" s="172"/>
      <c r="R8" s="191"/>
    </row>
    <row r="9" spans="1:19" outlineLevel="1" x14ac:dyDescent="0.25">
      <c r="B9" s="3" t="str">
        <f>B8</f>
        <v>Ausgrid</v>
      </c>
      <c r="C9" s="3" t="str">
        <f t="shared" ref="C9:C13" si="1">C8</f>
        <v>Residential</v>
      </c>
      <c r="D9" s="3" t="str">
        <f t="shared" ref="D9:D13" si="2">D8</f>
        <v>without CL</v>
      </c>
      <c r="E9" s="3" t="s">
        <v>22</v>
      </c>
      <c r="F9" s="175">
        <f t="array" ref="F9">IFERROR(INDEX(Usage!$B$5:$P$18,MATCH($B9,Usage!$B$5:$B$18,0),MATCH($C9&amp;$D9&amp;$E9&amp;"Total",Usage!$B$5:$S$5&amp;Usage!$B$6:$S$6&amp;Usage!$B$7:$S$7&amp;Usage!$B$13:$S$13,0)),0)</f>
        <v>3900</v>
      </c>
      <c r="G9" s="3" t="s">
        <v>76</v>
      </c>
      <c r="H9" s="172"/>
      <c r="I9" s="172">
        <f t="array" ref="I9">IFERROR(INDEX('Detail inputs'!$B$3:$K$196,MATCH($B9&amp;$C9&amp;$E9&amp;$G9&amp;I$5,'Detail inputs'!$B$3:$B$196&amp;'Detail inputs'!$D$3:$D$196&amp;'Detail inputs'!$F$3:$F$196&amp;'Detail inputs'!$G$3:$G$196&amp;'Detail inputs'!$H$3:$H$196,0),MATCH(I$4,'Detail inputs'!$B$3:$K$3,0)),0)</f>
        <v>111.99</v>
      </c>
      <c r="J9" s="172">
        <f>H9+I9*$F9/1000</f>
        <v>436.76100000000002</v>
      </c>
      <c r="K9" s="191">
        <f>IFERROR(J9/J16,"")</f>
        <v>0.9162235130491696</v>
      </c>
      <c r="L9" s="191"/>
      <c r="M9" s="191">
        <f t="shared" ref="M9:M16" si="3">IF(OR(J9=0,Q9=""),"",Q9/J9-1)</f>
        <v>0.51442093044021786</v>
      </c>
      <c r="N9" s="188"/>
      <c r="O9" s="172"/>
      <c r="P9" s="172">
        <f t="array" ref="P9">IFERROR(INDEX('Detail inputs'!$B$3:$K$196,MATCH($B9&amp;$C9&amp;$E9&amp;$G9&amp;P$5,'Detail inputs'!$B$3:$B$196&amp;'Detail inputs'!$D$3:$D$196&amp;'Detail inputs'!$F$3:$F$196&amp;'Detail inputs'!$G$3:$G$196&amp;'Detail inputs'!$H$3:$H$196,0),MATCH(P$4,'Detail inputs'!$B$3:$K$3,0)),0)</f>
        <v>169.6</v>
      </c>
      <c r="Q9" s="172">
        <f>O9+P9*$F9/1000</f>
        <v>661.44</v>
      </c>
      <c r="R9" s="191">
        <f>IFERROR(Q9/Q16,"")</f>
        <v>0.91537132987910197</v>
      </c>
    </row>
    <row r="10" spans="1:19" outlineLevel="1" x14ac:dyDescent="0.25">
      <c r="B10" s="3" t="str">
        <f t="shared" ref="B10:B13" si="4">B9</f>
        <v>Ausgrid</v>
      </c>
      <c r="C10" s="3" t="str">
        <f t="shared" si="1"/>
        <v>Residential</v>
      </c>
      <c r="D10" s="3" t="str">
        <f t="shared" si="2"/>
        <v>without CL</v>
      </c>
      <c r="E10" s="3" t="s">
        <v>22</v>
      </c>
      <c r="F10" s="175">
        <f t="array" ref="F10">IFERROR(INDEX(Usage!$B$5:$P$18,MATCH($B10,Usage!$B$5:$B$18,0),MATCH($C10&amp;$D10&amp;$E10&amp;"Total",Usage!$B$5:$S$5&amp;Usage!$B$6:$S$6&amp;Usage!$B$7:$S$7&amp;Usage!$B$13:$S$13,0)),0)</f>
        <v>3900</v>
      </c>
      <c r="G10" s="3" t="s">
        <v>77</v>
      </c>
      <c r="H10" s="172"/>
      <c r="I10" s="172">
        <f t="array" ref="I10">IFERROR(INDEX('Detail inputs'!$B$3:$K$196,MATCH($B10&amp;$G10&amp;I$5,'Detail inputs'!$B$3:$B$196&amp;'Detail inputs'!$G$3:$G$196&amp;'Detail inputs'!$H$3:$H$196,0),MATCH(I$4,'Detail inputs'!$B$3:$K$3,0)),0)</f>
        <v>0.34</v>
      </c>
      <c r="J10" s="172">
        <f t="shared" ref="J10:J14" si="5">H10+I10*$F10/1000</f>
        <v>1.3260000000000001</v>
      </c>
      <c r="K10" s="191">
        <f>IFERROR(J10/J16,"")</f>
        <v>2.781641168289291E-3</v>
      </c>
      <c r="L10" s="191"/>
      <c r="M10" s="191">
        <f t="shared" si="3"/>
        <v>0.23529411764705865</v>
      </c>
      <c r="N10" s="188"/>
      <c r="O10" s="172"/>
      <c r="P10" s="172">
        <f t="array" ref="P10">IFERROR(INDEX('Detail inputs'!$B$3:$K$196,MATCH($B10&amp;$G10&amp;P$5,'Detail inputs'!$B$3:$B$196&amp;'Detail inputs'!$G$3:$G$196&amp;'Detail inputs'!$H$3:$H$196,0),MATCH(P$4,'Detail inputs'!$B$3:$K$3,0)),0)</f>
        <v>0.42</v>
      </c>
      <c r="Q10" s="172">
        <f t="shared" ref="Q10:Q15" si="6">O10+P10*$F10/1000</f>
        <v>1.6379999999999999</v>
      </c>
      <c r="R10" s="191">
        <f>IFERROR(Q10/Q16,"")</f>
        <v>2.2668393782383418E-3</v>
      </c>
    </row>
    <row r="11" spans="1:19" outlineLevel="1" x14ac:dyDescent="0.25">
      <c r="B11" s="3" t="str">
        <f t="shared" si="4"/>
        <v>Ausgrid</v>
      </c>
      <c r="C11" s="3" t="str">
        <f t="shared" si="1"/>
        <v>Residential</v>
      </c>
      <c r="D11" s="3" t="str">
        <f t="shared" si="2"/>
        <v>without CL</v>
      </c>
      <c r="E11" s="3" t="s">
        <v>22</v>
      </c>
      <c r="F11" s="175">
        <f t="array" ref="F11">IFERROR(INDEX(Usage!$B$5:$P$18,MATCH($B11,Usage!$B$5:$B$18,0),MATCH($C11&amp;$D11&amp;$E11&amp;"Total",Usage!$B$5:$S$5&amp;Usage!$B$6:$S$6&amp;Usage!$B$7:$S$7&amp;Usage!$B$13:$S$13,0)),0)</f>
        <v>3900</v>
      </c>
      <c r="G11" s="3" t="s">
        <v>85</v>
      </c>
      <c r="H11" s="172"/>
      <c r="I11" s="172" cm="1">
        <f t="array" ref="I11">IFERROR(INDEX('Detail inputs'!$B$3:$K$198,MATCH($B11&amp;$G11&amp;I$5,'Detail inputs'!$B$3:$B$198&amp;'Detail inputs'!$G$3:$G$198&amp;'Detail inputs'!$H$3:$H$200,0),MATCH(I$4,'Detail inputs'!$B$3:$K$3,0)),0)</f>
        <v>1.1000000000000001</v>
      </c>
      <c r="J11" s="172">
        <f t="shared" si="5"/>
        <v>4.29</v>
      </c>
      <c r="K11" s="191">
        <f>IFERROR(J11/J16,"")</f>
        <v>8.9994273091712346E-3</v>
      </c>
      <c r="L11" s="191"/>
      <c r="M11" s="191">
        <f t="shared" si="3"/>
        <v>4.5454545454545414E-2</v>
      </c>
      <c r="N11" s="188"/>
      <c r="O11" s="172"/>
      <c r="P11" s="172">
        <f t="array" ref="P11">IFERROR(INDEX('Detail inputs'!$B$3:$K$196,MATCH($B11&amp;$G11&amp;P$5,'Detail inputs'!$B$3:$B$196&amp;'Detail inputs'!$G$3:$G$196&amp;'Detail inputs'!$H$3:$H$196,0),MATCH(P$4,'Detail inputs'!$B$3:$K$3,0)),0)</f>
        <v>1.1499999999999999</v>
      </c>
      <c r="Q11" s="172">
        <f>O11+P11*$F11/1000</f>
        <v>4.4850000000000003</v>
      </c>
      <c r="R11" s="191">
        <f>IFERROR(Q11/Q16,"")</f>
        <v>6.2068221070811754E-3</v>
      </c>
    </row>
    <row r="12" spans="1:19" outlineLevel="1" x14ac:dyDescent="0.25">
      <c r="B12" s="3" t="str">
        <f t="shared" si="4"/>
        <v>Ausgrid</v>
      </c>
      <c r="C12" s="3" t="str">
        <f t="shared" si="1"/>
        <v>Residential</v>
      </c>
      <c r="D12" s="3" t="str">
        <f t="shared" si="2"/>
        <v>without CL</v>
      </c>
      <c r="E12" s="3" t="s">
        <v>22</v>
      </c>
      <c r="F12" s="175">
        <f t="array" ref="F12">IFERROR(INDEX(Usage!$B$5:$P$18,MATCH($B12,Usage!$B$5:$B$18,0),MATCH($C12&amp;$D12&amp;$E12&amp;"Total",Usage!$B$5:$S$5&amp;Usage!$B$6:$S$6&amp;Usage!$B$7:$S$7&amp;Usage!$B$13:$S$13,0)),0)</f>
        <v>3900</v>
      </c>
      <c r="G12" s="3" t="s">
        <v>78</v>
      </c>
      <c r="H12" s="172"/>
      <c r="I12" s="172" cm="1">
        <f t="array" ref="I12">IFERROR(INDEX('Detail inputs'!$B$3:$K$196,MATCH($B12&amp;$G12&amp;I$5,'Detail inputs'!$B$3:$B$196&amp;'Detail inputs'!$G$3:$G$196&amp;'Detail inputs'!$H$3:$H$196,0),MATCH(I$4,'Detail inputs'!$B$3:$K$3,0)),0)</f>
        <v>0</v>
      </c>
      <c r="J12" s="172">
        <f t="shared" si="5"/>
        <v>0</v>
      </c>
      <c r="K12" s="191">
        <f>IFERROR(J12/J16,"")</f>
        <v>0</v>
      </c>
      <c r="L12" s="191"/>
      <c r="M12" s="191" t="str">
        <f t="shared" si="3"/>
        <v/>
      </c>
      <c r="N12" s="188"/>
      <c r="O12" s="172"/>
      <c r="P12" s="172">
        <f t="array" ref="P12">IFERROR(INDEX('Detail inputs'!$B$3:$K$196,MATCH($B12&amp;$G12&amp;P$5,'Detail inputs'!$B$3:$B$196&amp;'Detail inputs'!$G$3:$G$196&amp;'Detail inputs'!$H$3:$H$196,0),MATCH(P$4,'Detail inputs'!$B$3:$K$3,0)),0)</f>
        <v>0</v>
      </c>
      <c r="Q12" s="172">
        <f t="shared" si="6"/>
        <v>0</v>
      </c>
      <c r="R12" s="191">
        <f>IFERROR(Q12/Q16,"")</f>
        <v>0</v>
      </c>
      <c r="S12" s="90"/>
    </row>
    <row r="13" spans="1:19" outlineLevel="1" x14ac:dyDescent="0.25">
      <c r="B13" s="3" t="str">
        <f t="shared" si="4"/>
        <v>Ausgrid</v>
      </c>
      <c r="C13" s="3" t="str">
        <f t="shared" si="1"/>
        <v>Residential</v>
      </c>
      <c r="D13" s="3" t="str">
        <f t="shared" si="2"/>
        <v>without CL</v>
      </c>
      <c r="E13" s="3" t="s">
        <v>22</v>
      </c>
      <c r="F13" s="175" cm="1">
        <f t="array" ref="F13">IFERROR(INDEX(Usage!$B$5:$P$18,MATCH($B13,Usage!$B$5:$B$18,0),MATCH($C13&amp;$D13&amp;$E13&amp;"Total",Usage!$B$5:$S$5&amp;Usage!$B$6:$S$6&amp;Usage!$B$7:$S$7&amp;Usage!$B$13:$S$13,0)),0)</f>
        <v>3900</v>
      </c>
      <c r="G13" s="155" t="s">
        <v>275</v>
      </c>
      <c r="H13" s="172"/>
      <c r="I13" s="172" cm="1">
        <f t="array" ref="I13">IFERROR(INDEX('Detail inputs'!$B$3:$K$196,MATCH($B13&amp;$G13&amp;I$5,'Detail inputs'!$B$3:$B$196&amp;'Detail inputs'!$G$3:$G$196&amp;'Detail inputs'!$H$3:$H$196,0),MATCH(I$4,'Detail inputs'!$B$3:$K$3,0)),0)</f>
        <v>0</v>
      </c>
      <c r="J13" s="172">
        <f t="shared" ref="J13" si="7">H13+I13*$F13/1000</f>
        <v>0</v>
      </c>
      <c r="K13" s="191">
        <f>IFERROR(J13/J17,"")</f>
        <v>0</v>
      </c>
      <c r="L13" s="191"/>
      <c r="M13" s="191" t="str">
        <f t="shared" ref="M13" si="8">IF(OR(J13=0,Q13=""),"",Q13/J13-1)</f>
        <v/>
      </c>
      <c r="N13" s="188"/>
      <c r="O13" s="172"/>
      <c r="P13" s="172" cm="1">
        <f t="array" ref="P13">IFERROR(INDEX('Detail inputs'!$B$3:$K$196,MATCH($B13&amp;$G13&amp;P$5,'Detail inputs'!$B$3:$B$196&amp;'Detail inputs'!$G$3:$G$196&amp;'Detail inputs'!$H$3:$H$196,0),MATCH(P$4,'Detail inputs'!$B$3:$K$3,0)),0)</f>
        <v>2.0499999999999998</v>
      </c>
      <c r="Q13" s="172">
        <f t="shared" ref="Q13" si="9">O13+P13*$F13/1000</f>
        <v>7.9949999999999992</v>
      </c>
      <c r="R13" s="191">
        <f>IFERROR(Q13/Q16,"")</f>
        <v>1.106433506044905E-2</v>
      </c>
    </row>
    <row r="14" spans="1:19" outlineLevel="1" x14ac:dyDescent="0.25">
      <c r="B14" s="3" t="str">
        <f>B12</f>
        <v>Ausgrid</v>
      </c>
      <c r="C14" s="3" t="str">
        <f>C12</f>
        <v>Residential</v>
      </c>
      <c r="D14" s="3" t="str">
        <f>D12</f>
        <v>without CL</v>
      </c>
      <c r="E14" s="3" t="s">
        <v>22</v>
      </c>
      <c r="F14" s="175">
        <f t="array" ref="F14">IFERROR(INDEX(Usage!$B$5:$P$18,MATCH($B14,Usage!$B$5:$B$18,0),MATCH($C14&amp;$D14&amp;$E14&amp;"Total",Usage!$B$5:$S$5&amp;Usage!$B$6:$S$6&amp;Usage!$B$7:$S$7&amp;Usage!$B$13:$S$13,0)),0)</f>
        <v>3900</v>
      </c>
      <c r="G14" s="3" t="s">
        <v>155</v>
      </c>
      <c r="H14" s="172"/>
      <c r="I14" s="172">
        <f t="array" ref="I14">IFERROR(INDEX('Detail inputs'!$B$3:$K$196,MATCH($B14&amp;$G14&amp;I$5,'Detail inputs'!$B$3:$B$196&amp;'Detail inputs'!$G$3:$G$196&amp;'Detail inputs'!$H$3:$H$196,0),MATCH(I$4,'Detail inputs'!$B$3:$K$3,0)),0)</f>
        <v>2.65</v>
      </c>
      <c r="J14" s="172">
        <f t="shared" si="5"/>
        <v>10.335000000000001</v>
      </c>
      <c r="K14" s="191">
        <f>IFERROR(J14/J16,"")</f>
        <v>2.1680438517548885E-2</v>
      </c>
      <c r="L14" s="191"/>
      <c r="M14" s="191">
        <f t="shared" si="3"/>
        <v>0.15849056603773581</v>
      </c>
      <c r="N14" s="188"/>
      <c r="O14" s="172"/>
      <c r="P14" s="172">
        <f t="array" ref="P14">IFERROR(INDEX('Detail inputs'!$B$3:$K$196,MATCH($B14&amp;$G14&amp;P$5,'Detail inputs'!$B$3:$B$196&amp;'Detail inputs'!$G$3:$G$196&amp;'Detail inputs'!$H$3:$H$196,0),MATCH(P$4,'Detail inputs'!$B$3:$K$3,0)),0)</f>
        <v>3.07</v>
      </c>
      <c r="Q14" s="172">
        <f t="shared" si="6"/>
        <v>11.973000000000001</v>
      </c>
      <c r="R14" s="191">
        <f>IFERROR(Q14/Q16,"")</f>
        <v>1.6569516407599311E-2</v>
      </c>
    </row>
    <row r="15" spans="1:19" outlineLevel="1" x14ac:dyDescent="0.25">
      <c r="B15" s="3" t="str">
        <f t="shared" ref="B15:D15" si="10">B13</f>
        <v>Ausgrid</v>
      </c>
      <c r="C15" s="3" t="str">
        <f t="shared" si="10"/>
        <v>Residential</v>
      </c>
      <c r="D15" s="3" t="str">
        <f t="shared" si="10"/>
        <v>without CL</v>
      </c>
      <c r="E15" s="3" t="s">
        <v>22</v>
      </c>
      <c r="F15" s="175">
        <f t="array" ref="F15">IFERROR(INDEX(Usage!$B$5:$P$18,MATCH($B15,Usage!$B$5:$B$18,0),MATCH($C15&amp;$D15&amp;$E15&amp;"Total",Usage!$B$5:$S$5&amp;Usage!$B$6:$S$6&amp;Usage!$B$7:$S$7&amp;Usage!$B$13:$S$13,0)),0)</f>
        <v>3900</v>
      </c>
      <c r="G15" s="3" t="s">
        <v>79</v>
      </c>
      <c r="H15" s="172"/>
      <c r="I15" s="172" cm="1">
        <f t="array" ref="I15">ROUND(IFERROR(INDEX('Detail inputs'!$B$3:$K$196,MATCH($B15&amp;$C15&amp;$E15&amp;$G15&amp;I$5,'Detail inputs'!$B$3:$B$196&amp;'Detail inputs'!$D$3:$D$196&amp;'Detail inputs'!$F$3:$F$196&amp;'Detail inputs'!$G$3:$G$196&amp;'Detail inputs'!$H$3:$H$196,0),MATCH(I$4,'Detail inputs'!$B$3:$K$3,0)),0)*SUM(I9:I14), 2)</f>
        <v>6.15</v>
      </c>
      <c r="J15" s="172">
        <f>H15+I15*$F15/1000</f>
        <v>23.984999999999999</v>
      </c>
      <c r="K15" s="191">
        <f>IFERROR(J15/J16,"")</f>
        <v>5.0314979955820995E-2</v>
      </c>
      <c r="L15" s="191"/>
      <c r="M15" s="191">
        <f t="shared" si="3"/>
        <v>0.46178861788617898</v>
      </c>
      <c r="N15" s="188"/>
      <c r="O15" s="172"/>
      <c r="P15" s="172" cm="1">
        <f t="array" ref="P15">ROUND(IFERROR(INDEX('Detail inputs'!$B$3:$K$196,MATCH($B15&amp;$C15&amp;$E15&amp;$G15&amp;P$5,'Detail inputs'!$B$3:$B$196&amp;'Detail inputs'!$D$3:$D$196&amp;'Detail inputs'!$F$3:$F$196&amp;'Detail inputs'!$G$3:$G$196&amp;'Detail inputs'!$H$3:$H$196,0),MATCH(P$4,'Detail inputs'!$B$3:$K$3,0)),0)*SUM(P9:P14), 2)</f>
        <v>8.99</v>
      </c>
      <c r="Q15" s="172">
        <f t="shared" si="6"/>
        <v>35.061</v>
      </c>
      <c r="R15" s="191">
        <f>IFERROR(Q15/Q16,"")</f>
        <v>4.8521157167530228E-2</v>
      </c>
      <c r="S15" s="90"/>
    </row>
    <row r="16" spans="1:19" x14ac:dyDescent="0.25">
      <c r="B16" s="3" t="str">
        <f t="shared" ref="B16:D16" si="11">B14</f>
        <v>Ausgrid</v>
      </c>
      <c r="C16" s="3" t="str">
        <f t="shared" si="11"/>
        <v>Residential</v>
      </c>
      <c r="D16" s="3" t="str">
        <f t="shared" si="11"/>
        <v>without CL</v>
      </c>
      <c r="E16" s="3" t="s">
        <v>22</v>
      </c>
      <c r="F16" s="175">
        <f t="array" ref="F16">IFERROR(INDEX(Usage!$B$5:$P$18,MATCH($B16,Usage!$B$5:$B$18,0),MATCH($C16&amp;$D16&amp;$E16&amp;"Total",Usage!$B$5:$S$5&amp;Usage!$B$6:$S$6&amp;Usage!$B$7:$S$7&amp;Usage!$B$13:$S$13,0)),0)</f>
        <v>3900</v>
      </c>
      <c r="G16" s="3" t="s">
        <v>61</v>
      </c>
      <c r="H16" s="172"/>
      <c r="I16" s="172">
        <f t="array" ref="I16">INDEX('Key inputs'!$B$17:$N$41,MATCH($B16&amp;$C16&amp;$E16,'Key inputs'!$B$17:$B$41&amp;'Key inputs'!$C$17:$C$41&amp;'Key inputs'!$D$17:$D$41,0),MATCH($A$2&amp;I$4,'Key inputs'!$B$18:$N$18&amp;'Key inputs'!$B$19:$N$19,0))</f>
        <v>122.23</v>
      </c>
      <c r="J16" s="172">
        <f>H16+I16*$F16/1000</f>
        <v>476.697</v>
      </c>
      <c r="K16" s="192"/>
      <c r="L16" s="199"/>
      <c r="M16" s="192">
        <f t="shared" si="3"/>
        <v>0.51583081076658743</v>
      </c>
      <c r="N16" s="197"/>
      <c r="O16" s="172"/>
      <c r="P16" s="172" cm="1">
        <f t="array" ref="P16">INDEX('Key inputs'!$B$17:$N$41,MATCH($B16&amp;$C16&amp;$E16,'Key inputs'!$B$17:$B$41&amp;'Key inputs'!$C$17:$C$41&amp;'Key inputs'!$D$17:$D$41,0),MATCH($A$2&amp;P$4,'Key inputs'!$B$18:$N$18&amp;'Key inputs'!$B$19:$N$19,0))</f>
        <v>185.28</v>
      </c>
      <c r="Q16" s="172">
        <f>O16+P16*$F16/1000</f>
        <v>722.59199999999998</v>
      </c>
      <c r="R16" s="192"/>
      <c r="S16" s="266"/>
    </row>
    <row r="17" spans="2:18" outlineLevel="1" x14ac:dyDescent="0.25">
      <c r="B17" s="3" t="str">
        <f t="shared" ref="B17:D17" si="12">B15</f>
        <v>Ausgrid</v>
      </c>
      <c r="C17" s="3" t="str">
        <f t="shared" si="12"/>
        <v>Residential</v>
      </c>
      <c r="D17" s="3" t="str">
        <f t="shared" si="12"/>
        <v>without CL</v>
      </c>
      <c r="F17" s="175"/>
      <c r="G17" s="3" t="s">
        <v>41</v>
      </c>
      <c r="H17" s="172"/>
      <c r="I17" s="172"/>
      <c r="J17" s="172">
        <f>J16*GST</f>
        <v>47.669700000000006</v>
      </c>
      <c r="K17" s="192"/>
      <c r="L17" s="199"/>
      <c r="M17" s="192"/>
      <c r="N17" s="197"/>
      <c r="O17" s="172"/>
      <c r="P17" s="172"/>
      <c r="Q17" s="172">
        <f>Q16*GST</f>
        <v>72.259200000000007</v>
      </c>
      <c r="R17" s="193"/>
    </row>
    <row r="18" spans="2:18" x14ac:dyDescent="0.25">
      <c r="B18" s="3" t="str">
        <f t="shared" ref="B18:D18" si="13">B16</f>
        <v>Ausgrid</v>
      </c>
      <c r="C18" s="3" t="str">
        <f t="shared" si="13"/>
        <v>Residential</v>
      </c>
      <c r="D18" s="3" t="str">
        <f t="shared" si="13"/>
        <v>without CL</v>
      </c>
      <c r="F18" s="175"/>
      <c r="G18" s="5" t="s">
        <v>87</v>
      </c>
      <c r="H18" s="174"/>
      <c r="I18" s="174"/>
      <c r="J18" s="174">
        <f>SUM(J16:J17)</f>
        <v>524.36670000000004</v>
      </c>
      <c r="K18" s="193"/>
      <c r="L18" s="200"/>
      <c r="M18" s="193">
        <f>IF(OR(J18=0,Q18=""),"",Q18/J18-1)</f>
        <v>0.51583081076658743</v>
      </c>
      <c r="N18" s="198"/>
      <c r="O18" s="174"/>
      <c r="P18" s="174"/>
      <c r="Q18" s="174">
        <f>SUM(Q16:Q17)</f>
        <v>794.85119999999995</v>
      </c>
      <c r="R18" s="193"/>
    </row>
    <row r="19" spans="2:18" x14ac:dyDescent="0.25">
      <c r="F19" s="175"/>
      <c r="H19" s="172"/>
      <c r="I19" s="172"/>
      <c r="J19" s="172"/>
      <c r="K19" s="191"/>
      <c r="L19" s="199"/>
      <c r="M19" s="191"/>
      <c r="N19" s="197"/>
      <c r="O19" s="172"/>
      <c r="P19" s="172"/>
      <c r="Q19" s="172"/>
      <c r="R19" s="191"/>
    </row>
    <row r="20" spans="2:18" x14ac:dyDescent="0.25">
      <c r="B20" s="5" t="s">
        <v>2</v>
      </c>
      <c r="C20" s="5" t="s">
        <v>6</v>
      </c>
      <c r="D20" s="5" t="s">
        <v>147</v>
      </c>
      <c r="F20" s="175"/>
      <c r="H20" s="172"/>
      <c r="I20" s="172"/>
      <c r="J20" s="172"/>
      <c r="K20" s="191"/>
      <c r="L20" s="199"/>
      <c r="M20" s="191"/>
      <c r="N20" s="197"/>
      <c r="O20" s="172"/>
      <c r="P20" s="172"/>
      <c r="Q20" s="172"/>
      <c r="R20" s="191"/>
    </row>
    <row r="21" spans="2:18" outlineLevel="1" x14ac:dyDescent="0.25">
      <c r="B21" s="3" t="str">
        <f>B20</f>
        <v>Ausgrid</v>
      </c>
      <c r="C21" s="3" t="str">
        <f t="shared" ref="C21:C40" si="14">C20</f>
        <v>Residential</v>
      </c>
      <c r="D21" s="3" t="str">
        <f t="shared" ref="D21:D40" si="15">D20</f>
        <v>with CL</v>
      </c>
      <c r="E21" s="3" t="s">
        <v>22</v>
      </c>
      <c r="F21" s="175">
        <f t="array" ref="F21">IFERROR(INDEX(Usage!$B$5:$P$18,MATCH($B21,Usage!$B$5:$B$18,0),MATCH($C21&amp;$D21&amp;$E21&amp;"Total",Usage!$B$5:$S$5&amp;Usage!$B$6:$S$6&amp;Usage!$B$7:$S$7&amp;Usage!$B$13:$S$13,0)),0)</f>
        <v>4800</v>
      </c>
      <c r="G21" s="3" t="s">
        <v>61</v>
      </c>
      <c r="H21" s="172"/>
      <c r="I21" s="172">
        <f t="array" ref="I21">INDEX('Key inputs'!$B$17:$N$41,MATCH($B21&amp;$C21&amp;$E21,'Key inputs'!$B$17:$B$41&amp;'Key inputs'!$C$17:$C$41&amp;'Key inputs'!$D$17:$D$41,0),MATCH($A$2&amp;I$4,'Key inputs'!$B$18:$N$18&amp;'Key inputs'!$B$19:$N$19,0))</f>
        <v>122.23</v>
      </c>
      <c r="J21" s="172">
        <f>IF(AND(H21="",I21=""),"",H21+I21*$F21/1000)</f>
        <v>586.70399999999995</v>
      </c>
      <c r="K21" s="191"/>
      <c r="L21" s="199"/>
      <c r="M21" s="191">
        <f>IF(OR(J21=0,Q21=""),"",Q21/J21-1)</f>
        <v>0.51583081076658788</v>
      </c>
      <c r="N21" s="197"/>
      <c r="O21" s="172"/>
      <c r="P21" s="172">
        <f t="array" ref="P21">INDEX('Key inputs'!$B$17:$N$41,MATCH($B21&amp;$C21&amp;$E21,'Key inputs'!$B$17:$B$41&amp;'Key inputs'!$C$17:$C$41&amp;'Key inputs'!$D$17:$D$41,0),MATCH($A$2&amp;P$4,'Key inputs'!$B$18:$N$18&amp;'Key inputs'!$B$19:$N$19,0))</f>
        <v>185.28</v>
      </c>
      <c r="Q21" s="172">
        <f>IF(AND(O21="",P21=""),"",O21+P21*$F21/1000)</f>
        <v>889.34400000000005</v>
      </c>
      <c r="R21" s="191"/>
    </row>
    <row r="22" spans="2:18" outlineLevel="1" x14ac:dyDescent="0.25">
      <c r="B22" s="3" t="str">
        <f t="shared" ref="B22:B40" si="16">B21</f>
        <v>Ausgrid</v>
      </c>
      <c r="C22" s="3" t="str">
        <f t="shared" si="14"/>
        <v>Residential</v>
      </c>
      <c r="D22" s="3" t="str">
        <f t="shared" si="15"/>
        <v>with CL</v>
      </c>
      <c r="E22" s="3" t="s">
        <v>16</v>
      </c>
      <c r="F22" s="175">
        <f t="array" ref="F22">IFERROR(INDEX(Usage!$B$5:$P$18,MATCH($B22,Usage!$B$5:$B$18,0),MATCH($C22&amp;$D22&amp;$E22,Usage!$B$5:$S$5&amp;Usage!$B$6:$S$6&amp;Usage!$B$7:$S$7,0)),0)</f>
        <v>1340</v>
      </c>
      <c r="G22" s="3" t="s">
        <v>76</v>
      </c>
      <c r="H22" s="172"/>
      <c r="I22" s="172">
        <f t="array" ref="I22">IFERROR(INDEX('Detail inputs'!$B$3:$K$196,MATCH($B22&amp;$C22&amp;$E22&amp;$G22&amp;I$5,'Detail inputs'!$B$3:$B$196&amp;'Detail inputs'!$D$3:$D$196&amp;'Detail inputs'!$F$3:$F$196&amp;'Detail inputs'!$G$3:$G$196&amp;'Detail inputs'!$H$3:$H$196,0),MATCH(I$4,'Detail inputs'!$B$3:$K$3,0)),0)</f>
        <v>79.83</v>
      </c>
      <c r="J22" s="172">
        <f>IF(AND(H22="",I22=""),"",H22+I22*$F22/1000)</f>
        <v>106.9722</v>
      </c>
      <c r="K22" s="191">
        <f>IFERROR(J22/J29,"")</f>
        <v>0.90081245768449558</v>
      </c>
      <c r="L22" s="191"/>
      <c r="M22" s="191">
        <f t="shared" ref="M22:M38" si="17">IF(OR(J22=0,Q22=""),"",Q22/J22-1)</f>
        <v>0.2773393461104845</v>
      </c>
      <c r="N22" s="188"/>
      <c r="O22" s="172"/>
      <c r="P22" s="172">
        <f t="array" ref="P22">IFERROR(INDEX('Detail inputs'!$B$3:$K$196,MATCH($B22&amp;$C22&amp;$E22&amp;$G22&amp;P$5,'Detail inputs'!$B$3:$B$196&amp;'Detail inputs'!$D$3:$D$196&amp;'Detail inputs'!$F$3:$F$196&amp;'Detail inputs'!$G$3:$G$196&amp;'Detail inputs'!$H$3:$H$196,0),MATCH(P$4,'Detail inputs'!$B$3:$K$3,0)),0)</f>
        <v>101.97</v>
      </c>
      <c r="Q22" s="172">
        <f>IF(AND(O22="",P22=""),"",O22+P22*$F22/1000)</f>
        <v>136.63979999999998</v>
      </c>
      <c r="R22" s="191">
        <f>IFERROR(Q22/Q29,"")</f>
        <v>0.89033441019820114</v>
      </c>
    </row>
    <row r="23" spans="2:18" outlineLevel="1" x14ac:dyDescent="0.25">
      <c r="B23" s="3" t="str">
        <f t="shared" si="16"/>
        <v>Ausgrid</v>
      </c>
      <c r="C23" s="3" t="str">
        <f t="shared" si="14"/>
        <v>Residential</v>
      </c>
      <c r="D23" s="3" t="str">
        <f t="shared" si="15"/>
        <v>with CL</v>
      </c>
      <c r="E23" s="3" t="s">
        <v>16</v>
      </c>
      <c r="F23" s="175">
        <f t="array" ref="F23">IFERROR(INDEX(Usage!$B$5:$P$18,MATCH($B23,Usage!$B$5:$B$18,0),MATCH($C23&amp;$D23&amp;$E23,Usage!$B$5:$S$5&amp;Usage!$B$6:$S$6&amp;Usage!$B$7:$S$7,0)),0)</f>
        <v>1340</v>
      </c>
      <c r="G23" s="3" t="s">
        <v>77</v>
      </c>
      <c r="H23" s="172"/>
      <c r="I23" s="172">
        <f t="array" ref="I23">IFERROR(INDEX('Detail inputs'!$B$3:$K$196,MATCH($B23&amp;$G23&amp;I$5,'Detail inputs'!$B$3:$B$196&amp;'Detail inputs'!$G$3:$G$196&amp;'Detail inputs'!$H$3:$H$196,0),MATCH(I$4,'Detail inputs'!$B$3:$K$3,0)),0)</f>
        <v>0.34</v>
      </c>
      <c r="J23" s="172">
        <f t="shared" ref="J23:J29" si="18">IF(AND(H23="",I23=""),"",H23+I23*$F23/1000)</f>
        <v>0.4556</v>
      </c>
      <c r="K23" s="191">
        <f>IFERROR(J23/J29,"")</f>
        <v>3.8366057323403297E-3</v>
      </c>
      <c r="L23" s="191"/>
      <c r="M23" s="191">
        <f t="shared" si="17"/>
        <v>0.23529411764705865</v>
      </c>
      <c r="N23" s="188"/>
      <c r="O23" s="172"/>
      <c r="P23" s="172">
        <f t="array" ref="P23">IFERROR(INDEX('Detail inputs'!$B$3:$K$196,MATCH($B23&amp;$G23&amp;P$5,'Detail inputs'!$B$3:$B$196&amp;'Detail inputs'!$G$3:$G$196&amp;'Detail inputs'!$H$3:$H$196,0),MATCH(P$4,'Detail inputs'!$B$3:$K$3,0)),0)</f>
        <v>0.42</v>
      </c>
      <c r="Q23" s="172">
        <f t="shared" ref="Q23:Q29" si="19">IF(AND(O23="",P23=""),"",O23+P23*$F23/1000)</f>
        <v>0.56279999999999997</v>
      </c>
      <c r="R23" s="191">
        <f>IFERROR(Q23/Q29,"")</f>
        <v>3.6671614424168336E-3</v>
      </c>
    </row>
    <row r="24" spans="2:18" outlineLevel="1" x14ac:dyDescent="0.25">
      <c r="B24" s="3" t="str">
        <f t="shared" si="16"/>
        <v>Ausgrid</v>
      </c>
      <c r="C24" s="3" t="str">
        <f t="shared" si="14"/>
        <v>Residential</v>
      </c>
      <c r="D24" s="3" t="str">
        <f t="shared" si="15"/>
        <v>with CL</v>
      </c>
      <c r="E24" s="3" t="s">
        <v>16</v>
      </c>
      <c r="F24" s="175">
        <f t="array" ref="F24">IFERROR(INDEX(Usage!$B$5:$P$18,MATCH($B24,Usage!$B$5:$B$18,0),MATCH($C24&amp;$D24&amp;$E24,Usage!$B$5:$S$5&amp;Usage!$B$6:$S$6&amp;Usage!$B$7:$S$7,0)),0)</f>
        <v>1340</v>
      </c>
      <c r="G24" s="3" t="s">
        <v>85</v>
      </c>
      <c r="H24" s="172"/>
      <c r="I24" s="172">
        <f t="array" ref="I24">IFERROR(INDEX('Detail inputs'!$B$3:$K$196,MATCH($B24&amp;$G24&amp;I$5,'Detail inputs'!$B$3:$B$196&amp;'Detail inputs'!$G$3:$G$196&amp;'Detail inputs'!$H$3:$H$196,0),MATCH(I$4,'Detail inputs'!$B$3:$K$3,0)),0)</f>
        <v>1.1000000000000001</v>
      </c>
      <c r="J24" s="172">
        <f t="shared" si="18"/>
        <v>1.4740000000000002</v>
      </c>
      <c r="K24" s="191">
        <f>IFERROR(J24/J29,"")</f>
        <v>1.2412547957571657E-2</v>
      </c>
      <c r="L24" s="191"/>
      <c r="M24" s="191">
        <f t="shared" si="17"/>
        <v>4.5454545454545192E-2</v>
      </c>
      <c r="N24" s="188"/>
      <c r="O24" s="172"/>
      <c r="P24" s="172">
        <f t="array" ref="P24">IFERROR(INDEX('Detail inputs'!$B$3:$K$196,MATCH($B24&amp;$G24&amp;P$5,'Detail inputs'!$B$3:$B$196&amp;'Detail inputs'!$G$3:$G$196&amp;'Detail inputs'!$H$3:$H$196,0),MATCH(P$4,'Detail inputs'!$B$3:$K$3,0)),0)</f>
        <v>1.1499999999999999</v>
      </c>
      <c r="Q24" s="172">
        <f t="shared" si="19"/>
        <v>1.5409999999999997</v>
      </c>
      <c r="R24" s="191">
        <f>IFERROR(Q24/Q29,"")</f>
        <v>1.0041037282807995E-2</v>
      </c>
    </row>
    <row r="25" spans="2:18" outlineLevel="1" x14ac:dyDescent="0.25">
      <c r="B25" s="3" t="str">
        <f t="shared" si="16"/>
        <v>Ausgrid</v>
      </c>
      <c r="C25" s="3" t="str">
        <f t="shared" si="14"/>
        <v>Residential</v>
      </c>
      <c r="D25" s="3" t="str">
        <f t="shared" si="15"/>
        <v>with CL</v>
      </c>
      <c r="E25" s="3" t="s">
        <v>16</v>
      </c>
      <c r="F25" s="175">
        <f t="array" ref="F25">IFERROR(INDEX(Usage!$B$5:$P$18,MATCH($B25,Usage!$B$5:$B$18,0),MATCH($C25&amp;$D25&amp;$E25,Usage!$B$5:$S$5&amp;Usage!$B$6:$S$6&amp;Usage!$B$7:$S$7,0)),0)</f>
        <v>1340</v>
      </c>
      <c r="G25" s="3" t="s">
        <v>78</v>
      </c>
      <c r="H25" s="172"/>
      <c r="I25" s="172">
        <f t="array" ref="I25">IFERROR(INDEX('Detail inputs'!$B$3:$K$196,MATCH($B25&amp;$G25&amp;I$5,'Detail inputs'!$B$3:$B$196&amp;'Detail inputs'!$G$3:$G$196&amp;'Detail inputs'!$H$3:$H$196,0),MATCH(I$4,'Detail inputs'!$B$3:$K$3,0)),0)</f>
        <v>0</v>
      </c>
      <c r="J25" s="172">
        <f t="shared" si="18"/>
        <v>0</v>
      </c>
      <c r="K25" s="191">
        <f>IFERROR(J25/J29,"")</f>
        <v>0</v>
      </c>
      <c r="L25" s="191"/>
      <c r="M25" s="191" t="str">
        <f t="shared" si="17"/>
        <v/>
      </c>
      <c r="N25" s="188"/>
      <c r="O25" s="172"/>
      <c r="P25" s="172">
        <f t="array" ref="P25">IFERROR(INDEX('Detail inputs'!$B$3:$K$196,MATCH($B25&amp;$G25&amp;P$5,'Detail inputs'!$B$3:$B$196&amp;'Detail inputs'!$G$3:$G$196&amp;'Detail inputs'!$H$3:$H$196,0),MATCH(P$4,'Detail inputs'!$B$3:$K$3,0)),0)</f>
        <v>0</v>
      </c>
      <c r="Q25" s="172">
        <f t="shared" si="19"/>
        <v>0</v>
      </c>
      <c r="R25" s="191">
        <f>IFERROR(Q25/Q29,"")</f>
        <v>0</v>
      </c>
    </row>
    <row r="26" spans="2:18" outlineLevel="1" x14ac:dyDescent="0.25">
      <c r="B26" s="3" t="str">
        <f t="shared" si="16"/>
        <v>Ausgrid</v>
      </c>
      <c r="C26" s="3" t="str">
        <f t="shared" si="14"/>
        <v>Residential</v>
      </c>
      <c r="D26" s="3" t="str">
        <f t="shared" si="15"/>
        <v>with CL</v>
      </c>
      <c r="E26" s="3" t="s">
        <v>16</v>
      </c>
      <c r="F26" s="175" cm="1">
        <f t="array" ref="F26">IFERROR(INDEX(Usage!$B$5:$P$18,MATCH($B26,Usage!$B$5:$B$18,0),MATCH($C26&amp;$D26&amp;$E26,Usage!$B$5:$S$5&amp;Usage!$B$6:$S$6&amp;Usage!$B$7:$S$7,0)),0)</f>
        <v>1340</v>
      </c>
      <c r="G26" s="3" t="str">
        <f>+G13</f>
        <v>June 2022 Event Cost</v>
      </c>
      <c r="H26" s="172"/>
      <c r="I26" s="172">
        <f t="array" ref="I26">IFERROR(INDEX('Detail inputs'!$B$3:$K$196,MATCH($B26&amp;$G26&amp;I$5,'Detail inputs'!$B$3:$B$196&amp;'Detail inputs'!$G$3:$G$196&amp;'Detail inputs'!$H$3:$H$196,0),MATCH(I$4,'Detail inputs'!$B$3:$K$3,0)),0)</f>
        <v>0</v>
      </c>
      <c r="J26" s="172">
        <f t="shared" ref="J26" si="20">IF(AND(H26="",I26=""),"",H26+I26*$F26/1000)</f>
        <v>0</v>
      </c>
      <c r="K26" s="191">
        <f>IFERROR(J26/J30,"")</f>
        <v>0</v>
      </c>
      <c r="L26" s="191"/>
      <c r="M26" s="191" t="str">
        <f t="shared" ref="M26" si="21">IF(OR(J26=0,Q26=""),"",Q26/J26-1)</f>
        <v/>
      </c>
      <c r="N26" s="188"/>
      <c r="O26" s="172"/>
      <c r="P26" s="172">
        <f t="array" ref="P26">IFERROR(INDEX('Detail inputs'!$B$3:$K$196,MATCH($B26&amp;$G26&amp;P$5,'Detail inputs'!$B$3:$B$196&amp;'Detail inputs'!$G$3:$G$196&amp;'Detail inputs'!$H$3:$H$196,0),MATCH(P$4,'Detail inputs'!$B$3:$K$3,0)),0)</f>
        <v>2.0499999999999998</v>
      </c>
      <c r="Q26" s="172">
        <f t="shared" ref="Q26" si="22">IF(AND(O26="",P26=""),"",O26+P26*$F26/1000)</f>
        <v>2.7469999999999994</v>
      </c>
      <c r="R26" s="191">
        <f>IFERROR(Q26/Q30,"")</f>
        <v>4.213526232153484E-2</v>
      </c>
    </row>
    <row r="27" spans="2:18" outlineLevel="1" x14ac:dyDescent="0.25">
      <c r="B27" s="3" t="str">
        <f t="shared" si="16"/>
        <v>Ausgrid</v>
      </c>
      <c r="C27" s="3" t="str">
        <f t="shared" si="14"/>
        <v>Residential</v>
      </c>
      <c r="D27" s="3" t="str">
        <f t="shared" si="15"/>
        <v>with CL</v>
      </c>
      <c r="E27" s="3" t="s">
        <v>16</v>
      </c>
      <c r="F27" s="175">
        <f t="array" ref="F27">IFERROR(INDEX(Usage!$B$5:$P$18,MATCH($B27,Usage!$B$5:$B$18,0),MATCH($C27&amp;$D27&amp;$E27,Usage!$B$5:$S$5&amp;Usage!$B$6:$S$6&amp;Usage!$B$7:$S$7,0)),0)</f>
        <v>1340</v>
      </c>
      <c r="G27" s="3" t="s">
        <v>155</v>
      </c>
      <c r="H27" s="172"/>
      <c r="I27" s="172">
        <f t="array" ref="I27">IFERROR(INDEX('Detail inputs'!$B$3:$K$196,MATCH($B27&amp;$G27&amp;I$5,'Detail inputs'!$B$3:$B$196&amp;'Detail inputs'!$G$3:$G$196&amp;'Detail inputs'!$H$3:$H$196,0),MATCH(I$4,'Detail inputs'!$B$3:$K$3,0)),0)</f>
        <v>2.65</v>
      </c>
      <c r="J27" s="172">
        <f t="shared" si="18"/>
        <v>3.5510000000000002</v>
      </c>
      <c r="K27" s="191">
        <f>IFERROR(J27/J29,"")</f>
        <v>2.9902956443240807E-2</v>
      </c>
      <c r="L27" s="191"/>
      <c r="M27" s="191">
        <f t="shared" si="17"/>
        <v>0.15849056603773581</v>
      </c>
      <c r="N27" s="188"/>
      <c r="O27" s="172"/>
      <c r="P27" s="172">
        <f t="array" ref="P27">IFERROR(INDEX('Detail inputs'!$B$3:$K$196,MATCH($B27&amp;$G27&amp;P$5,'Detail inputs'!$B$3:$B$196&amp;'Detail inputs'!$G$3:$G$196&amp;'Detail inputs'!$H$3:$H$196,0),MATCH(P$4,'Detail inputs'!$B$3:$K$3,0)),0)</f>
        <v>3.07</v>
      </c>
      <c r="Q27" s="172">
        <f t="shared" si="19"/>
        <v>4.1138000000000003</v>
      </c>
      <c r="R27" s="191">
        <f>IFERROR(Q27/Q29,"")</f>
        <v>2.6805203876713528E-2</v>
      </c>
    </row>
    <row r="28" spans="2:18" outlineLevel="1" x14ac:dyDescent="0.25">
      <c r="B28" s="3" t="str">
        <f t="shared" si="16"/>
        <v>Ausgrid</v>
      </c>
      <c r="C28" s="3" t="str">
        <f t="shared" si="14"/>
        <v>Residential</v>
      </c>
      <c r="D28" s="3" t="str">
        <f t="shared" si="15"/>
        <v>with CL</v>
      </c>
      <c r="E28" s="3" t="s">
        <v>16</v>
      </c>
      <c r="F28" s="175">
        <f t="array" ref="F28">IFERROR(INDEX(Usage!$B$5:$P$18,MATCH($B28,Usage!$B$5:$B$18,0),MATCH($C28&amp;$D28&amp;$E28,Usage!$B$5:$S$5&amp;Usage!$B$6:$S$6&amp;Usage!$B$7:$S$7,0)),0)</f>
        <v>1340</v>
      </c>
      <c r="G28" s="3" t="s">
        <v>79</v>
      </c>
      <c r="H28" s="172"/>
      <c r="I28" s="172" cm="1">
        <f t="array" ref="I28">ROUND(IFERROR(INDEX('Detail inputs'!$B$3:$K$196,MATCH($B28&amp;$C28&amp;$E28&amp;$G28&amp;I$5,'Detail inputs'!$B$3:$B$196&amp;'Detail inputs'!$D$3:$D$196&amp;'Detail inputs'!$F$3:$F$196&amp;'Detail inputs'!$G$3:$G$196&amp;'Detail inputs'!$H$3:$H$196,0),MATCH(I$4,'Detail inputs'!$B$3:$K$3,0)),0)*SUM(I22:I27), 2)</f>
        <v>4.7</v>
      </c>
      <c r="J28" s="172">
        <f t="shared" si="18"/>
        <v>6.298</v>
      </c>
      <c r="K28" s="191">
        <f>IFERROR(J28/J29,"")</f>
        <v>5.3035432182351613E-2</v>
      </c>
      <c r="L28" s="191"/>
      <c r="M28" s="191">
        <f t="shared" si="17"/>
        <v>0.24893617021276593</v>
      </c>
      <c r="N28" s="188"/>
      <c r="O28" s="172"/>
      <c r="P28" s="172" cm="1">
        <f t="array" ref="P28">ROUND(IFERROR(INDEX('Detail inputs'!$B$3:$K$196,MATCH($B28&amp;$C28&amp;$E28&amp;$G28&amp;P$5,'Detail inputs'!$B$3:$B$196&amp;'Detail inputs'!$D$3:$D$196&amp;'Detail inputs'!$F$3:$F$196&amp;'Detail inputs'!$G$3:$G$196&amp;'Detail inputs'!$H$3:$H$196,0),MATCH(P$4,'Detail inputs'!$B$3:$K$3,0)),0)*SUM(P22:P27), 2)</f>
        <v>5.87</v>
      </c>
      <c r="Q28" s="172">
        <f t="shared" si="19"/>
        <v>7.8658000000000001</v>
      </c>
      <c r="R28" s="191">
        <f>IFERROR(Q28/Q29,"")</f>
        <v>5.1252946826159086E-2</v>
      </c>
    </row>
    <row r="29" spans="2:18" outlineLevel="1" x14ac:dyDescent="0.25">
      <c r="B29" s="3" t="str">
        <f t="shared" si="16"/>
        <v>Ausgrid</v>
      </c>
      <c r="C29" s="3" t="str">
        <f t="shared" si="14"/>
        <v>Residential</v>
      </c>
      <c r="D29" s="3" t="str">
        <f t="shared" si="15"/>
        <v>with CL</v>
      </c>
      <c r="E29" s="3" t="s">
        <v>16</v>
      </c>
      <c r="F29" s="175">
        <f t="array" ref="F29">IFERROR(INDEX(Usage!$B$5:$P$18,MATCH($B29,Usage!$B$5:$B$18,0),MATCH($C29&amp;$D29&amp;$E29,Usage!$B$5:$S$5&amp;Usage!$B$6:$S$6&amp;Usage!$B$7:$S$7,0)),0)</f>
        <v>1340</v>
      </c>
      <c r="G29" s="3" t="s">
        <v>61</v>
      </c>
      <c r="H29" s="172"/>
      <c r="I29" s="172">
        <f t="array" ref="I29">INDEX('Key inputs'!$B$17:$N$41,MATCH($B29&amp;$C29&amp;$E29,'Key inputs'!$B$17:$B$41&amp;'Key inputs'!$C$17:$C$41&amp;'Key inputs'!$D$17:$D$41,0),MATCH($A$2&amp;I$4,'Key inputs'!$B$18:$N$18&amp;'Key inputs'!$B$19:$N$19,0))</f>
        <v>88.62</v>
      </c>
      <c r="J29" s="172">
        <f t="shared" si="18"/>
        <v>118.7508</v>
      </c>
      <c r="K29" s="192"/>
      <c r="L29" s="199"/>
      <c r="M29" s="192">
        <f t="shared" si="17"/>
        <v>0.29237192507334697</v>
      </c>
      <c r="N29" s="197"/>
      <c r="O29" s="172"/>
      <c r="P29" s="172">
        <f t="array" ref="P29">INDEX('Key inputs'!$B$17:$N$41,MATCH($B29&amp;$C29&amp;$E29,'Key inputs'!$B$17:$B$41&amp;'Key inputs'!$C$17:$C$41&amp;'Key inputs'!$D$17:$D$41,0),MATCH($A$2&amp;P$4,'Key inputs'!$B$18:$N$18&amp;'Key inputs'!$B$19:$N$19,0))</f>
        <v>114.53</v>
      </c>
      <c r="Q29" s="172">
        <f t="shared" si="19"/>
        <v>153.47020000000001</v>
      </c>
      <c r="R29" s="192"/>
    </row>
    <row r="30" spans="2:18" outlineLevel="1" x14ac:dyDescent="0.25">
      <c r="B30" s="3" t="str">
        <f t="shared" si="16"/>
        <v>Ausgrid</v>
      </c>
      <c r="C30" s="3" t="str">
        <f t="shared" si="14"/>
        <v>Residential</v>
      </c>
      <c r="D30" s="3" t="str">
        <f t="shared" si="15"/>
        <v>with CL</v>
      </c>
      <c r="E30" s="3" t="s">
        <v>17</v>
      </c>
      <c r="F30" s="175">
        <f t="array" ref="F30">IFERROR(INDEX(Usage!$B$5:$P$18,MATCH($B30,Usage!$B$5:$B$18,0),MATCH($C30&amp;$D30&amp;$E30,Usage!$B$5:$S$5&amp;Usage!$B$6:$S$6&amp;Usage!$B$7:$S$7,0)),0)</f>
        <v>660</v>
      </c>
      <c r="G30" s="3" t="s">
        <v>76</v>
      </c>
      <c r="H30" s="172"/>
      <c r="I30" s="172">
        <f t="array" ref="I30">IFERROR(INDEX('Detail inputs'!$B$3:$K$196,MATCH($B30&amp;$C30&amp;$E30&amp;$G30&amp;I$5,'Detail inputs'!$B$3:$B$196&amp;'Detail inputs'!$D$3:$D$196&amp;'Detail inputs'!$F$3:$F$196&amp;'Detail inputs'!$G$3:$G$196&amp;'Detail inputs'!$H$3:$H$196,0),MATCH(I$4,'Detail inputs'!$B$3:$K$3,0)),0)</f>
        <v>78.540000000000006</v>
      </c>
      <c r="J30" s="172">
        <f>IF(AND(H30="",I30=""),"",H30+I30*$F30/1000)</f>
        <v>51.836400000000005</v>
      </c>
      <c r="K30" s="192">
        <f>IFERROR(J30/J37,"")</f>
        <v>0.90006876002750402</v>
      </c>
      <c r="L30" s="192"/>
      <c r="M30" s="192">
        <f t="shared" si="17"/>
        <v>0.25770308123249297</v>
      </c>
      <c r="N30" s="189"/>
      <c r="O30" s="172"/>
      <c r="P30" s="172">
        <f t="array" ref="P30">IFERROR(INDEX('Detail inputs'!$B$3:$K$196,MATCH($B30&amp;$C30&amp;$E30&amp;$G30&amp;P$5,'Detail inputs'!$B$3:$B$196&amp;'Detail inputs'!$D$3:$D$196&amp;'Detail inputs'!$F$3:$F$196&amp;'Detail inputs'!$G$3:$G$196&amp;'Detail inputs'!$H$3:$H$196,0),MATCH(P$4,'Detail inputs'!$B$3:$K$3,0)),0)</f>
        <v>98.78</v>
      </c>
      <c r="Q30" s="172">
        <f>IF(AND(O30="",P30=""),"",O30+P30*$F30/1000)</f>
        <v>65.194800000000001</v>
      </c>
      <c r="R30" s="192">
        <f>IFERROR(Q30/Q37,"")</f>
        <v>0.88854906899343356</v>
      </c>
    </row>
    <row r="31" spans="2:18" outlineLevel="1" x14ac:dyDescent="0.25">
      <c r="B31" s="3" t="str">
        <f t="shared" si="16"/>
        <v>Ausgrid</v>
      </c>
      <c r="C31" s="3" t="str">
        <f t="shared" si="14"/>
        <v>Residential</v>
      </c>
      <c r="D31" s="3" t="str">
        <f t="shared" si="15"/>
        <v>with CL</v>
      </c>
      <c r="E31" s="3" t="s">
        <v>17</v>
      </c>
      <c r="F31" s="175">
        <f t="array" ref="F31">IFERROR(INDEX(Usage!$B$5:$P$18,MATCH($B31,Usage!$B$5:$B$18,0),MATCH($C31&amp;$D31&amp;$E31,Usage!$B$5:$S$5&amp;Usage!$B$6:$S$6&amp;Usage!$B$7:$S$7,0)),0)</f>
        <v>660</v>
      </c>
      <c r="G31" s="3" t="s">
        <v>77</v>
      </c>
      <c r="H31" s="172"/>
      <c r="I31" s="172">
        <f t="array" ref="I31">IFERROR(INDEX('Detail inputs'!$B$3:$K$196,MATCH($B31&amp;$G31&amp;I$5,'Detail inputs'!$B$3:$B$196&amp;'Detail inputs'!$G$3:$G$196&amp;'Detail inputs'!$H$3:$H$196,0),MATCH(I$4,'Detail inputs'!$B$3:$K$3,0)),0)</f>
        <v>0.34</v>
      </c>
      <c r="J31" s="172">
        <f t="shared" ref="J31:J37" si="23">IF(AND(H31="",I31=""),"",H31+I31*$F31/1000)</f>
        <v>0.22440000000000002</v>
      </c>
      <c r="K31" s="192">
        <f>IFERROR(J31/J37,"")</f>
        <v>3.8964015585606234E-3</v>
      </c>
      <c r="L31" s="192"/>
      <c r="M31" s="192">
        <f t="shared" si="17"/>
        <v>0.23529411764705865</v>
      </c>
      <c r="N31" s="189"/>
      <c r="O31" s="172"/>
      <c r="P31" s="172">
        <f t="array" ref="P31">IFERROR(INDEX('Detail inputs'!$B$3:$K$196,MATCH($B31&amp;$G31&amp;P$5,'Detail inputs'!$B$3:$B$196&amp;'Detail inputs'!$G$3:$G$196&amp;'Detail inputs'!$H$3:$H$196,0),MATCH(P$4,'Detail inputs'!$B$3:$K$3,0)),0)</f>
        <v>0.42</v>
      </c>
      <c r="Q31" s="172">
        <f t="shared" ref="Q31:Q37" si="24">IF(AND(O31="",P31=""),"",O31+P31*$F31/1000)</f>
        <v>0.2772</v>
      </c>
      <c r="R31" s="192">
        <f>IFERROR(Q31/Q37,"")</f>
        <v>3.7779976612395435E-3</v>
      </c>
    </row>
    <row r="32" spans="2:18" outlineLevel="1" x14ac:dyDescent="0.25">
      <c r="B32" s="3" t="str">
        <f t="shared" si="16"/>
        <v>Ausgrid</v>
      </c>
      <c r="C32" s="3" t="str">
        <f t="shared" si="14"/>
        <v>Residential</v>
      </c>
      <c r="D32" s="3" t="str">
        <f t="shared" si="15"/>
        <v>with CL</v>
      </c>
      <c r="E32" s="3" t="s">
        <v>17</v>
      </c>
      <c r="F32" s="175">
        <f t="array" ref="F32">IFERROR(INDEX(Usage!$B$5:$P$18,MATCH($B32,Usage!$B$5:$B$18,0),MATCH($C32&amp;$D32&amp;$E32,Usage!$B$5:$S$5&amp;Usage!$B$6:$S$6&amp;Usage!$B$7:$S$7,0)),0)</f>
        <v>660</v>
      </c>
      <c r="G32" s="3" t="s">
        <v>85</v>
      </c>
      <c r="H32" s="172"/>
      <c r="I32" s="172">
        <f t="array" ref="I32">IFERROR(INDEX('Detail inputs'!$B$3:$K$196,MATCH($B32&amp;$G32&amp;I$5,'Detail inputs'!$B$3:$B$196&amp;'Detail inputs'!$G$3:$G$196&amp;'Detail inputs'!$H$3:$H$196,0),MATCH(I$4,'Detail inputs'!$B$3:$K$3,0)),0)</f>
        <v>1.1000000000000001</v>
      </c>
      <c r="J32" s="172">
        <f t="shared" si="23"/>
        <v>0.72600000000000009</v>
      </c>
      <c r="K32" s="192">
        <f>IFERROR(J32/J37,"")</f>
        <v>1.2606005042402018E-2</v>
      </c>
      <c r="L32" s="192"/>
      <c r="M32" s="192">
        <f t="shared" si="17"/>
        <v>4.5454545454545192E-2</v>
      </c>
      <c r="N32" s="189"/>
      <c r="O32" s="172"/>
      <c r="P32" s="172">
        <f t="array" ref="P32">IFERROR(INDEX('Detail inputs'!$B$3:$K$196,MATCH($B32&amp;$G32&amp;P$5,'Detail inputs'!$B$3:$B$196&amp;'Detail inputs'!$G$3:$G$196&amp;'Detail inputs'!$H$3:$H$196,0),MATCH(P$4,'Detail inputs'!$B$3:$K$3,0)),0)</f>
        <v>1.1499999999999999</v>
      </c>
      <c r="Q32" s="172">
        <f t="shared" si="24"/>
        <v>0.7589999999999999</v>
      </c>
      <c r="R32" s="192">
        <f>IFERROR(Q32/Q37,"")</f>
        <v>1.0344517405774939E-2</v>
      </c>
    </row>
    <row r="33" spans="2:18" outlineLevel="1" x14ac:dyDescent="0.25">
      <c r="B33" s="3" t="str">
        <f t="shared" si="16"/>
        <v>Ausgrid</v>
      </c>
      <c r="C33" s="3" t="str">
        <f t="shared" si="14"/>
        <v>Residential</v>
      </c>
      <c r="D33" s="3" t="str">
        <f t="shared" si="15"/>
        <v>with CL</v>
      </c>
      <c r="E33" s="3" t="s">
        <v>17</v>
      </c>
      <c r="F33" s="175">
        <f t="array" ref="F33">IFERROR(INDEX(Usage!$B$5:$P$18,MATCH($B33,Usage!$B$5:$B$18,0),MATCH($C33&amp;$D33&amp;$E33,Usage!$B$5:$S$5&amp;Usage!$B$6:$S$6&amp;Usage!$B$7:$S$7,0)),0)</f>
        <v>660</v>
      </c>
      <c r="G33" s="3" t="s">
        <v>78</v>
      </c>
      <c r="H33" s="172"/>
      <c r="I33" s="172">
        <f t="array" ref="I33">IFERROR(INDEX('Detail inputs'!$B$3:$K$196,MATCH($B33&amp;$G33&amp;I$5,'Detail inputs'!$B$3:$B$196&amp;'Detail inputs'!$G$3:$G$196&amp;'Detail inputs'!$H$3:$H$196,0),MATCH(I$4,'Detail inputs'!$B$3:$K$3,0)),0)</f>
        <v>0</v>
      </c>
      <c r="J33" s="172">
        <f t="shared" si="23"/>
        <v>0</v>
      </c>
      <c r="K33" s="192">
        <f>IFERROR(J33/J37,"")</f>
        <v>0</v>
      </c>
      <c r="L33" s="192"/>
      <c r="M33" s="192" t="str">
        <f t="shared" si="17"/>
        <v/>
      </c>
      <c r="N33" s="189"/>
      <c r="O33" s="172"/>
      <c r="P33" s="172">
        <f t="array" ref="P33">IFERROR(INDEX('Detail inputs'!$B$3:$K$196,MATCH($B33&amp;$G33&amp;P$5,'Detail inputs'!$B$3:$B$196&amp;'Detail inputs'!$G$3:$G$196&amp;'Detail inputs'!$H$3:$H$196,0),MATCH(P$4,'Detail inputs'!$B$3:$K$3,0)),0)</f>
        <v>0</v>
      </c>
      <c r="Q33" s="172">
        <f t="shared" si="24"/>
        <v>0</v>
      </c>
      <c r="R33" s="192">
        <f>IFERROR(Q33/Q37,"")</f>
        <v>0</v>
      </c>
    </row>
    <row r="34" spans="2:18" outlineLevel="1" x14ac:dyDescent="0.25">
      <c r="B34" s="3" t="str">
        <f t="shared" si="16"/>
        <v>Ausgrid</v>
      </c>
      <c r="C34" s="3" t="str">
        <f t="shared" si="14"/>
        <v>Residential</v>
      </c>
      <c r="D34" s="3" t="str">
        <f t="shared" si="15"/>
        <v>with CL</v>
      </c>
      <c r="E34" s="3" t="s">
        <v>17</v>
      </c>
      <c r="F34" s="175">
        <f t="array" ref="F34">IFERROR(INDEX(Usage!$B$5:$P$18,MATCH($B34,Usage!$B$5:$B$18,0),MATCH($C34&amp;$D34&amp;$E34,Usage!$B$5:$S$5&amp;Usage!$B$6:$S$6&amp;Usage!$B$7:$S$7,0)),0)</f>
        <v>660</v>
      </c>
      <c r="G34" s="3" t="str">
        <f>+G13</f>
        <v>June 2022 Event Cost</v>
      </c>
      <c r="H34" s="172"/>
      <c r="I34" s="172">
        <f t="array" ref="I34">IFERROR(INDEX('Detail inputs'!$B$3:$K$196,MATCH($B34&amp;$G34&amp;I$5,'Detail inputs'!$B$3:$B$196&amp;'Detail inputs'!$G$3:$G$196&amp;'Detail inputs'!$H$3:$H$196,0),MATCH(I$4,'Detail inputs'!$B$3:$K$3,0)),0)</f>
        <v>0</v>
      </c>
      <c r="J34" s="172">
        <f t="shared" ref="J34" si="25">IF(AND(H34="",I34=""),"",H34+I34*$F34/1000)</f>
        <v>0</v>
      </c>
      <c r="K34" s="192">
        <f>IFERROR(J34/J38,"")</f>
        <v>0</v>
      </c>
      <c r="L34" s="192"/>
      <c r="M34" s="192" t="str">
        <f t="shared" ref="M34" si="26">IF(OR(J34=0,Q34=""),"",Q34/J34-1)</f>
        <v/>
      </c>
      <c r="N34" s="189"/>
      <c r="O34" s="172"/>
      <c r="P34" s="172">
        <f t="array" ref="P34">IFERROR(INDEX('Detail inputs'!$B$3:$K$196,MATCH($B34&amp;$G34&amp;P$5,'Detail inputs'!$B$3:$B$196&amp;'Detail inputs'!$G$3:$G$196&amp;'Detail inputs'!$H$3:$H$196,0),MATCH(P$4,'Detail inputs'!$B$3:$K$3,0)),0)</f>
        <v>2.0499999999999998</v>
      </c>
      <c r="Q34" s="172">
        <f t="shared" ref="Q34" si="27">IF(AND(O34="",P34=""),"",O34+P34*$F34/1000)</f>
        <v>1.3529999999999998</v>
      </c>
      <c r="R34" s="192">
        <f>IFERROR(Q34/Q38,"")</f>
        <v>1.2121631297424872E-3</v>
      </c>
    </row>
    <row r="35" spans="2:18" outlineLevel="1" x14ac:dyDescent="0.25">
      <c r="B35" s="3" t="str">
        <f t="shared" si="16"/>
        <v>Ausgrid</v>
      </c>
      <c r="C35" s="3" t="str">
        <f t="shared" si="14"/>
        <v>Residential</v>
      </c>
      <c r="D35" s="3" t="str">
        <f t="shared" si="15"/>
        <v>with CL</v>
      </c>
      <c r="E35" s="3" t="s">
        <v>17</v>
      </c>
      <c r="F35" s="175">
        <f t="array" ref="F35">IFERROR(INDEX(Usage!$B$5:$P$18,MATCH($B35,Usage!$B$5:$B$18,0),MATCH($C35&amp;$D35&amp;$E35,Usage!$B$5:$S$5&amp;Usage!$B$6:$S$6&amp;Usage!$B$7:$S$7,0)),0)</f>
        <v>660</v>
      </c>
      <c r="G35" s="3" t="s">
        <v>155</v>
      </c>
      <c r="H35" s="172"/>
      <c r="I35" s="172">
        <f t="array" ref="I35">IFERROR(INDEX('Detail inputs'!$B$3:$K$196,MATCH($B35&amp;$G35&amp;I$5,'Detail inputs'!$B$3:$B$196&amp;'Detail inputs'!$G$3:$G$196&amp;'Detail inputs'!$H$3:$H$196,0),MATCH(I$4,'Detail inputs'!$B$3:$K$3,0)),0)</f>
        <v>2.65</v>
      </c>
      <c r="J35" s="172">
        <f t="shared" si="23"/>
        <v>1.7490000000000001</v>
      </c>
      <c r="K35" s="192">
        <f>IFERROR(J35/J37,"")</f>
        <v>3.0369012147604856E-2</v>
      </c>
      <c r="L35" s="192"/>
      <c r="M35" s="192">
        <f t="shared" si="17"/>
        <v>0.15849056603773559</v>
      </c>
      <c r="N35" s="189"/>
      <c r="O35" s="172"/>
      <c r="P35" s="172">
        <f t="array" ref="P35">IFERROR(INDEX('Detail inputs'!$B$3:$K$196,MATCH($B35&amp;$G35&amp;P$5,'Detail inputs'!$B$3:$B$196&amp;'Detail inputs'!$G$3:$G$196&amp;'Detail inputs'!$H$3:$H$196,0),MATCH(P$4,'Detail inputs'!$B$3:$K$3,0)),0)</f>
        <v>3.07</v>
      </c>
      <c r="Q35" s="172">
        <f t="shared" si="24"/>
        <v>2.0261999999999998</v>
      </c>
      <c r="R35" s="192">
        <f>IFERROR(Q35/Q37,"")</f>
        <v>2.7615363857155708E-2</v>
      </c>
    </row>
    <row r="36" spans="2:18" outlineLevel="1" x14ac:dyDescent="0.25">
      <c r="B36" s="3" t="str">
        <f t="shared" si="16"/>
        <v>Ausgrid</v>
      </c>
      <c r="C36" s="3" t="str">
        <f t="shared" si="14"/>
        <v>Residential</v>
      </c>
      <c r="D36" s="3" t="str">
        <f t="shared" si="15"/>
        <v>with CL</v>
      </c>
      <c r="E36" s="3" t="s">
        <v>17</v>
      </c>
      <c r="F36" s="175">
        <f t="array" ref="F36">IFERROR(INDEX(Usage!$B$5:$P$18,MATCH($B36,Usage!$B$5:$B$18,0),MATCH($C36&amp;$D36&amp;$E36,Usage!$B$5:$S$5&amp;Usage!$B$6:$S$6&amp;Usage!$B$7:$S$7,0)),0)</f>
        <v>660</v>
      </c>
      <c r="G36" s="3" t="s">
        <v>79</v>
      </c>
      <c r="H36" s="172"/>
      <c r="I36" s="172" cm="1">
        <f t="array" ref="I36">ROUND(IFERROR(INDEX('Detail inputs'!$B$3:$K$196,MATCH($B36&amp;$C36&amp;$E36&amp;$G36&amp;I$5,'Detail inputs'!$B$3:$B$196&amp;'Detail inputs'!$D$3:$D$196&amp;'Detail inputs'!$F$3:$F$196&amp;'Detail inputs'!$G$3:$G$196&amp;'Detail inputs'!$H$3:$H$196,0),MATCH(I$4,'Detail inputs'!$B$3:$K$3,0)),0)*SUM(I30:I35), 2)</f>
        <v>4.63</v>
      </c>
      <c r="J36" s="172">
        <f t="shared" si="23"/>
        <v>3.0557999999999996</v>
      </c>
      <c r="K36" s="192">
        <f>IFERROR(J36/J37,"")</f>
        <v>5.305982122392848E-2</v>
      </c>
      <c r="L36" s="192"/>
      <c r="M36" s="192">
        <f t="shared" si="17"/>
        <v>0.23110151187904981</v>
      </c>
      <c r="N36" s="189"/>
      <c r="O36" s="172"/>
      <c r="P36" s="172" cm="1">
        <f t="array" ref="P36">ROUND(IFERROR(INDEX('Detail inputs'!$B$3:$K$196,MATCH($B36&amp;$C36&amp;$E36&amp;$G36&amp;P$5,'Detail inputs'!$B$3:$B$196&amp;'Detail inputs'!$D$3:$D$196&amp;'Detail inputs'!$F$3:$F$196&amp;'Detail inputs'!$G$3:$G$196&amp;'Detail inputs'!$H$3:$H$196,0),MATCH(P$4,'Detail inputs'!$B$3:$K$3,0)),0)*SUM(P30:P35), 2)</f>
        <v>5.7</v>
      </c>
      <c r="Q36" s="172">
        <f t="shared" si="24"/>
        <v>3.762</v>
      </c>
      <c r="R36" s="192">
        <f>IFERROR(Q36/Q37,"")</f>
        <v>5.1272825402536658E-2</v>
      </c>
    </row>
    <row r="37" spans="2:18" outlineLevel="1" x14ac:dyDescent="0.25">
      <c r="B37" s="3" t="str">
        <f t="shared" si="16"/>
        <v>Ausgrid</v>
      </c>
      <c r="C37" s="3" t="str">
        <f t="shared" si="14"/>
        <v>Residential</v>
      </c>
      <c r="D37" s="3" t="str">
        <f t="shared" si="15"/>
        <v>with CL</v>
      </c>
      <c r="E37" s="3" t="s">
        <v>17</v>
      </c>
      <c r="F37" s="175">
        <f t="array" ref="F37">IFERROR(INDEX(Usage!$B$5:$P$18,MATCH($B37,Usage!$B$5:$B$18,0),MATCH($C37&amp;$D37&amp;$E37,Usage!$B$5:$S$5&amp;Usage!$B$6:$S$6&amp;Usage!$B$7:$S$7,0)),0)</f>
        <v>660</v>
      </c>
      <c r="G37" s="3" t="s">
        <v>61</v>
      </c>
      <c r="H37" s="172"/>
      <c r="I37" s="172">
        <f t="array" ref="I37">INDEX('Key inputs'!$B$17:$N$41,MATCH($B37&amp;$C37&amp;$E37,'Key inputs'!$B$17:$B$41&amp;'Key inputs'!$C$17:$C$41&amp;'Key inputs'!$D$17:$D$41,0),MATCH($A$2&amp;I$4,'Key inputs'!$B$18:$N$18&amp;'Key inputs'!$B$19:$N$19,0))</f>
        <v>87.26</v>
      </c>
      <c r="J37" s="172">
        <f t="shared" si="23"/>
        <v>57.591600000000007</v>
      </c>
      <c r="K37" s="192"/>
      <c r="L37" s="199"/>
      <c r="M37" s="192">
        <f t="shared" si="17"/>
        <v>0.27400870960348356</v>
      </c>
      <c r="N37" s="197"/>
      <c r="O37" s="172"/>
      <c r="P37" s="172">
        <f t="array" ref="P37">INDEX('Key inputs'!$B$17:$N$41,MATCH($B37&amp;$C37&amp;$E37,'Key inputs'!$B$17:$B$41&amp;'Key inputs'!$C$17:$C$41&amp;'Key inputs'!$D$17:$D$41,0),MATCH($A$2&amp;P$4,'Key inputs'!$B$18:$N$18&amp;'Key inputs'!$B$19:$N$19,0))</f>
        <v>111.17</v>
      </c>
      <c r="Q37" s="172">
        <f t="shared" si="24"/>
        <v>73.372199999999992</v>
      </c>
      <c r="R37" s="192"/>
    </row>
    <row r="38" spans="2:18" x14ac:dyDescent="0.25">
      <c r="B38" s="3" t="str">
        <f t="shared" si="16"/>
        <v>Ausgrid</v>
      </c>
      <c r="C38" s="3" t="str">
        <f t="shared" si="14"/>
        <v>Residential</v>
      </c>
      <c r="D38" s="3" t="str">
        <f t="shared" si="15"/>
        <v>with CL</v>
      </c>
      <c r="E38" s="3" t="s">
        <v>61</v>
      </c>
      <c r="F38" s="175">
        <f t="array" ref="F38">IFERROR(INDEX(Usage!$B$5:$P$18,MATCH($B38,Usage!$B$5:$B$18,0),MATCH($C38&amp;$D38&amp;$E38,Usage!$B$5:$S$5&amp;Usage!$B$6:$S$6&amp;Usage!$B$7:$S$7,0)),0)</f>
        <v>6800</v>
      </c>
      <c r="G38" s="3" t="s">
        <v>61</v>
      </c>
      <c r="H38" s="172"/>
      <c r="I38" s="172">
        <f>I21+I29+I37</f>
        <v>298.11</v>
      </c>
      <c r="J38" s="172">
        <f>J21+J29+J37</f>
        <v>763.04639999999995</v>
      </c>
      <c r="K38" s="192"/>
      <c r="L38" s="199"/>
      <c r="M38" s="192">
        <f t="shared" si="17"/>
        <v>0.46280278630500082</v>
      </c>
      <c r="N38" s="197"/>
      <c r="O38" s="172"/>
      <c r="P38" s="172">
        <f>P21+P29+P37</f>
        <v>410.98</v>
      </c>
      <c r="Q38" s="172">
        <f>Q21+Q29+Q37</f>
        <v>1116.1864</v>
      </c>
      <c r="R38" s="192"/>
    </row>
    <row r="39" spans="2:18" outlineLevel="1" x14ac:dyDescent="0.25">
      <c r="B39" s="3" t="str">
        <f t="shared" si="16"/>
        <v>Ausgrid</v>
      </c>
      <c r="C39" s="3" t="str">
        <f t="shared" si="14"/>
        <v>Residential</v>
      </c>
      <c r="D39" s="3" t="str">
        <f t="shared" si="15"/>
        <v>with CL</v>
      </c>
      <c r="F39" s="175"/>
      <c r="G39" s="3" t="s">
        <v>41</v>
      </c>
      <c r="H39" s="172"/>
      <c r="I39" s="172"/>
      <c r="J39" s="172">
        <f>J38*GST</f>
        <v>76.304639999999992</v>
      </c>
      <c r="K39" s="192"/>
      <c r="L39" s="199"/>
      <c r="M39" s="192"/>
      <c r="N39" s="197"/>
      <c r="O39" s="172"/>
      <c r="P39" s="172"/>
      <c r="Q39" s="172">
        <f>Q38*GST</f>
        <v>111.61864000000001</v>
      </c>
      <c r="R39" s="193"/>
    </row>
    <row r="40" spans="2:18" x14ac:dyDescent="0.25">
      <c r="B40" s="3" t="str">
        <f t="shared" si="16"/>
        <v>Ausgrid</v>
      </c>
      <c r="C40" s="3" t="str">
        <f t="shared" si="14"/>
        <v>Residential</v>
      </c>
      <c r="D40" s="3" t="str">
        <f t="shared" si="15"/>
        <v>with CL</v>
      </c>
      <c r="F40" s="175"/>
      <c r="G40" s="5" t="s">
        <v>87</v>
      </c>
      <c r="H40" s="174"/>
      <c r="I40" s="174"/>
      <c r="J40" s="174">
        <f>SUM(J38:J39)</f>
        <v>839.3510399999999</v>
      </c>
      <c r="K40" s="193"/>
      <c r="L40" s="200"/>
      <c r="M40" s="193">
        <f>IF(OR(J40=0,Q40=""),"",Q40/J40-1)</f>
        <v>0.46280278630500082</v>
      </c>
      <c r="N40" s="198"/>
      <c r="O40" s="174"/>
      <c r="P40" s="174"/>
      <c r="Q40" s="174">
        <f>SUM(Q38:Q39)</f>
        <v>1227.80504</v>
      </c>
      <c r="R40" s="193"/>
    </row>
    <row r="41" spans="2:18" x14ac:dyDescent="0.25">
      <c r="F41" s="175"/>
      <c r="H41" s="172"/>
      <c r="I41" s="172"/>
      <c r="J41" s="172"/>
      <c r="K41" s="191"/>
      <c r="L41" s="199"/>
      <c r="M41" s="191"/>
      <c r="N41" s="197"/>
      <c r="O41" s="172"/>
      <c r="P41" s="172"/>
      <c r="Q41" s="172"/>
      <c r="R41" s="191"/>
    </row>
    <row r="42" spans="2:18" x14ac:dyDescent="0.25">
      <c r="B42" s="5" t="s">
        <v>2</v>
      </c>
      <c r="C42" s="5" t="s">
        <v>15</v>
      </c>
      <c r="D42" s="5" t="s">
        <v>146</v>
      </c>
      <c r="F42" s="175"/>
      <c r="H42" s="172"/>
      <c r="I42" s="172"/>
      <c r="J42" s="172"/>
      <c r="K42" s="191"/>
      <c r="L42" s="199"/>
      <c r="M42" s="191"/>
      <c r="N42" s="197"/>
      <c r="O42" s="172"/>
      <c r="P42" s="172"/>
      <c r="Q42" s="172"/>
      <c r="R42" s="191"/>
    </row>
    <row r="43" spans="2:18" outlineLevel="1" x14ac:dyDescent="0.25">
      <c r="B43" s="3" t="str">
        <f>B42</f>
        <v>Ausgrid</v>
      </c>
      <c r="C43" s="3" t="str">
        <f t="shared" ref="C43:C52" si="28">C42</f>
        <v>Small business</v>
      </c>
      <c r="D43" s="3" t="str">
        <f t="shared" ref="D43:D52" si="29">D42</f>
        <v>without CL</v>
      </c>
      <c r="E43" s="3" t="s">
        <v>22</v>
      </c>
      <c r="F43" s="175">
        <f t="array" ref="F43">IFERROR(INDEX(Usage!$B$5:$P$18,MATCH($B43,Usage!$B$5:$B$18,0),MATCH($C43&amp;$D43&amp;$E43,Usage!$B$5:$S$5&amp;Usage!$B$6:$S$6&amp;Usage!$B$7:$S$7,0)),0)</f>
        <v>10000</v>
      </c>
      <c r="G43" s="3" t="s">
        <v>76</v>
      </c>
      <c r="H43" s="172"/>
      <c r="I43" s="172">
        <f t="array" ref="I43">IFERROR(INDEX('Detail inputs'!$B$3:$K$196,MATCH($B43&amp;$C43&amp;$E43&amp;$G43&amp;I$5,'Detail inputs'!$B$3:$B$196&amp;'Detail inputs'!$D$3:$D$196&amp;'Detail inputs'!$F$3:$F$196&amp;'Detail inputs'!$G$3:$G$196&amp;'Detail inputs'!$H$3:$H$196,0),MATCH(I$4,'Detail inputs'!$B$3:$K$3,0)),0)</f>
        <v>111.99</v>
      </c>
      <c r="J43" s="172">
        <f>IF(AND(H43="",I43=""),"",H43+I43*$F43/1000)</f>
        <v>1119.9000000000001</v>
      </c>
      <c r="K43" s="191">
        <f>IFERROR(J43/J50,"")</f>
        <v>0.91622351304916971</v>
      </c>
      <c r="L43" s="191"/>
      <c r="M43" s="191">
        <f t="shared" ref="M43:M50" si="30">IF(OR(J43=0,Q43=""),"",Q43/J43-1)</f>
        <v>0.51442093044021786</v>
      </c>
      <c r="N43" s="188"/>
      <c r="O43" s="172"/>
      <c r="P43" s="172">
        <f t="array" ref="P43">IFERROR(INDEX('Detail inputs'!$B$3:$K$196,MATCH($B43&amp;$C43&amp;$E43&amp;$G43&amp;P$5,'Detail inputs'!$B$3:$B$196&amp;'Detail inputs'!$D$3:$D$196&amp;'Detail inputs'!$F$3:$F$196&amp;'Detail inputs'!$G$3:$G$196&amp;'Detail inputs'!$H$3:$H$196,0),MATCH(P$4,'Detail inputs'!$B$3:$K$3,0)),0)</f>
        <v>169.6</v>
      </c>
      <c r="Q43" s="172">
        <f>IF(AND(O43="",P43=""),"",O43+P43*$F43/1000)</f>
        <v>1696</v>
      </c>
      <c r="R43" s="191">
        <f>IFERROR(Q43/Q50,"")</f>
        <v>0.91537132987910197</v>
      </c>
    </row>
    <row r="44" spans="2:18" outlineLevel="1" x14ac:dyDescent="0.25">
      <c r="B44" s="3" t="str">
        <f t="shared" ref="B44:B52" si="31">B43</f>
        <v>Ausgrid</v>
      </c>
      <c r="C44" s="3" t="str">
        <f t="shared" si="28"/>
        <v>Small business</v>
      </c>
      <c r="D44" s="3" t="str">
        <f t="shared" si="29"/>
        <v>without CL</v>
      </c>
      <c r="E44" s="3" t="s">
        <v>22</v>
      </c>
      <c r="F44" s="175">
        <f t="array" ref="F44">IFERROR(INDEX(Usage!$B$5:$P$18,MATCH($B44,Usage!$B$5:$B$18,0),MATCH($C44&amp;$D44&amp;$E44,Usage!$B$5:$S$5&amp;Usage!$B$6:$S$6&amp;Usage!$B$7:$S$7,0)),0)</f>
        <v>10000</v>
      </c>
      <c r="G44" s="3" t="s">
        <v>77</v>
      </c>
      <c r="H44" s="172"/>
      <c r="I44" s="172">
        <f t="array" ref="I44">IFERROR(INDEX('Detail inputs'!$B$3:$K$196,MATCH($B44&amp;$G44&amp;I$5,'Detail inputs'!$B$3:$B$196&amp;'Detail inputs'!$G$3:$G$196&amp;'Detail inputs'!$H$3:$H$196,0),MATCH(I$4,'Detail inputs'!$B$3:$K$3,0)),0)</f>
        <v>0.34</v>
      </c>
      <c r="J44" s="172">
        <f t="shared" ref="J44:J50" si="32">IF(AND(H44="",I44=""),"",H44+I44*$F44/1000)</f>
        <v>3.4000000000000004</v>
      </c>
      <c r="K44" s="191">
        <f>IFERROR(J44/J50,"")</f>
        <v>2.781641168289291E-3</v>
      </c>
      <c r="L44" s="191"/>
      <c r="M44" s="191">
        <f t="shared" si="30"/>
        <v>0.23529411764705865</v>
      </c>
      <c r="N44" s="188"/>
      <c r="O44" s="172"/>
      <c r="P44" s="172">
        <f t="array" ref="P44">IFERROR(INDEX('Detail inputs'!$B$3:$K$196,MATCH($B44&amp;$G44&amp;P$5,'Detail inputs'!$B$3:$B$196&amp;'Detail inputs'!$G$3:$G$196&amp;'Detail inputs'!$H$3:$H$196,0),MATCH(P$4,'Detail inputs'!$B$3:$K$3,0)),0)</f>
        <v>0.42</v>
      </c>
      <c r="Q44" s="172">
        <f t="shared" ref="Q44:Q50" si="33">IF(AND(O44="",P44=""),"",O44+P44*$F44/1000)</f>
        <v>4.2</v>
      </c>
      <c r="R44" s="191">
        <f>IFERROR(Q44/Q50,"")</f>
        <v>2.2668393782383422E-3</v>
      </c>
    </row>
    <row r="45" spans="2:18" outlineLevel="1" x14ac:dyDescent="0.25">
      <c r="B45" s="3" t="str">
        <f t="shared" si="31"/>
        <v>Ausgrid</v>
      </c>
      <c r="C45" s="3" t="str">
        <f t="shared" si="28"/>
        <v>Small business</v>
      </c>
      <c r="D45" s="3" t="str">
        <f t="shared" si="29"/>
        <v>without CL</v>
      </c>
      <c r="E45" s="3" t="s">
        <v>22</v>
      </c>
      <c r="F45" s="175">
        <f t="array" ref="F45">IFERROR(INDEX(Usage!$B$5:$P$18,MATCH($B45,Usage!$B$5:$B$18,0),MATCH($C45&amp;$D45&amp;$E45,Usage!$B$5:$S$5&amp;Usage!$B$6:$S$6&amp;Usage!$B$7:$S$7,0)),0)</f>
        <v>10000</v>
      </c>
      <c r="G45" s="3" t="s">
        <v>85</v>
      </c>
      <c r="H45" s="172"/>
      <c r="I45" s="172">
        <f t="array" ref="I45">IFERROR(INDEX('Detail inputs'!$B$3:$K$196,MATCH($B45&amp;$G45&amp;I$5,'Detail inputs'!$B$3:$B$196&amp;'Detail inputs'!$G$3:$G$196&amp;'Detail inputs'!$H$3:$H$196,0),MATCH(I$4,'Detail inputs'!$B$3:$K$3,0)),0)</f>
        <v>1.1000000000000001</v>
      </c>
      <c r="J45" s="172">
        <f t="shared" si="32"/>
        <v>11</v>
      </c>
      <c r="K45" s="191">
        <f>IFERROR(J45/J50,"")</f>
        <v>8.9994273091712346E-3</v>
      </c>
      <c r="L45" s="191"/>
      <c r="M45" s="191">
        <f t="shared" si="30"/>
        <v>4.5454545454545414E-2</v>
      </c>
      <c r="N45" s="188"/>
      <c r="O45" s="172"/>
      <c r="P45" s="172">
        <f t="array" ref="P45">IFERROR(INDEX('Detail inputs'!$B$3:$K$196,MATCH($B45&amp;$G45&amp;P$5,'Detail inputs'!$B$3:$B$196&amp;'Detail inputs'!$G$3:$G$196&amp;'Detail inputs'!$H$3:$H$196,0),MATCH(P$4,'Detail inputs'!$B$3:$K$3,0)),0)</f>
        <v>1.1499999999999999</v>
      </c>
      <c r="Q45" s="172">
        <f t="shared" si="33"/>
        <v>11.5</v>
      </c>
      <c r="R45" s="191">
        <f>IFERROR(Q45/Q50,"")</f>
        <v>6.2068221070811745E-3</v>
      </c>
    </row>
    <row r="46" spans="2:18" outlineLevel="1" x14ac:dyDescent="0.25">
      <c r="B46" s="3" t="str">
        <f t="shared" si="31"/>
        <v>Ausgrid</v>
      </c>
      <c r="C46" s="3" t="str">
        <f t="shared" si="28"/>
        <v>Small business</v>
      </c>
      <c r="D46" s="3" t="str">
        <f t="shared" si="29"/>
        <v>without CL</v>
      </c>
      <c r="E46" s="3" t="s">
        <v>22</v>
      </c>
      <c r="F46" s="175">
        <f t="array" ref="F46">IFERROR(INDEX(Usage!$B$5:$P$18,MATCH($B46,Usage!$B$5:$B$18,0),MATCH($C46&amp;$D46&amp;$E46,Usage!$B$5:$S$5&amp;Usage!$B$6:$S$6&amp;Usage!$B$7:$S$7,0)),0)</f>
        <v>10000</v>
      </c>
      <c r="G46" s="3" t="s">
        <v>78</v>
      </c>
      <c r="H46" s="172"/>
      <c r="I46" s="172">
        <f t="array" ref="I46">IFERROR(INDEX('Detail inputs'!$B$3:$K$196,MATCH($B46&amp;$G46&amp;I$5,'Detail inputs'!$B$3:$B$196&amp;'Detail inputs'!$G$3:$G$196&amp;'Detail inputs'!$H$3:$H$196,0),MATCH(I$4,'Detail inputs'!$B$3:$K$3,0)),0)</f>
        <v>0</v>
      </c>
      <c r="J46" s="172">
        <f t="shared" si="32"/>
        <v>0</v>
      </c>
      <c r="K46" s="191">
        <f>IFERROR(J46/J50,"")</f>
        <v>0</v>
      </c>
      <c r="L46" s="191"/>
      <c r="M46" s="191" t="str">
        <f t="shared" si="30"/>
        <v/>
      </c>
      <c r="N46" s="188"/>
      <c r="O46" s="172"/>
      <c r="P46" s="172">
        <f t="array" ref="P46">IFERROR(INDEX('Detail inputs'!$B$3:$K$196,MATCH($B46&amp;$G46&amp;P$5,'Detail inputs'!$B$3:$B$196&amp;'Detail inputs'!$G$3:$G$196&amp;'Detail inputs'!$H$3:$H$196,0),MATCH(P$4,'Detail inputs'!$B$3:$K$3,0)),0)</f>
        <v>0</v>
      </c>
      <c r="Q46" s="172">
        <f t="shared" si="33"/>
        <v>0</v>
      </c>
      <c r="R46" s="191">
        <f>IFERROR(Q46/Q50,"")</f>
        <v>0</v>
      </c>
    </row>
    <row r="47" spans="2:18" outlineLevel="1" x14ac:dyDescent="0.25">
      <c r="B47" s="3" t="str">
        <f t="shared" si="31"/>
        <v>Ausgrid</v>
      </c>
      <c r="C47" s="3" t="str">
        <f t="shared" si="28"/>
        <v>Small business</v>
      </c>
      <c r="D47" s="3" t="str">
        <f t="shared" si="29"/>
        <v>without CL</v>
      </c>
      <c r="E47" s="3" t="s">
        <v>22</v>
      </c>
      <c r="F47" s="175">
        <f t="array" ref="F47">IFERROR(INDEX(Usage!$B$5:$P$18,MATCH($B47,Usage!$B$5:$B$18,0),MATCH($C47&amp;$D47&amp;$E47,Usage!$B$5:$S$5&amp;Usage!$B$6:$S$6&amp;Usage!$B$7:$S$7,0)),0)</f>
        <v>10000</v>
      </c>
      <c r="G47" s="3" t="str">
        <f>+G34</f>
        <v>June 2022 Event Cost</v>
      </c>
      <c r="H47" s="172"/>
      <c r="I47" s="172">
        <f t="array" ref="I47">IFERROR(INDEX('Detail inputs'!$B$3:$K$196,MATCH($B47&amp;$G47&amp;I$5,'Detail inputs'!$B$3:$B$196&amp;'Detail inputs'!$G$3:$G$196&amp;'Detail inputs'!$H$3:$H$196,0),MATCH(I$4,'Detail inputs'!$B$3:$K$3,0)),0)</f>
        <v>0</v>
      </c>
      <c r="J47" s="172">
        <f t="shared" ref="J47" si="34">IF(AND(H47="",I47=""),"",H47+I47*$F47/1000)</f>
        <v>0</v>
      </c>
      <c r="K47" s="191">
        <f>IFERROR(J47/J51,"")</f>
        <v>0</v>
      </c>
      <c r="L47" s="191"/>
      <c r="M47" s="191" t="str">
        <f t="shared" ref="M47" si="35">IF(OR(J47=0,Q47=""),"",Q47/J47-1)</f>
        <v/>
      </c>
      <c r="N47" s="188"/>
      <c r="O47" s="172"/>
      <c r="P47" s="172">
        <f t="array" ref="P47">IFERROR(INDEX('Detail inputs'!$B$3:$K$196,MATCH($B47&amp;$G47&amp;P$5,'Detail inputs'!$B$3:$B$196&amp;'Detail inputs'!$G$3:$G$196&amp;'Detail inputs'!$H$3:$H$196,0),MATCH(P$4,'Detail inputs'!$B$3:$K$3,0)),0)</f>
        <v>2.0499999999999998</v>
      </c>
      <c r="Q47" s="172">
        <f t="shared" ref="Q47" si="36">IF(AND(O47="",P47=""),"",O47+P47*$F47/1000)</f>
        <v>20.5</v>
      </c>
      <c r="R47" s="191">
        <f>IFERROR(Q47/Q51,"")</f>
        <v>0.1106433506044905</v>
      </c>
    </row>
    <row r="48" spans="2:18" outlineLevel="1" x14ac:dyDescent="0.25">
      <c r="B48" s="3" t="str">
        <f t="shared" si="31"/>
        <v>Ausgrid</v>
      </c>
      <c r="C48" s="3" t="str">
        <f t="shared" si="28"/>
        <v>Small business</v>
      </c>
      <c r="D48" s="3" t="str">
        <f t="shared" si="29"/>
        <v>without CL</v>
      </c>
      <c r="E48" s="3" t="s">
        <v>22</v>
      </c>
      <c r="F48" s="175">
        <f t="array" ref="F48">IFERROR(INDEX(Usage!$B$5:$P$18,MATCH($B48,Usage!$B$5:$B$18,0),MATCH($C48&amp;$D48&amp;$E48,Usage!$B$5:$S$5&amp;Usage!$B$6:$S$6&amp;Usage!$B$7:$S$7,0)),0)</f>
        <v>10000</v>
      </c>
      <c r="G48" s="3" t="s">
        <v>155</v>
      </c>
      <c r="H48" s="172"/>
      <c r="I48" s="172">
        <f t="array" ref="I48">IFERROR(INDEX('Detail inputs'!$B$3:$K$196,MATCH($B48&amp;$G48&amp;I$5,'Detail inputs'!$B$3:$B$196&amp;'Detail inputs'!$G$3:$G$196&amp;'Detail inputs'!$H$3:$H$196,0),MATCH(I$4,'Detail inputs'!$B$3:$K$3,0)),0)</f>
        <v>2.65</v>
      </c>
      <c r="J48" s="172">
        <f t="shared" si="32"/>
        <v>26.5</v>
      </c>
      <c r="K48" s="191">
        <f>IFERROR(J48/J50,"")</f>
        <v>2.1680438517548885E-2</v>
      </c>
      <c r="L48" s="191"/>
      <c r="M48" s="191">
        <f t="shared" si="30"/>
        <v>0.15849056603773581</v>
      </c>
      <c r="N48" s="188"/>
      <c r="O48" s="172"/>
      <c r="P48" s="172">
        <f t="array" ref="P48">IFERROR(INDEX('Detail inputs'!$B$3:$K$196,MATCH($B48&amp;$G48&amp;P$5,'Detail inputs'!$B$3:$B$196&amp;'Detail inputs'!$G$3:$G$196&amp;'Detail inputs'!$H$3:$H$196,0),MATCH(P$4,'Detail inputs'!$B$3:$K$3,0)),0)</f>
        <v>3.07</v>
      </c>
      <c r="Q48" s="172">
        <f t="shared" si="33"/>
        <v>30.7</v>
      </c>
      <c r="R48" s="191">
        <f>IFERROR(Q48/Q50,"")</f>
        <v>1.6569516407599308E-2</v>
      </c>
    </row>
    <row r="49" spans="2:19" outlineLevel="1" x14ac:dyDescent="0.25">
      <c r="B49" s="3" t="str">
        <f t="shared" si="31"/>
        <v>Ausgrid</v>
      </c>
      <c r="C49" s="3" t="str">
        <f t="shared" si="28"/>
        <v>Small business</v>
      </c>
      <c r="D49" s="3" t="str">
        <f t="shared" si="29"/>
        <v>without CL</v>
      </c>
      <c r="E49" s="3" t="s">
        <v>22</v>
      </c>
      <c r="F49" s="175">
        <f t="array" ref="F49">IFERROR(INDEX(Usage!$B$5:$P$18,MATCH($B49,Usage!$B$5:$B$18,0),MATCH($C49&amp;$D49&amp;$E49,Usage!$B$5:$S$5&amp;Usage!$B$6:$S$6&amp;Usage!$B$7:$S$7,0)),0)</f>
        <v>10000</v>
      </c>
      <c r="G49" s="3" t="s">
        <v>79</v>
      </c>
      <c r="H49" s="172"/>
      <c r="I49" s="172" cm="1">
        <f t="array" ref="I49">ROUND(IFERROR(INDEX('Detail inputs'!$B$3:$K$196,MATCH($B49&amp;$C49&amp;$E49&amp;$G49&amp;I$5,'Detail inputs'!$B$3:$B$196&amp;'Detail inputs'!$D$3:$D$196&amp;'Detail inputs'!$F$3:$F$196&amp;'Detail inputs'!$G$3:$G$196&amp;'Detail inputs'!$H$3:$H$196,0),MATCH(I$4,'Detail inputs'!$B$3:$K$3,0)),0)*SUM(I43:I48), 2)</f>
        <v>6.15</v>
      </c>
      <c r="J49" s="172">
        <f t="shared" si="32"/>
        <v>61.5</v>
      </c>
      <c r="K49" s="191">
        <f>IFERROR(J49/J50,"")</f>
        <v>5.0314979955820995E-2</v>
      </c>
      <c r="L49" s="191"/>
      <c r="M49" s="191">
        <f t="shared" si="30"/>
        <v>0.46178861788617898</v>
      </c>
      <c r="N49" s="188"/>
      <c r="O49" s="172"/>
      <c r="P49" s="172" cm="1">
        <f t="array" ref="P49">ROUND(IFERROR(INDEX('Detail inputs'!$B$3:$K$196,MATCH($B49&amp;$C49&amp;$E49&amp;$G49&amp;P$5,'Detail inputs'!$B$3:$B$196&amp;'Detail inputs'!$D$3:$D$196&amp;'Detail inputs'!$F$3:$F$196&amp;'Detail inputs'!$G$3:$G$196&amp;'Detail inputs'!$H$3:$H$196,0),MATCH(P$4,'Detail inputs'!$B$3:$K$3,0)),0)*SUM(P43:P48), 2)</f>
        <v>8.99</v>
      </c>
      <c r="Q49" s="172">
        <f t="shared" si="33"/>
        <v>89.9</v>
      </c>
      <c r="R49" s="191">
        <f>IFERROR(Q49/Q50,"")</f>
        <v>4.8521157167530228E-2</v>
      </c>
      <c r="S49" s="90"/>
    </row>
    <row r="50" spans="2:19" x14ac:dyDescent="0.25">
      <c r="B50" s="3" t="str">
        <f t="shared" si="31"/>
        <v>Ausgrid</v>
      </c>
      <c r="C50" s="3" t="str">
        <f t="shared" si="28"/>
        <v>Small business</v>
      </c>
      <c r="D50" s="3" t="str">
        <f t="shared" si="29"/>
        <v>without CL</v>
      </c>
      <c r="E50" s="3" t="s">
        <v>22</v>
      </c>
      <c r="F50" s="175">
        <f t="array" ref="F50">IFERROR(INDEX(Usage!$B$5:$P$18,MATCH($B50,Usage!$B$5:$B$18,0),MATCH($C50&amp;$D50&amp;$E50,Usage!$B$5:$S$5&amp;Usage!$B$6:$S$6&amp;Usage!$B$7:$S$7,0)),0)</f>
        <v>10000</v>
      </c>
      <c r="G50" s="3" t="s">
        <v>61</v>
      </c>
      <c r="H50" s="172"/>
      <c r="I50" s="172">
        <f t="array" ref="I50">INDEX('Key inputs'!$B$17:$N$41,MATCH($B50&amp;$C50&amp;$E50,'Key inputs'!$B$17:$B$41&amp;'Key inputs'!$C$17:$C$41&amp;'Key inputs'!$D$17:$D$41,0),MATCH($A$2&amp;I$4,'Key inputs'!$B$18:$N$18&amp;'Key inputs'!$B$19:$N$19,0))</f>
        <v>122.23</v>
      </c>
      <c r="J50" s="172">
        <f t="shared" si="32"/>
        <v>1222.3</v>
      </c>
      <c r="K50" s="192"/>
      <c r="L50" s="199"/>
      <c r="M50" s="192">
        <f t="shared" si="30"/>
        <v>0.51583081076658766</v>
      </c>
      <c r="N50" s="197"/>
      <c r="O50" s="172"/>
      <c r="P50" s="172">
        <f t="array" ref="P50">INDEX('Key inputs'!$B$17:$N$41,MATCH($B50&amp;$C50&amp;$E50,'Key inputs'!$B$17:$B$41&amp;'Key inputs'!$C$17:$C$41&amp;'Key inputs'!$D$17:$D$41,0),MATCH($A$2&amp;P$4,'Key inputs'!$B$18:$N$18&amp;'Key inputs'!$B$19:$N$19,0))</f>
        <v>185.28</v>
      </c>
      <c r="Q50" s="172">
        <f t="shared" si="33"/>
        <v>1852.8</v>
      </c>
      <c r="R50" s="192"/>
    </row>
    <row r="51" spans="2:19" outlineLevel="1" x14ac:dyDescent="0.25">
      <c r="B51" s="3" t="str">
        <f t="shared" si="31"/>
        <v>Ausgrid</v>
      </c>
      <c r="C51" s="3" t="str">
        <f t="shared" si="28"/>
        <v>Small business</v>
      </c>
      <c r="D51" s="3" t="str">
        <f t="shared" si="29"/>
        <v>without CL</v>
      </c>
      <c r="F51" s="175"/>
      <c r="G51" s="3" t="s">
        <v>41</v>
      </c>
      <c r="H51" s="172"/>
      <c r="I51" s="172"/>
      <c r="J51" s="172">
        <f>J50*GST</f>
        <v>122.23</v>
      </c>
      <c r="K51" s="192"/>
      <c r="L51" s="199"/>
      <c r="M51" s="192"/>
      <c r="N51" s="197"/>
      <c r="O51" s="172"/>
      <c r="P51" s="172"/>
      <c r="Q51" s="172">
        <f>Q50*GST</f>
        <v>185.28</v>
      </c>
      <c r="R51" s="191"/>
    </row>
    <row r="52" spans="2:19" x14ac:dyDescent="0.25">
      <c r="B52" s="3" t="str">
        <f t="shared" si="31"/>
        <v>Ausgrid</v>
      </c>
      <c r="C52" s="3" t="str">
        <f t="shared" si="28"/>
        <v>Small business</v>
      </c>
      <c r="D52" s="3" t="str">
        <f t="shared" si="29"/>
        <v>without CL</v>
      </c>
      <c r="F52" s="175"/>
      <c r="G52" s="5" t="s">
        <v>87</v>
      </c>
      <c r="H52" s="174"/>
      <c r="I52" s="174"/>
      <c r="J52" s="174">
        <f>SUM(J50:J51)</f>
        <v>1344.53</v>
      </c>
      <c r="K52" s="193"/>
      <c r="L52" s="200"/>
      <c r="M52" s="193">
        <f>IF(OR(J52=0,Q52=""),"",Q52/J52-1)</f>
        <v>0.51583081076658766</v>
      </c>
      <c r="N52" s="198"/>
      <c r="O52" s="174"/>
      <c r="P52" s="174"/>
      <c r="Q52" s="174">
        <f>SUM(Q50:Q51)</f>
        <v>2038.08</v>
      </c>
      <c r="R52" s="191"/>
    </row>
    <row r="53" spans="2:19" x14ac:dyDescent="0.25">
      <c r="F53" s="175"/>
      <c r="H53" s="172"/>
      <c r="I53" s="172"/>
      <c r="J53" s="172"/>
      <c r="K53" s="191"/>
      <c r="L53" s="199"/>
      <c r="M53" s="191"/>
      <c r="N53" s="197"/>
      <c r="O53" s="172"/>
      <c r="P53" s="172"/>
      <c r="Q53" s="172"/>
      <c r="R53" s="191"/>
    </row>
    <row r="54" spans="2:19" x14ac:dyDescent="0.25">
      <c r="B54" s="5" t="s">
        <v>4</v>
      </c>
      <c r="C54" s="5" t="s">
        <v>6</v>
      </c>
      <c r="D54" s="5" t="s">
        <v>146</v>
      </c>
      <c r="F54" s="175"/>
      <c r="H54" s="172"/>
      <c r="I54" s="172"/>
      <c r="J54" s="172"/>
      <c r="K54" s="191"/>
      <c r="L54" s="191"/>
      <c r="M54" s="191"/>
      <c r="N54" s="188"/>
      <c r="O54" s="172"/>
      <c r="P54" s="172"/>
      <c r="Q54" s="172"/>
      <c r="R54" s="191"/>
    </row>
    <row r="55" spans="2:19" outlineLevel="1" x14ac:dyDescent="0.25">
      <c r="B55" s="3" t="str">
        <f>B54</f>
        <v>Endeavour</v>
      </c>
      <c r="C55" s="3" t="str">
        <f t="shared" ref="C55:C64" si="37">C54</f>
        <v>Residential</v>
      </c>
      <c r="D55" s="3" t="str">
        <f t="shared" ref="D55:D64" si="38">D54</f>
        <v>without CL</v>
      </c>
      <c r="E55" s="3" t="s">
        <v>22</v>
      </c>
      <c r="F55" s="175">
        <f t="array" ref="F55">IFERROR(INDEX(Usage!$B$5:$P$18,MATCH($B55,Usage!$B$5:$B$18,0),MATCH($C55&amp;$D55&amp;$E55&amp;"Total",Usage!$B$5:$S$5&amp;Usage!$B$6:$S$6&amp;Usage!$B$7:$S$7&amp;Usage!$B$13:$S$13,0)),0)</f>
        <v>4900</v>
      </c>
      <c r="G55" s="3" t="s">
        <v>76</v>
      </c>
      <c r="H55" s="172"/>
      <c r="I55" s="172">
        <f t="array" ref="I55">IFERROR(INDEX('Detail inputs'!$B$3:$K$196,MATCH($B55&amp;$C55&amp;$E55&amp;$G55&amp;I$5,'Detail inputs'!$B$3:$B$196&amp;'Detail inputs'!$D$3:$D$196&amp;'Detail inputs'!$F$3:$F$196&amp;'Detail inputs'!$G$3:$G$196&amp;'Detail inputs'!$H$3:$H$196,0),MATCH(I$4,'Detail inputs'!$B$3:$K$3,0)),0)</f>
        <v>113.22</v>
      </c>
      <c r="J55" s="172">
        <f>H55+I55*$F55/1000</f>
        <v>554.77800000000002</v>
      </c>
      <c r="K55" s="191">
        <f>IFERROR(J55/J62,"")</f>
        <v>0.91122736418511063</v>
      </c>
      <c r="L55" s="191"/>
      <c r="M55" s="191">
        <f t="shared" ref="M55:M62" si="39">IF(OR(J55=0,Q55=""),"",Q55/J55-1)</f>
        <v>0.51810634163575342</v>
      </c>
      <c r="N55" s="188"/>
      <c r="O55" s="172"/>
      <c r="P55" s="172">
        <f t="array" ref="P55">IFERROR(INDEX('Detail inputs'!$B$3:$K$196,MATCH($B55&amp;$C55&amp;$E55&amp;$G55&amp;P$5,'Detail inputs'!$B$3:$B$196&amp;'Detail inputs'!$D$3:$D$196&amp;'Detail inputs'!$F$3:$F$196&amp;'Detail inputs'!$G$3:$G$196&amp;'Detail inputs'!$H$3:$H$196,0),MATCH(P$4,'Detail inputs'!$B$3:$K$3,0)),0)</f>
        <v>171.88</v>
      </c>
      <c r="Q55" s="172">
        <f>O55+P55*$F55/1000</f>
        <v>842.21199999999999</v>
      </c>
      <c r="R55" s="191">
        <f>IFERROR(Q55/Q62,"")</f>
        <v>0.90951423431050904</v>
      </c>
    </row>
    <row r="56" spans="2:19" outlineLevel="1" x14ac:dyDescent="0.25">
      <c r="B56" s="3" t="str">
        <f t="shared" ref="B56:B64" si="40">B55</f>
        <v>Endeavour</v>
      </c>
      <c r="C56" s="3" t="str">
        <f t="shared" si="37"/>
        <v>Residential</v>
      </c>
      <c r="D56" s="3" t="str">
        <f t="shared" si="38"/>
        <v>without CL</v>
      </c>
      <c r="E56" s="3" t="s">
        <v>22</v>
      </c>
      <c r="F56" s="175">
        <f t="array" ref="F56">IFERROR(INDEX(Usage!$B$5:$P$18,MATCH($B56,Usage!$B$5:$B$18,0),MATCH($C56&amp;$D56&amp;$E56&amp;"Total",Usage!$B$5:$S$5&amp;Usage!$B$6:$S$6&amp;Usage!$B$7:$S$7&amp;Usage!$B$13:$S$13,0)),0)</f>
        <v>4900</v>
      </c>
      <c r="G56" s="3" t="s">
        <v>77</v>
      </c>
      <c r="H56" s="172"/>
      <c r="I56" s="172">
        <f t="array" ref="I56">IFERROR(INDEX('Detail inputs'!$B$3:$K$196,MATCH($B56&amp;$G56&amp;I$5,'Detail inputs'!$B$3:$B$196&amp;'Detail inputs'!$G$3:$G$196&amp;'Detail inputs'!$H$3:$H$196,0),MATCH(I$4,'Detail inputs'!$B$3:$K$3,0)),0)</f>
        <v>0.34</v>
      </c>
      <c r="J56" s="172">
        <f t="shared" ref="J56:J60" si="41">H56+I56*$F56/1000</f>
        <v>1.6660000000000001</v>
      </c>
      <c r="K56" s="191">
        <f>IFERROR(J56/J62,"")</f>
        <v>2.7364185110663984E-3</v>
      </c>
      <c r="L56" s="191"/>
      <c r="M56" s="191">
        <f t="shared" si="39"/>
        <v>0.23529411764705865</v>
      </c>
      <c r="N56" s="188"/>
      <c r="O56" s="172"/>
      <c r="P56" s="172">
        <f t="array" ref="P56">IFERROR(INDEX('Detail inputs'!$B$3:$K$196,MATCH($B56&amp;$G56&amp;P$5,'Detail inputs'!$B$3:$B$196&amp;'Detail inputs'!$G$3:$G$196&amp;'Detail inputs'!$H$3:$H$196,0),MATCH(P$4,'Detail inputs'!$B$3:$K$3,0)),0)</f>
        <v>0.42</v>
      </c>
      <c r="Q56" s="172">
        <f t="shared" ref="Q56" si="42">O56+P56*$F56/1000</f>
        <v>2.0579999999999998</v>
      </c>
      <c r="R56" s="191">
        <f>IFERROR(Q56/Q62,"")</f>
        <v>2.2224574028997775E-3</v>
      </c>
    </row>
    <row r="57" spans="2:19" outlineLevel="1" x14ac:dyDescent="0.25">
      <c r="B57" s="3" t="str">
        <f t="shared" si="40"/>
        <v>Endeavour</v>
      </c>
      <c r="C57" s="3" t="str">
        <f t="shared" si="37"/>
        <v>Residential</v>
      </c>
      <c r="D57" s="3" t="str">
        <f t="shared" si="38"/>
        <v>without CL</v>
      </c>
      <c r="E57" s="3" t="s">
        <v>22</v>
      </c>
      <c r="F57" s="175">
        <f t="array" ref="F57">IFERROR(INDEX(Usage!$B$5:$P$18,MATCH($B57,Usage!$B$5:$B$18,0),MATCH($C57&amp;$D57&amp;$E57&amp;"Total",Usage!$B$5:$S$5&amp;Usage!$B$6:$S$6&amp;Usage!$B$7:$S$7&amp;Usage!$B$13:$S$13,0)),0)</f>
        <v>4900</v>
      </c>
      <c r="G57" s="3" t="s">
        <v>85</v>
      </c>
      <c r="H57" s="172"/>
      <c r="I57" s="172" cm="1">
        <f t="array" ref="I57">IFERROR(INDEX('Detail inputs'!$B$3:$K$198,MATCH($B57&amp;$G57&amp;I$5,'Detail inputs'!$B$3:$B$198&amp;'Detail inputs'!$G$3:$G$198&amp;'Detail inputs'!$H$3:$H$200,0),MATCH(I$4,'Detail inputs'!$B$3:$K$3,0)),0)</f>
        <v>1.1000000000000001</v>
      </c>
      <c r="J57" s="172">
        <f t="shared" si="41"/>
        <v>5.39</v>
      </c>
      <c r="K57" s="191">
        <f>IFERROR(J57/J62,"")</f>
        <v>8.8531187122736412E-3</v>
      </c>
      <c r="L57" s="191"/>
      <c r="M57" s="191">
        <f t="shared" si="39"/>
        <v>4.5454545454545414E-2</v>
      </c>
      <c r="N57" s="188"/>
      <c r="O57" s="172"/>
      <c r="P57" s="172">
        <f t="array" ref="P57">IFERROR(INDEX('Detail inputs'!$B$3:$K$196,MATCH($B57&amp;$G57&amp;P$5,'Detail inputs'!$B$3:$B$196&amp;'Detail inputs'!$G$3:$G$196&amp;'Detail inputs'!$H$3:$H$196,0),MATCH(P$4,'Detail inputs'!$B$3:$K$3,0)),0)</f>
        <v>1.1499999999999999</v>
      </c>
      <c r="Q57" s="172">
        <f>O57+P57*$F57/1000</f>
        <v>5.6349999999999998</v>
      </c>
      <c r="R57" s="191">
        <f>IFERROR(Q57/Q62,"")</f>
        <v>6.0853000317493914E-3</v>
      </c>
    </row>
    <row r="58" spans="2:19" outlineLevel="1" x14ac:dyDescent="0.25">
      <c r="B58" s="3" t="str">
        <f t="shared" si="40"/>
        <v>Endeavour</v>
      </c>
      <c r="C58" s="3" t="str">
        <f t="shared" si="37"/>
        <v>Residential</v>
      </c>
      <c r="D58" s="3" t="str">
        <f t="shared" si="38"/>
        <v>without CL</v>
      </c>
      <c r="E58" s="3" t="s">
        <v>22</v>
      </c>
      <c r="F58" s="175">
        <f t="array" ref="F58">IFERROR(INDEX(Usage!$B$5:$P$18,MATCH($B58,Usage!$B$5:$B$18,0),MATCH($C58&amp;$D58&amp;$E58&amp;"Total",Usage!$B$5:$S$5&amp;Usage!$B$6:$S$6&amp;Usage!$B$7:$S$7&amp;Usage!$B$13:$S$13,0)),0)</f>
        <v>4900</v>
      </c>
      <c r="G58" s="3" t="s">
        <v>78</v>
      </c>
      <c r="H58" s="172"/>
      <c r="I58" s="172" cm="1">
        <f t="array" ref="I58">IFERROR(INDEX('Detail inputs'!$B$3:$K$196,MATCH($B58&amp;$G58&amp;I$5,'Detail inputs'!$B$3:$B$196&amp;'Detail inputs'!$G$3:$G$196&amp;'Detail inputs'!$H$3:$H$196,0),MATCH(I$4,'Detail inputs'!$B$3:$K$3,0)),0)</f>
        <v>0</v>
      </c>
      <c r="J58" s="172">
        <f t="shared" si="41"/>
        <v>0</v>
      </c>
      <c r="K58" s="191">
        <f>IFERROR(J58/J62,"")</f>
        <v>0</v>
      </c>
      <c r="L58" s="191"/>
      <c r="M58" s="191" t="str">
        <f t="shared" si="39"/>
        <v/>
      </c>
      <c r="N58" s="188"/>
      <c r="O58" s="172"/>
      <c r="P58" s="172">
        <f t="array" ref="P58">IFERROR(INDEX('Detail inputs'!$B$3:$K$196,MATCH($B58&amp;$G58&amp;P$5,'Detail inputs'!$B$3:$B$196&amp;'Detail inputs'!$G$3:$G$196&amp;'Detail inputs'!$H$3:$H$196,0),MATCH(P$4,'Detail inputs'!$B$3:$K$3,0)),0)</f>
        <v>0</v>
      </c>
      <c r="Q58" s="172">
        <f t="shared" ref="Q58:Q61" si="43">O58+P58*$F58/1000</f>
        <v>0</v>
      </c>
      <c r="R58" s="191">
        <f>IFERROR(Q58/Q62,"")</f>
        <v>0</v>
      </c>
    </row>
    <row r="59" spans="2:19" outlineLevel="1" x14ac:dyDescent="0.25">
      <c r="B59" s="3" t="str">
        <f t="shared" si="40"/>
        <v>Endeavour</v>
      </c>
      <c r="C59" s="3" t="str">
        <f t="shared" si="37"/>
        <v>Residential</v>
      </c>
      <c r="D59" s="3" t="str">
        <f t="shared" si="38"/>
        <v>without CL</v>
      </c>
      <c r="E59" s="3" t="s">
        <v>22</v>
      </c>
      <c r="F59" s="175" cm="1">
        <f t="array" ref="F59">IFERROR(INDEX(Usage!$B$5:$P$18,MATCH($B59,Usage!$B$5:$B$18,0),MATCH($C59&amp;$D59&amp;$E59&amp;"Total",Usage!$B$5:$S$5&amp;Usage!$B$6:$S$6&amp;Usage!$B$7:$S$7&amp;Usage!$B$13:$S$13,0)),0)</f>
        <v>4900</v>
      </c>
      <c r="G59" s="155" t="s">
        <v>275</v>
      </c>
      <c r="H59" s="172"/>
      <c r="I59" s="172" cm="1">
        <f t="array" ref="I59">IFERROR(INDEX('Detail inputs'!$B$3:$K$196,MATCH($B59&amp;$G59&amp;I$5,'Detail inputs'!$B$3:$B$196&amp;'Detail inputs'!$G$3:$G$196&amp;'Detail inputs'!$H$3:$H$196,0),MATCH(I$4,'Detail inputs'!$B$3:$K$3,0)),0)</f>
        <v>0</v>
      </c>
      <c r="J59" s="172">
        <f t="shared" si="41"/>
        <v>0</v>
      </c>
      <c r="K59" s="191">
        <f>IFERROR(J59/J63,"")</f>
        <v>0</v>
      </c>
      <c r="L59" s="191"/>
      <c r="M59" s="191" t="str">
        <f t="shared" si="39"/>
        <v/>
      </c>
      <c r="N59" s="188"/>
      <c r="O59" s="172"/>
      <c r="P59" s="172" cm="1">
        <f t="array" ref="P59">IFERROR(INDEX('Detail inputs'!$B$3:$K$196,MATCH($B59&amp;$G59&amp;P$5,'Detail inputs'!$B$3:$B$196&amp;'Detail inputs'!$G$3:$G$196&amp;'Detail inputs'!$H$3:$H$196,0),MATCH(P$4,'Detail inputs'!$B$3:$K$3,0)),0)</f>
        <v>2.0499999999999998</v>
      </c>
      <c r="Q59" s="172">
        <f t="shared" si="43"/>
        <v>10.045</v>
      </c>
      <c r="R59" s="191">
        <f>IFERROR(Q59/Q62,"")</f>
        <v>1.0847708752248915E-2</v>
      </c>
    </row>
    <row r="60" spans="2:19" outlineLevel="1" x14ac:dyDescent="0.25">
      <c r="B60" s="3" t="str">
        <f t="shared" si="40"/>
        <v>Endeavour</v>
      </c>
      <c r="C60" s="3" t="str">
        <f t="shared" si="37"/>
        <v>Residential</v>
      </c>
      <c r="D60" s="3" t="str">
        <f t="shared" si="38"/>
        <v>without CL</v>
      </c>
      <c r="E60" s="3" t="s">
        <v>22</v>
      </c>
      <c r="F60" s="175">
        <f t="array" ref="F60">IFERROR(INDEX(Usage!$B$5:$P$18,MATCH($B60,Usage!$B$5:$B$18,0),MATCH($C60&amp;$D60&amp;$E60&amp;"Total",Usage!$B$5:$S$5&amp;Usage!$B$6:$S$6&amp;Usage!$B$7:$S$7&amp;Usage!$B$13:$S$13,0)),0)</f>
        <v>4900</v>
      </c>
      <c r="G60" s="3" t="s">
        <v>155</v>
      </c>
      <c r="H60" s="172"/>
      <c r="I60" s="172">
        <f t="array" ref="I60">IFERROR(INDEX('Detail inputs'!$B$3:$K$196,MATCH($B60&amp;$G60&amp;I$5,'Detail inputs'!$B$3:$B$196&amp;'Detail inputs'!$G$3:$G$196&amp;'Detail inputs'!$H$3:$H$196,0),MATCH(I$4,'Detail inputs'!$B$3:$K$3,0)),0)</f>
        <v>2.56</v>
      </c>
      <c r="J60" s="172">
        <f t="shared" si="41"/>
        <v>12.544</v>
      </c>
      <c r="K60" s="191">
        <f>IFERROR(J60/J62,"")</f>
        <v>2.0603621730382292E-2</v>
      </c>
      <c r="L60" s="191"/>
      <c r="M60" s="191">
        <f t="shared" si="39"/>
        <v>8.5937499999999778E-2</v>
      </c>
      <c r="N60" s="188"/>
      <c r="O60" s="172"/>
      <c r="P60" s="172">
        <f t="array" ref="P60">IFERROR(INDEX('Detail inputs'!$B$3:$K$196,MATCH($B60&amp;$G60&amp;P$5,'Detail inputs'!$B$3:$B$196&amp;'Detail inputs'!$G$3:$G$196&amp;'Detail inputs'!$H$3:$H$196,0),MATCH(P$4,'Detail inputs'!$B$3:$K$3,0)),0)</f>
        <v>2.78</v>
      </c>
      <c r="Q60" s="172">
        <f t="shared" si="43"/>
        <v>13.621999999999998</v>
      </c>
      <c r="R60" s="191">
        <f>IFERROR(Q60/Q62,"")</f>
        <v>1.4710551381098528E-2</v>
      </c>
    </row>
    <row r="61" spans="2:19" outlineLevel="1" x14ac:dyDescent="0.25">
      <c r="B61" s="3" t="str">
        <f t="shared" si="40"/>
        <v>Endeavour</v>
      </c>
      <c r="C61" s="3" t="str">
        <f t="shared" si="37"/>
        <v>Residential</v>
      </c>
      <c r="D61" s="3" t="str">
        <f t="shared" si="38"/>
        <v>without CL</v>
      </c>
      <c r="E61" s="3" t="s">
        <v>22</v>
      </c>
      <c r="F61" s="175">
        <f t="array" ref="F61">IFERROR(INDEX(Usage!$B$5:$P$18,MATCH($B61,Usage!$B$5:$B$18,0),MATCH($C61&amp;$D61&amp;$E61&amp;"Total",Usage!$B$5:$S$5&amp;Usage!$B$6:$S$6&amp;Usage!$B$7:$S$7&amp;Usage!$B$13:$S$13,0)),0)</f>
        <v>4900</v>
      </c>
      <c r="G61" s="3" t="s">
        <v>79</v>
      </c>
      <c r="H61" s="172"/>
      <c r="I61" s="172" cm="1">
        <f t="array" ref="I61">ROUND(IFERROR(INDEX('Detail inputs'!$B$3:$K$196,MATCH($B61&amp;$C61&amp;$E61&amp;$G61&amp;I$5,'Detail inputs'!$B$3:$B$196&amp;'Detail inputs'!$D$3:$D$196&amp;'Detail inputs'!$F$3:$F$196&amp;'Detail inputs'!$G$3:$G$196&amp;'Detail inputs'!$H$3:$H$196,0),MATCH(I$4,'Detail inputs'!$B$3:$K$3,0)),0)*SUM(I55:I60), 2)</f>
        <v>7.03</v>
      </c>
      <c r="J61" s="172">
        <f>H61+I61*$F61/1000</f>
        <v>34.447000000000003</v>
      </c>
      <c r="K61" s="191">
        <f>IFERROR(J61/J62,"")</f>
        <v>5.6579476861167002E-2</v>
      </c>
      <c r="L61" s="191"/>
      <c r="M61" s="191">
        <f t="shared" si="39"/>
        <v>0.5220483641536271</v>
      </c>
      <c r="N61" s="188"/>
      <c r="O61" s="172"/>
      <c r="P61" s="172" cm="1">
        <f t="array" ref="P61">ROUND(IFERROR(INDEX('Detail inputs'!$B$3:$K$196,MATCH($B61&amp;$C61&amp;$E61&amp;$G61&amp;P$5,'Detail inputs'!$B$3:$B$196&amp;'Detail inputs'!$D$3:$D$196&amp;'Detail inputs'!$F$3:$F$196&amp;'Detail inputs'!$G$3:$G$196&amp;'Detail inputs'!$H$3:$H$196,0),MATCH(P$4,'Detail inputs'!$B$3:$K$3,0)),0)*SUM(P55:P60), 2)</f>
        <v>10.7</v>
      </c>
      <c r="Q61" s="172">
        <f t="shared" si="43"/>
        <v>52.43</v>
      </c>
      <c r="R61" s="191">
        <f>IFERROR(Q61/Q62,"")</f>
        <v>5.661974812149434E-2</v>
      </c>
      <c r="S61" s="90"/>
    </row>
    <row r="62" spans="2:19" x14ac:dyDescent="0.25">
      <c r="B62" s="3" t="str">
        <f t="shared" si="40"/>
        <v>Endeavour</v>
      </c>
      <c r="C62" s="3" t="str">
        <f t="shared" si="37"/>
        <v>Residential</v>
      </c>
      <c r="D62" s="3" t="str">
        <f t="shared" si="38"/>
        <v>without CL</v>
      </c>
      <c r="E62" s="3" t="s">
        <v>22</v>
      </c>
      <c r="F62" s="175">
        <f t="array" ref="F62">IFERROR(INDEX(Usage!$B$5:$P$18,MATCH($B62,Usage!$B$5:$B$18,0),MATCH($C62&amp;$D62&amp;$E62&amp;"Total",Usage!$B$5:$S$5&amp;Usage!$B$6:$S$6&amp;Usage!$B$7:$S$7&amp;Usage!$B$13:$S$13,0)),0)</f>
        <v>4900</v>
      </c>
      <c r="G62" s="3" t="s">
        <v>61</v>
      </c>
      <c r="H62" s="172"/>
      <c r="I62" s="172">
        <f t="array" ref="I62">INDEX('Key inputs'!$B$17:$N$41,MATCH($B62&amp;$C62&amp;$E62,'Key inputs'!$B$17:$B$41&amp;'Key inputs'!$C$17:$C$41&amp;'Key inputs'!$D$17:$D$41,0),MATCH($A$2&amp;I$4,'Key inputs'!$B$18:$N$18&amp;'Key inputs'!$B$19:$N$19,0))</f>
        <v>124.25</v>
      </c>
      <c r="J62" s="172">
        <f>H62+I62*$F62/1000</f>
        <v>608.82500000000005</v>
      </c>
      <c r="K62" s="192"/>
      <c r="L62" s="199"/>
      <c r="M62" s="192">
        <f t="shared" si="39"/>
        <v>0.52096579476861149</v>
      </c>
      <c r="N62" s="197"/>
      <c r="O62" s="172"/>
      <c r="P62" s="172" cm="1">
        <f t="array" ref="P62">INDEX('Key inputs'!$B$17:$N$41,MATCH($B62&amp;$C62&amp;$E62,'Key inputs'!$B$17:$B$41&amp;'Key inputs'!$C$17:$C$41&amp;'Key inputs'!$D$17:$D$41,0),MATCH($A$2&amp;P$4,'Key inputs'!$B$18:$N$18&amp;'Key inputs'!$B$19:$N$19,0))</f>
        <v>188.98</v>
      </c>
      <c r="Q62" s="172">
        <f>O62+P62*$F62/1000</f>
        <v>926.00199999999995</v>
      </c>
      <c r="R62" s="192"/>
    </row>
    <row r="63" spans="2:19" outlineLevel="1" x14ac:dyDescent="0.25">
      <c r="B63" s="3" t="str">
        <f t="shared" si="40"/>
        <v>Endeavour</v>
      </c>
      <c r="C63" s="3" t="str">
        <f t="shared" si="37"/>
        <v>Residential</v>
      </c>
      <c r="D63" s="3" t="str">
        <f t="shared" si="38"/>
        <v>without CL</v>
      </c>
      <c r="F63" s="175"/>
      <c r="G63" s="3" t="s">
        <v>41</v>
      </c>
      <c r="H63" s="172"/>
      <c r="I63" s="172"/>
      <c r="J63" s="172">
        <f>J62*GST</f>
        <v>60.882500000000007</v>
      </c>
      <c r="K63" s="192"/>
      <c r="L63" s="199"/>
      <c r="M63" s="192"/>
      <c r="N63" s="197"/>
      <c r="O63" s="172"/>
      <c r="P63" s="172"/>
      <c r="Q63" s="172">
        <f>Q62*GST</f>
        <v>92.600200000000001</v>
      </c>
      <c r="R63" s="193"/>
    </row>
    <row r="64" spans="2:19" x14ac:dyDescent="0.25">
      <c r="B64" s="3" t="str">
        <f t="shared" si="40"/>
        <v>Endeavour</v>
      </c>
      <c r="C64" s="3" t="str">
        <f t="shared" si="37"/>
        <v>Residential</v>
      </c>
      <c r="D64" s="3" t="str">
        <f t="shared" si="38"/>
        <v>without CL</v>
      </c>
      <c r="F64" s="175"/>
      <c r="G64" s="5" t="s">
        <v>87</v>
      </c>
      <c r="H64" s="174"/>
      <c r="I64" s="174"/>
      <c r="J64" s="174">
        <f>SUM(J62:J63)</f>
        <v>669.7075000000001</v>
      </c>
      <c r="K64" s="193"/>
      <c r="L64" s="200"/>
      <c r="M64" s="193">
        <f>IF(OR(J64=0,Q64=""),"",Q64/J64-1)</f>
        <v>0.52096579476861127</v>
      </c>
      <c r="N64" s="198"/>
      <c r="O64" s="174"/>
      <c r="P64" s="174"/>
      <c r="Q64" s="174">
        <f>SUM(Q62:Q63)</f>
        <v>1018.6021999999999</v>
      </c>
      <c r="R64" s="193"/>
    </row>
    <row r="65" spans="2:18" x14ac:dyDescent="0.25">
      <c r="F65" s="175"/>
      <c r="H65" s="172"/>
      <c r="I65" s="172"/>
      <c r="J65" s="172"/>
      <c r="K65" s="191"/>
      <c r="L65" s="199"/>
      <c r="M65" s="191"/>
      <c r="N65" s="197"/>
      <c r="O65" s="172"/>
      <c r="P65" s="172"/>
      <c r="Q65" s="172"/>
      <c r="R65" s="191"/>
    </row>
    <row r="66" spans="2:18" x14ac:dyDescent="0.25">
      <c r="B66" s="5" t="s">
        <v>4</v>
      </c>
      <c r="C66" s="5" t="s">
        <v>6</v>
      </c>
      <c r="D66" s="5" t="s">
        <v>147</v>
      </c>
      <c r="F66" s="175"/>
      <c r="H66" s="172"/>
      <c r="I66" s="172"/>
      <c r="J66" s="172"/>
      <c r="K66" s="191"/>
      <c r="L66" s="199"/>
      <c r="M66" s="191"/>
      <c r="N66" s="197"/>
      <c r="O66" s="172"/>
      <c r="P66" s="172"/>
      <c r="Q66" s="172"/>
      <c r="R66" s="191"/>
    </row>
    <row r="67" spans="2:18" outlineLevel="1" x14ac:dyDescent="0.25">
      <c r="B67" s="3" t="str">
        <f>B66</f>
        <v>Endeavour</v>
      </c>
      <c r="C67" s="3" t="str">
        <f t="shared" ref="C67:C86" si="44">C66</f>
        <v>Residential</v>
      </c>
      <c r="D67" s="3" t="str">
        <f t="shared" ref="D67:D86" si="45">D66</f>
        <v>with CL</v>
      </c>
      <c r="E67" s="3" t="s">
        <v>22</v>
      </c>
      <c r="F67" s="175">
        <f t="array" ref="F67">IFERROR(INDEX(Usage!$B$5:$P$18,MATCH($B67,Usage!$B$5:$B$18,0),MATCH($C67&amp;$D67&amp;$E67&amp;"Total",Usage!$B$5:$S$5&amp;Usage!$B$6:$S$6&amp;Usage!$B$7:$S$7&amp;Usage!$B$13:$S$13,0)),0)</f>
        <v>5200</v>
      </c>
      <c r="G67" s="3" t="s">
        <v>61</v>
      </c>
      <c r="H67" s="172"/>
      <c r="I67" s="172">
        <f t="array" ref="I67">INDEX('Key inputs'!$B$17:$N$41,MATCH($B67&amp;$C67&amp;$E67,'Key inputs'!$B$17:$B$41&amp;'Key inputs'!$C$17:$C$41&amp;'Key inputs'!$D$17:$D$41,0),MATCH($A$2&amp;I$4,'Key inputs'!$B$18:$N$18&amp;'Key inputs'!$B$19:$N$19,0))</f>
        <v>124.25</v>
      </c>
      <c r="J67" s="172">
        <f>IF(AND(H67="",I67=""),"",H67+I67*$F67/1000)</f>
        <v>646.1</v>
      </c>
      <c r="K67" s="191"/>
      <c r="L67" s="199"/>
      <c r="M67" s="191">
        <f>IF(OR(J67=0,Q67=""),"",Q67/J67-1)</f>
        <v>0.52096579476861171</v>
      </c>
      <c r="N67" s="197"/>
      <c r="O67" s="172"/>
      <c r="P67" s="172">
        <f t="array" ref="P67">INDEX('Key inputs'!$B$17:$N$41,MATCH($B67&amp;$C67&amp;$E67,'Key inputs'!$B$17:$B$41&amp;'Key inputs'!$C$17:$C$41&amp;'Key inputs'!$D$17:$D$41,0),MATCH($A$2&amp;P$4,'Key inputs'!$B$18:$N$18&amp;'Key inputs'!$B$19:$N$19,0))</f>
        <v>188.98</v>
      </c>
      <c r="Q67" s="172">
        <f>IF(AND(O67="",P67=""),"",O67+P67*$F67/1000)</f>
        <v>982.69600000000003</v>
      </c>
      <c r="R67" s="191"/>
    </row>
    <row r="68" spans="2:18" outlineLevel="1" x14ac:dyDescent="0.25">
      <c r="B68" s="3" t="str">
        <f t="shared" ref="B68:B86" si="46">B67</f>
        <v>Endeavour</v>
      </c>
      <c r="C68" s="3" t="str">
        <f t="shared" si="44"/>
        <v>Residential</v>
      </c>
      <c r="D68" s="3" t="str">
        <f t="shared" si="45"/>
        <v>with CL</v>
      </c>
      <c r="E68" s="3" t="s">
        <v>16</v>
      </c>
      <c r="F68" s="175">
        <f t="array" ref="F68">IFERROR(INDEX(Usage!$B$5:$P$18,MATCH($B68,Usage!$B$5:$B$18,0),MATCH($C68&amp;$D68&amp;$E68,Usage!$B$5:$S$5&amp;Usage!$B$6:$S$6&amp;Usage!$B$7:$S$7,0)),0)</f>
        <v>1474</v>
      </c>
      <c r="G68" s="3" t="s">
        <v>76</v>
      </c>
      <c r="H68" s="172"/>
      <c r="I68" s="172">
        <f t="array" ref="I68">IFERROR(INDEX('Detail inputs'!$B$3:$K$196,MATCH($B68&amp;$C68&amp;$E68&amp;$G68&amp;I$5,'Detail inputs'!$B$3:$B$196&amp;'Detail inputs'!$D$3:$D$196&amp;'Detail inputs'!$F$3:$F$196&amp;'Detail inputs'!$G$3:$G$196&amp;'Detail inputs'!$H$3:$H$196,0),MATCH(I$4,'Detail inputs'!$B$3:$K$3,0)),0)</f>
        <v>104.02</v>
      </c>
      <c r="J68" s="172">
        <f>IF(AND(H68="",I68=""),"",H68+I68*$F68/1000)</f>
        <v>153.32547999999997</v>
      </c>
      <c r="K68" s="191">
        <f>IFERROR(J68/J75,"")</f>
        <v>0.90847161572052382</v>
      </c>
      <c r="L68" s="191"/>
      <c r="M68" s="191">
        <f t="shared" ref="M68:M84" si="47">IF(OR(J68=0,Q68=""),"",Q68/J68-1)</f>
        <v>0.51326667948471472</v>
      </c>
      <c r="N68" s="188"/>
      <c r="O68" s="172"/>
      <c r="P68" s="172">
        <f t="array" ref="P68">IFERROR(INDEX('Detail inputs'!$B$3:$K$196,MATCH($B68&amp;$C68&amp;$E68&amp;$G68&amp;P$5,'Detail inputs'!$B$3:$B$196&amp;'Detail inputs'!$D$3:$D$196&amp;'Detail inputs'!$F$3:$F$196&amp;'Detail inputs'!$G$3:$G$196&amp;'Detail inputs'!$H$3:$H$196,0),MATCH(P$4,'Detail inputs'!$B$3:$K$3,0)),0)</f>
        <v>157.41</v>
      </c>
      <c r="Q68" s="172">
        <f>IF(AND(O68="",P68=""),"",O68+P68*$F68/1000)</f>
        <v>232.02233999999999</v>
      </c>
      <c r="R68" s="191">
        <f>IFERROR(Q68/Q75,"")</f>
        <v>0.90653075328265376</v>
      </c>
    </row>
    <row r="69" spans="2:18" outlineLevel="1" x14ac:dyDescent="0.25">
      <c r="B69" s="3" t="str">
        <f t="shared" si="46"/>
        <v>Endeavour</v>
      </c>
      <c r="C69" s="3" t="str">
        <f t="shared" si="44"/>
        <v>Residential</v>
      </c>
      <c r="D69" s="3" t="str">
        <f t="shared" si="45"/>
        <v>with CL</v>
      </c>
      <c r="E69" s="3" t="s">
        <v>16</v>
      </c>
      <c r="F69" s="175">
        <f t="array" ref="F69">IFERROR(INDEX(Usage!$B$5:$P$18,MATCH($B69,Usage!$B$5:$B$18,0),MATCH($C69&amp;$D69&amp;$E69,Usage!$B$5:$S$5&amp;Usage!$B$6:$S$6&amp;Usage!$B$7:$S$7,0)),0)</f>
        <v>1474</v>
      </c>
      <c r="G69" s="3" t="s">
        <v>77</v>
      </c>
      <c r="H69" s="172"/>
      <c r="I69" s="172">
        <f t="array" ref="I69">IFERROR(INDEX('Detail inputs'!$B$3:$K$196,MATCH($B69&amp;$G69&amp;I$5,'Detail inputs'!$B$3:$B$196&amp;'Detail inputs'!$G$3:$G$196&amp;'Detail inputs'!$H$3:$H$196,0),MATCH(I$4,'Detail inputs'!$B$3:$K$3,0)),0)</f>
        <v>0.34</v>
      </c>
      <c r="J69" s="172">
        <f t="shared" ref="J69:J75" si="48">IF(AND(H69="",I69=""),"",H69+I69*$F69/1000)</f>
        <v>0.50116000000000005</v>
      </c>
      <c r="K69" s="191">
        <f>IFERROR(J69/J75,"")</f>
        <v>2.9694323144104809E-3</v>
      </c>
      <c r="L69" s="191"/>
      <c r="M69" s="191">
        <f t="shared" si="47"/>
        <v>0.23529411764705865</v>
      </c>
      <c r="N69" s="188"/>
      <c r="O69" s="172"/>
      <c r="P69" s="172">
        <f t="array" ref="P69">IFERROR(INDEX('Detail inputs'!$B$3:$K$196,MATCH($B69&amp;$G69&amp;P$5,'Detail inputs'!$B$3:$B$196&amp;'Detail inputs'!$G$3:$G$196&amp;'Detail inputs'!$H$3:$H$196,0),MATCH(P$4,'Detail inputs'!$B$3:$K$3,0)),0)</f>
        <v>0.42</v>
      </c>
      <c r="Q69" s="172">
        <f t="shared" ref="Q69:Q75" si="49">IF(AND(O69="",P69=""),"",O69+P69*$F69/1000)</f>
        <v>0.61907999999999996</v>
      </c>
      <c r="R69" s="191">
        <f>IFERROR(Q69/Q75,"")</f>
        <v>2.4187975120939873E-3</v>
      </c>
    </row>
    <row r="70" spans="2:18" outlineLevel="1" x14ac:dyDescent="0.25">
      <c r="B70" s="3" t="str">
        <f t="shared" si="46"/>
        <v>Endeavour</v>
      </c>
      <c r="C70" s="3" t="str">
        <f t="shared" si="44"/>
        <v>Residential</v>
      </c>
      <c r="D70" s="3" t="str">
        <f t="shared" si="45"/>
        <v>with CL</v>
      </c>
      <c r="E70" s="3" t="s">
        <v>16</v>
      </c>
      <c r="F70" s="175">
        <f t="array" ref="F70">IFERROR(INDEX(Usage!$B$5:$P$18,MATCH($B70,Usage!$B$5:$B$18,0),MATCH($C70&amp;$D70&amp;$E70,Usage!$B$5:$S$5&amp;Usage!$B$6:$S$6&amp;Usage!$B$7:$S$7,0)),0)</f>
        <v>1474</v>
      </c>
      <c r="G70" s="3" t="s">
        <v>85</v>
      </c>
      <c r="H70" s="172"/>
      <c r="I70" s="172">
        <f t="array" ref="I70">IFERROR(INDEX('Detail inputs'!$B$3:$K$196,MATCH($B70&amp;$G70&amp;I$5,'Detail inputs'!$B$3:$B$196&amp;'Detail inputs'!$G$3:$G$196&amp;'Detail inputs'!$H$3:$H$196,0),MATCH(I$4,'Detail inputs'!$B$3:$K$3,0)),0)</f>
        <v>1.1000000000000001</v>
      </c>
      <c r="J70" s="172">
        <f t="shared" si="48"/>
        <v>1.6214000000000002</v>
      </c>
      <c r="K70" s="191">
        <f>IFERROR(J70/J75,"")</f>
        <v>9.6069868995633193E-3</v>
      </c>
      <c r="L70" s="191"/>
      <c r="M70" s="191">
        <f t="shared" si="47"/>
        <v>4.5454545454545192E-2</v>
      </c>
      <c r="N70" s="188"/>
      <c r="O70" s="172"/>
      <c r="P70" s="172">
        <f t="array" ref="P70">IFERROR(INDEX('Detail inputs'!$B$3:$K$196,MATCH($B70&amp;$G70&amp;P$5,'Detail inputs'!$B$3:$B$196&amp;'Detail inputs'!$G$3:$G$196&amp;'Detail inputs'!$H$3:$H$196,0),MATCH(P$4,'Detail inputs'!$B$3:$K$3,0)),0)</f>
        <v>1.1499999999999999</v>
      </c>
      <c r="Q70" s="172">
        <f t="shared" si="49"/>
        <v>1.6950999999999998</v>
      </c>
      <c r="R70" s="191">
        <f>IFERROR(Q70/Q75,"")</f>
        <v>6.6228979497811556E-3</v>
      </c>
    </row>
    <row r="71" spans="2:18" outlineLevel="1" x14ac:dyDescent="0.25">
      <c r="B71" s="3" t="str">
        <f t="shared" si="46"/>
        <v>Endeavour</v>
      </c>
      <c r="C71" s="3" t="str">
        <f t="shared" si="44"/>
        <v>Residential</v>
      </c>
      <c r="D71" s="3" t="str">
        <f t="shared" si="45"/>
        <v>with CL</v>
      </c>
      <c r="E71" s="3" t="s">
        <v>16</v>
      </c>
      <c r="F71" s="175">
        <f t="array" ref="F71">IFERROR(INDEX(Usage!$B$5:$P$18,MATCH($B71,Usage!$B$5:$B$18,0),MATCH($C71&amp;$D71&amp;$E71,Usage!$B$5:$S$5&amp;Usage!$B$6:$S$6&amp;Usage!$B$7:$S$7,0)),0)</f>
        <v>1474</v>
      </c>
      <c r="G71" s="3" t="s">
        <v>78</v>
      </c>
      <c r="H71" s="172"/>
      <c r="I71" s="172">
        <f t="array" ref="I71">IFERROR(INDEX('Detail inputs'!$B$3:$K$196,MATCH($B71&amp;$G71&amp;I$5,'Detail inputs'!$B$3:$B$196&amp;'Detail inputs'!$G$3:$G$196&amp;'Detail inputs'!$H$3:$H$196,0),MATCH(I$4,'Detail inputs'!$B$3:$K$3,0)),0)</f>
        <v>0</v>
      </c>
      <c r="J71" s="172">
        <f t="shared" si="48"/>
        <v>0</v>
      </c>
      <c r="K71" s="191">
        <f>IFERROR(J71/J75,"")</f>
        <v>0</v>
      </c>
      <c r="L71" s="191"/>
      <c r="M71" s="191" t="str">
        <f t="shared" si="47"/>
        <v/>
      </c>
      <c r="N71" s="188"/>
      <c r="O71" s="172"/>
      <c r="P71" s="172">
        <f t="array" ref="P71">IFERROR(INDEX('Detail inputs'!$B$3:$K$196,MATCH($B71&amp;$G71&amp;P$5,'Detail inputs'!$B$3:$B$196&amp;'Detail inputs'!$G$3:$G$196&amp;'Detail inputs'!$H$3:$H$196,0),MATCH(P$4,'Detail inputs'!$B$3:$K$3,0)),0)</f>
        <v>0</v>
      </c>
      <c r="Q71" s="172">
        <f t="shared" si="49"/>
        <v>0</v>
      </c>
      <c r="R71" s="191">
        <f>IFERROR(Q71/Q75,"")</f>
        <v>0</v>
      </c>
    </row>
    <row r="72" spans="2:18" outlineLevel="1" x14ac:dyDescent="0.25">
      <c r="B72" s="3" t="str">
        <f t="shared" si="46"/>
        <v>Endeavour</v>
      </c>
      <c r="C72" s="3" t="str">
        <f t="shared" si="44"/>
        <v>Residential</v>
      </c>
      <c r="D72" s="3" t="str">
        <f t="shared" si="45"/>
        <v>with CL</v>
      </c>
      <c r="E72" s="3" t="s">
        <v>16</v>
      </c>
      <c r="F72" s="175" cm="1">
        <f t="array" ref="F72">IFERROR(INDEX(Usage!$B$5:$P$18,MATCH($B72,Usage!$B$5:$B$18,0),MATCH($C72&amp;$D72&amp;$E72,Usage!$B$5:$S$5&amp;Usage!$B$6:$S$6&amp;Usage!$B$7:$S$7,0)),0)</f>
        <v>1474</v>
      </c>
      <c r="G72" s="3" t="str">
        <f>+G59</f>
        <v>June 2022 Event Cost</v>
      </c>
      <c r="H72" s="172"/>
      <c r="I72" s="172">
        <f t="array" ref="I72">IFERROR(INDEX('Detail inputs'!$B$3:$K$196,MATCH($B72&amp;$G72&amp;I$5,'Detail inputs'!$B$3:$B$196&amp;'Detail inputs'!$G$3:$G$196&amp;'Detail inputs'!$H$3:$H$196,0),MATCH(I$4,'Detail inputs'!$B$3:$K$3,0)),0)</f>
        <v>0</v>
      </c>
      <c r="J72" s="172">
        <f t="shared" si="48"/>
        <v>0</v>
      </c>
      <c r="K72" s="191">
        <f>IFERROR(J72/J76,"")</f>
        <v>0</v>
      </c>
      <c r="L72" s="191"/>
      <c r="M72" s="191" t="str">
        <f t="shared" si="47"/>
        <v/>
      </c>
      <c r="N72" s="188"/>
      <c r="O72" s="172"/>
      <c r="P72" s="172">
        <f t="array" ref="P72">IFERROR(INDEX('Detail inputs'!$B$3:$K$196,MATCH($B72&amp;$G72&amp;P$5,'Detail inputs'!$B$3:$B$196&amp;'Detail inputs'!$G$3:$G$196&amp;'Detail inputs'!$H$3:$H$196,0),MATCH(P$4,'Detail inputs'!$B$3:$K$3,0)),0)</f>
        <v>2.0499999999999998</v>
      </c>
      <c r="Q72" s="172">
        <f t="shared" si="49"/>
        <v>3.0216999999999996</v>
      </c>
      <c r="R72" s="191">
        <f>IFERROR(Q72/Q76,"")</f>
        <v>2.6441275726581611E-2</v>
      </c>
    </row>
    <row r="73" spans="2:18" outlineLevel="1" x14ac:dyDescent="0.25">
      <c r="B73" s="3" t="str">
        <f t="shared" si="46"/>
        <v>Endeavour</v>
      </c>
      <c r="C73" s="3" t="str">
        <f t="shared" si="44"/>
        <v>Residential</v>
      </c>
      <c r="D73" s="3" t="str">
        <f t="shared" si="45"/>
        <v>with CL</v>
      </c>
      <c r="E73" s="3" t="s">
        <v>16</v>
      </c>
      <c r="F73" s="175">
        <f t="array" ref="F73">IFERROR(INDEX(Usage!$B$5:$P$18,MATCH($B73,Usage!$B$5:$B$18,0),MATCH($C73&amp;$D73&amp;$E73,Usage!$B$5:$S$5&amp;Usage!$B$6:$S$6&amp;Usage!$B$7:$S$7,0)),0)</f>
        <v>1474</v>
      </c>
      <c r="G73" s="3" t="s">
        <v>155</v>
      </c>
      <c r="H73" s="172"/>
      <c r="I73" s="172">
        <f t="array" ref="I73">IFERROR(INDEX('Detail inputs'!$B$3:$K$196,MATCH($B73&amp;$G73&amp;I$5,'Detail inputs'!$B$3:$B$196&amp;'Detail inputs'!$G$3:$G$196&amp;'Detail inputs'!$H$3:$H$196,0),MATCH(I$4,'Detail inputs'!$B$3:$K$3,0)),0)</f>
        <v>2.56</v>
      </c>
      <c r="J73" s="172">
        <f t="shared" si="48"/>
        <v>3.7734399999999999</v>
      </c>
      <c r="K73" s="191">
        <f>IFERROR(J73/J75,"")</f>
        <v>2.2358078602620086E-2</v>
      </c>
      <c r="L73" s="191"/>
      <c r="M73" s="191">
        <f t="shared" si="47"/>
        <v>8.5937499999999778E-2</v>
      </c>
      <c r="N73" s="188"/>
      <c r="O73" s="172"/>
      <c r="P73" s="172">
        <f t="array" ref="P73">IFERROR(INDEX('Detail inputs'!$B$3:$K$196,MATCH($B73&amp;$G73&amp;P$5,'Detail inputs'!$B$3:$B$196&amp;'Detail inputs'!$G$3:$G$196&amp;'Detail inputs'!$H$3:$H$196,0),MATCH(P$4,'Detail inputs'!$B$3:$K$3,0)),0)</f>
        <v>2.78</v>
      </c>
      <c r="Q73" s="172">
        <f t="shared" si="49"/>
        <v>4.0977199999999989</v>
      </c>
      <c r="R73" s="191">
        <f>IFERROR(Q73/Q75,"")</f>
        <v>1.6010135913384009E-2</v>
      </c>
    </row>
    <row r="74" spans="2:18" outlineLevel="1" x14ac:dyDescent="0.25">
      <c r="B74" s="3" t="str">
        <f t="shared" si="46"/>
        <v>Endeavour</v>
      </c>
      <c r="C74" s="3" t="str">
        <f t="shared" si="44"/>
        <v>Residential</v>
      </c>
      <c r="D74" s="3" t="str">
        <f t="shared" si="45"/>
        <v>with CL</v>
      </c>
      <c r="E74" s="3" t="s">
        <v>16</v>
      </c>
      <c r="F74" s="175">
        <f t="array" ref="F74">IFERROR(INDEX(Usage!$B$5:$P$18,MATCH($B74,Usage!$B$5:$B$18,0),MATCH($C74&amp;$D74&amp;$E74,Usage!$B$5:$S$5&amp;Usage!$B$6:$S$6&amp;Usage!$B$7:$S$7,0)),0)</f>
        <v>1474</v>
      </c>
      <c r="G74" s="3" t="s">
        <v>79</v>
      </c>
      <c r="H74" s="172"/>
      <c r="I74" s="172" cm="1">
        <f t="array" ref="I74">ROUND(IFERROR(INDEX('Detail inputs'!$B$3:$K$196,MATCH($B74&amp;$C74&amp;$E74&amp;$G74&amp;I$5,'Detail inputs'!$B$3:$B$196&amp;'Detail inputs'!$D$3:$D$196&amp;'Detail inputs'!$F$3:$F$196&amp;'Detail inputs'!$G$3:$G$196&amp;'Detail inputs'!$H$3:$H$196,0),MATCH(I$4,'Detail inputs'!$B$3:$K$3,0)),0)*SUM(I68:I73), 2)</f>
        <v>6.48</v>
      </c>
      <c r="J74" s="172">
        <f t="shared" si="48"/>
        <v>9.55152</v>
      </c>
      <c r="K74" s="191">
        <f>IFERROR(J74/J75,"")</f>
        <v>5.6593886462882097E-2</v>
      </c>
      <c r="L74" s="191"/>
      <c r="M74" s="191">
        <f t="shared" si="47"/>
        <v>0.5169753086419755</v>
      </c>
      <c r="N74" s="188"/>
      <c r="O74" s="172"/>
      <c r="P74" s="172" cm="1">
        <f t="array" ref="P74">ROUND(IFERROR(INDEX('Detail inputs'!$B$3:$K$196,MATCH($B74&amp;$C74&amp;$E74&amp;$G74&amp;P$5,'Detail inputs'!$B$3:$B$196&amp;'Detail inputs'!$D$3:$D$196&amp;'Detail inputs'!$F$3:$F$196&amp;'Detail inputs'!$G$3:$G$196&amp;'Detail inputs'!$H$3:$H$196,0),MATCH(P$4,'Detail inputs'!$B$3:$K$3,0)),0)*SUM(P68:P73), 2)</f>
        <v>9.83</v>
      </c>
      <c r="Q74" s="172">
        <f t="shared" si="49"/>
        <v>14.489420000000001</v>
      </c>
      <c r="R74" s="191">
        <f>IFERROR(Q74/Q75,"")</f>
        <v>5.6611379866390241E-2</v>
      </c>
    </row>
    <row r="75" spans="2:18" outlineLevel="1" x14ac:dyDescent="0.25">
      <c r="B75" s="3" t="str">
        <f t="shared" si="46"/>
        <v>Endeavour</v>
      </c>
      <c r="C75" s="3" t="str">
        <f t="shared" si="44"/>
        <v>Residential</v>
      </c>
      <c r="D75" s="3" t="str">
        <f t="shared" si="45"/>
        <v>with CL</v>
      </c>
      <c r="E75" s="3" t="s">
        <v>16</v>
      </c>
      <c r="F75" s="175">
        <f t="array" ref="F75">IFERROR(INDEX(Usage!$B$5:$P$18,MATCH($B75,Usage!$B$5:$B$18,0),MATCH($C75&amp;$D75&amp;$E75,Usage!$B$5:$S$5&amp;Usage!$B$6:$S$6&amp;Usage!$B$7:$S$7,0)),0)</f>
        <v>1474</v>
      </c>
      <c r="G75" s="3" t="s">
        <v>61</v>
      </c>
      <c r="H75" s="172"/>
      <c r="I75" s="172">
        <f t="array" ref="I75">INDEX('Key inputs'!$B$17:$N$41,MATCH($B75&amp;$C75&amp;$E75,'Key inputs'!$B$17:$B$41&amp;'Key inputs'!$C$17:$C$41&amp;'Key inputs'!$D$17:$D$41,0),MATCH($A$2&amp;I$4,'Key inputs'!$B$18:$N$18&amp;'Key inputs'!$B$19:$N$19,0))</f>
        <v>114.5</v>
      </c>
      <c r="J75" s="172">
        <f t="shared" si="48"/>
        <v>168.773</v>
      </c>
      <c r="K75" s="192"/>
      <c r="L75" s="199"/>
      <c r="M75" s="192">
        <f t="shared" si="47"/>
        <v>0.51650655021834058</v>
      </c>
      <c r="N75" s="197"/>
      <c r="O75" s="172"/>
      <c r="P75" s="172">
        <f t="array" ref="P75">INDEX('Key inputs'!$B$17:$N$41,MATCH($B75&amp;$C75&amp;$E75,'Key inputs'!$B$17:$B$41&amp;'Key inputs'!$C$17:$C$41&amp;'Key inputs'!$D$17:$D$41,0),MATCH($A$2&amp;P$4,'Key inputs'!$B$18:$N$18&amp;'Key inputs'!$B$19:$N$19,0))</f>
        <v>173.64</v>
      </c>
      <c r="Q75" s="172">
        <f t="shared" si="49"/>
        <v>255.94535999999999</v>
      </c>
      <c r="R75" s="192"/>
    </row>
    <row r="76" spans="2:18" outlineLevel="1" x14ac:dyDescent="0.25">
      <c r="B76" s="3" t="str">
        <f t="shared" si="46"/>
        <v>Endeavour</v>
      </c>
      <c r="C76" s="3" t="str">
        <f t="shared" si="44"/>
        <v>Residential</v>
      </c>
      <c r="D76" s="3" t="str">
        <f t="shared" si="45"/>
        <v>with CL</v>
      </c>
      <c r="E76" s="3" t="s">
        <v>17</v>
      </c>
      <c r="F76" s="175">
        <f t="array" ref="F76">IFERROR(INDEX(Usage!$B$5:$P$18,MATCH($B76,Usage!$B$5:$B$18,0),MATCH($C76&amp;$D76&amp;$E76,Usage!$B$5:$S$5&amp;Usage!$B$6:$S$6&amp;Usage!$B$7:$S$7,0)),0)</f>
        <v>726</v>
      </c>
      <c r="G76" s="3" t="s">
        <v>76</v>
      </c>
      <c r="H76" s="172"/>
      <c r="I76" s="172">
        <f t="array" ref="I76">IFERROR(INDEX('Detail inputs'!$B$3:$K$196,MATCH($B76&amp;$C76&amp;$E76&amp;$G76&amp;I$5,'Detail inputs'!$B$3:$B$196&amp;'Detail inputs'!$D$3:$D$196&amp;'Detail inputs'!$F$3:$F$196&amp;'Detail inputs'!$G$3:$G$196&amp;'Detail inputs'!$H$3:$H$196,0),MATCH(I$4,'Detail inputs'!$B$3:$K$3,0)),0)</f>
        <v>104.02</v>
      </c>
      <c r="J76" s="172">
        <f>IF(AND(H76="",I76=""),"",H76+I76*$F76/1000)</f>
        <v>75.518520000000009</v>
      </c>
      <c r="K76" s="192">
        <f>IFERROR(J76/J83,"")</f>
        <v>0.90847161572052415</v>
      </c>
      <c r="L76" s="192"/>
      <c r="M76" s="192">
        <f t="shared" si="47"/>
        <v>0.51326667948471427</v>
      </c>
      <c r="N76" s="189"/>
      <c r="O76" s="172"/>
      <c r="P76" s="172">
        <f t="array" ref="P76">IFERROR(INDEX('Detail inputs'!$B$3:$K$196,MATCH($B76&amp;$C76&amp;$E76&amp;$G76&amp;P$5,'Detail inputs'!$B$3:$B$196&amp;'Detail inputs'!$D$3:$D$196&amp;'Detail inputs'!$F$3:$F$196&amp;'Detail inputs'!$G$3:$G$196&amp;'Detail inputs'!$H$3:$H$196,0),MATCH(P$4,'Detail inputs'!$B$3:$K$3,0)),0)</f>
        <v>157.41</v>
      </c>
      <c r="Q76" s="172">
        <f>IF(AND(O76="",P76=""),"",O76+P76*$F76/1000)</f>
        <v>114.27966000000001</v>
      </c>
      <c r="R76" s="192">
        <f>IFERROR(Q76/Q83,"")</f>
        <v>0.90653075328265387</v>
      </c>
    </row>
    <row r="77" spans="2:18" outlineLevel="1" x14ac:dyDescent="0.25">
      <c r="B77" s="3" t="str">
        <f t="shared" si="46"/>
        <v>Endeavour</v>
      </c>
      <c r="C77" s="3" t="str">
        <f t="shared" si="44"/>
        <v>Residential</v>
      </c>
      <c r="D77" s="3" t="str">
        <f t="shared" si="45"/>
        <v>with CL</v>
      </c>
      <c r="E77" s="3" t="s">
        <v>17</v>
      </c>
      <c r="F77" s="175">
        <f t="array" ref="F77">IFERROR(INDEX(Usage!$B$5:$P$18,MATCH($B77,Usage!$B$5:$B$18,0),MATCH($C77&amp;$D77&amp;$E77,Usage!$B$5:$S$5&amp;Usage!$B$6:$S$6&amp;Usage!$B$7:$S$7,0)),0)</f>
        <v>726</v>
      </c>
      <c r="G77" s="3" t="s">
        <v>77</v>
      </c>
      <c r="H77" s="172"/>
      <c r="I77" s="172">
        <f t="array" ref="I77">IFERROR(INDEX('Detail inputs'!$B$3:$K$196,MATCH($B77&amp;$G77&amp;I$5,'Detail inputs'!$B$3:$B$196&amp;'Detail inputs'!$G$3:$G$196&amp;'Detail inputs'!$H$3:$H$196,0),MATCH(I$4,'Detail inputs'!$B$3:$K$3,0)),0)</f>
        <v>0.34</v>
      </c>
      <c r="J77" s="172">
        <f t="shared" ref="J77:J83" si="50">IF(AND(H77="",I77=""),"",H77+I77*$F77/1000)</f>
        <v>0.24684000000000003</v>
      </c>
      <c r="K77" s="192">
        <f>IFERROR(J77/J83,"")</f>
        <v>2.9694323144104809E-3</v>
      </c>
      <c r="L77" s="192"/>
      <c r="M77" s="192">
        <f t="shared" si="47"/>
        <v>0.23529411764705865</v>
      </c>
      <c r="N77" s="189"/>
      <c r="O77" s="172"/>
      <c r="P77" s="172">
        <f t="array" ref="P77">IFERROR(INDEX('Detail inputs'!$B$3:$K$196,MATCH($B77&amp;$G77&amp;P$5,'Detail inputs'!$B$3:$B$196&amp;'Detail inputs'!$G$3:$G$196&amp;'Detail inputs'!$H$3:$H$196,0),MATCH(P$4,'Detail inputs'!$B$3:$K$3,0)),0)</f>
        <v>0.42</v>
      </c>
      <c r="Q77" s="172">
        <f t="shared" ref="Q77:Q83" si="51">IF(AND(O77="",P77=""),"",O77+P77*$F77/1000)</f>
        <v>0.30492000000000002</v>
      </c>
      <c r="R77" s="192">
        <f>IFERROR(Q77/Q83,"")</f>
        <v>2.4187975120939882E-3</v>
      </c>
    </row>
    <row r="78" spans="2:18" outlineLevel="1" x14ac:dyDescent="0.25">
      <c r="B78" s="3" t="str">
        <f t="shared" si="46"/>
        <v>Endeavour</v>
      </c>
      <c r="C78" s="3" t="str">
        <f t="shared" si="44"/>
        <v>Residential</v>
      </c>
      <c r="D78" s="3" t="str">
        <f t="shared" si="45"/>
        <v>with CL</v>
      </c>
      <c r="E78" s="3" t="s">
        <v>17</v>
      </c>
      <c r="F78" s="175">
        <f t="array" ref="F78">IFERROR(INDEX(Usage!$B$5:$P$18,MATCH($B78,Usage!$B$5:$B$18,0),MATCH($C78&amp;$D78&amp;$E78,Usage!$B$5:$S$5&amp;Usage!$B$6:$S$6&amp;Usage!$B$7:$S$7,0)),0)</f>
        <v>726</v>
      </c>
      <c r="G78" s="3" t="s">
        <v>85</v>
      </c>
      <c r="H78" s="172"/>
      <c r="I78" s="172">
        <f t="array" ref="I78">IFERROR(INDEX('Detail inputs'!$B$3:$K$196,MATCH($B78&amp;$G78&amp;I$5,'Detail inputs'!$B$3:$B$196&amp;'Detail inputs'!$G$3:$G$196&amp;'Detail inputs'!$H$3:$H$196,0),MATCH(I$4,'Detail inputs'!$B$3:$K$3,0)),0)</f>
        <v>1.1000000000000001</v>
      </c>
      <c r="J78" s="172">
        <f t="shared" si="50"/>
        <v>0.79859999999999998</v>
      </c>
      <c r="K78" s="192">
        <f>IFERROR(J78/J83,"")</f>
        <v>9.6069868995633193E-3</v>
      </c>
      <c r="L78" s="192"/>
      <c r="M78" s="192">
        <f t="shared" si="47"/>
        <v>4.5454545454545414E-2</v>
      </c>
      <c r="N78" s="189"/>
      <c r="O78" s="172"/>
      <c r="P78" s="172">
        <f t="array" ref="P78">IFERROR(INDEX('Detail inputs'!$B$3:$K$196,MATCH($B78&amp;$G78&amp;P$5,'Detail inputs'!$B$3:$B$196&amp;'Detail inputs'!$G$3:$G$196&amp;'Detail inputs'!$H$3:$H$196,0),MATCH(P$4,'Detail inputs'!$B$3:$K$3,0)),0)</f>
        <v>1.1499999999999999</v>
      </c>
      <c r="Q78" s="172">
        <f t="shared" si="51"/>
        <v>0.83489999999999998</v>
      </c>
      <c r="R78" s="192">
        <f>IFERROR(Q78/Q83,"")</f>
        <v>6.6228979497811565E-3</v>
      </c>
    </row>
    <row r="79" spans="2:18" outlineLevel="1" x14ac:dyDescent="0.25">
      <c r="B79" s="3" t="str">
        <f t="shared" si="46"/>
        <v>Endeavour</v>
      </c>
      <c r="C79" s="3" t="str">
        <f t="shared" si="44"/>
        <v>Residential</v>
      </c>
      <c r="D79" s="3" t="str">
        <f t="shared" si="45"/>
        <v>with CL</v>
      </c>
      <c r="E79" s="3" t="s">
        <v>17</v>
      </c>
      <c r="F79" s="175">
        <f t="array" ref="F79">IFERROR(INDEX(Usage!$B$5:$P$18,MATCH($B79,Usage!$B$5:$B$18,0),MATCH($C79&amp;$D79&amp;$E79,Usage!$B$5:$S$5&amp;Usage!$B$6:$S$6&amp;Usage!$B$7:$S$7,0)),0)</f>
        <v>726</v>
      </c>
      <c r="G79" s="3" t="s">
        <v>78</v>
      </c>
      <c r="H79" s="172"/>
      <c r="I79" s="172">
        <f t="array" ref="I79">IFERROR(INDEX('Detail inputs'!$B$3:$K$196,MATCH($B79&amp;$G79&amp;I$5,'Detail inputs'!$B$3:$B$196&amp;'Detail inputs'!$G$3:$G$196&amp;'Detail inputs'!$H$3:$H$196,0),MATCH(I$4,'Detail inputs'!$B$3:$K$3,0)),0)</f>
        <v>0</v>
      </c>
      <c r="J79" s="172">
        <f t="shared" si="50"/>
        <v>0</v>
      </c>
      <c r="K79" s="192">
        <f>IFERROR(J79/J83,"")</f>
        <v>0</v>
      </c>
      <c r="L79" s="192"/>
      <c r="M79" s="192" t="str">
        <f t="shared" si="47"/>
        <v/>
      </c>
      <c r="N79" s="189"/>
      <c r="O79" s="172"/>
      <c r="P79" s="172">
        <f t="array" ref="P79">IFERROR(INDEX('Detail inputs'!$B$3:$K$196,MATCH($B79&amp;$G79&amp;P$5,'Detail inputs'!$B$3:$B$196&amp;'Detail inputs'!$G$3:$G$196&amp;'Detail inputs'!$H$3:$H$196,0),MATCH(P$4,'Detail inputs'!$B$3:$K$3,0)),0)</f>
        <v>0</v>
      </c>
      <c r="Q79" s="172">
        <f t="shared" si="51"/>
        <v>0</v>
      </c>
      <c r="R79" s="192">
        <f>IFERROR(Q79/Q83,"")</f>
        <v>0</v>
      </c>
    </row>
    <row r="80" spans="2:18" outlineLevel="1" x14ac:dyDescent="0.25">
      <c r="B80" s="3" t="str">
        <f t="shared" si="46"/>
        <v>Endeavour</v>
      </c>
      <c r="C80" s="3" t="str">
        <f t="shared" si="44"/>
        <v>Residential</v>
      </c>
      <c r="D80" s="3" t="str">
        <f t="shared" si="45"/>
        <v>with CL</v>
      </c>
      <c r="E80" s="3" t="s">
        <v>17</v>
      </c>
      <c r="F80" s="175">
        <f t="array" ref="F80">IFERROR(INDEX(Usage!$B$5:$P$18,MATCH($B80,Usage!$B$5:$B$18,0),MATCH($C80&amp;$D80&amp;$E80,Usage!$B$5:$S$5&amp;Usage!$B$6:$S$6&amp;Usage!$B$7:$S$7,0)),0)</f>
        <v>726</v>
      </c>
      <c r="G80" s="3" t="str">
        <f>+G59</f>
        <v>June 2022 Event Cost</v>
      </c>
      <c r="H80" s="172"/>
      <c r="I80" s="172">
        <f t="array" ref="I80">IFERROR(INDEX('Detail inputs'!$B$3:$K$196,MATCH($B80&amp;$G80&amp;I$5,'Detail inputs'!$B$3:$B$196&amp;'Detail inputs'!$G$3:$G$196&amp;'Detail inputs'!$H$3:$H$196,0),MATCH(I$4,'Detail inputs'!$B$3:$K$3,0)),0)</f>
        <v>0</v>
      </c>
      <c r="J80" s="172">
        <f t="shared" si="50"/>
        <v>0</v>
      </c>
      <c r="K80" s="192">
        <f>IFERROR(J80/J84,"")</f>
        <v>0</v>
      </c>
      <c r="L80" s="192"/>
      <c r="M80" s="192" t="str">
        <f t="shared" si="47"/>
        <v/>
      </c>
      <c r="N80" s="189"/>
      <c r="O80" s="172"/>
      <c r="P80" s="172">
        <f t="array" ref="P80">IFERROR(INDEX('Detail inputs'!$B$3:$K$196,MATCH($B80&amp;$G80&amp;P$5,'Detail inputs'!$B$3:$B$196&amp;'Detail inputs'!$G$3:$G$196&amp;'Detail inputs'!$H$3:$H$196,0),MATCH(P$4,'Detail inputs'!$B$3:$K$3,0)),0)</f>
        <v>2.0499999999999998</v>
      </c>
      <c r="Q80" s="172">
        <f t="shared" si="51"/>
        <v>1.4883</v>
      </c>
      <c r="R80" s="192">
        <f>IFERROR(Q80/Q84,"")</f>
        <v>1.090566159401599E-3</v>
      </c>
    </row>
    <row r="81" spans="2:19" outlineLevel="1" x14ac:dyDescent="0.25">
      <c r="B81" s="3" t="str">
        <f t="shared" si="46"/>
        <v>Endeavour</v>
      </c>
      <c r="C81" s="3" t="str">
        <f t="shared" si="44"/>
        <v>Residential</v>
      </c>
      <c r="D81" s="3" t="str">
        <f t="shared" si="45"/>
        <v>with CL</v>
      </c>
      <c r="E81" s="3" t="s">
        <v>17</v>
      </c>
      <c r="F81" s="175">
        <f t="array" ref="F81">IFERROR(INDEX(Usage!$B$5:$P$18,MATCH($B81,Usage!$B$5:$B$18,0),MATCH($C81&amp;$D81&amp;$E81,Usage!$B$5:$S$5&amp;Usage!$B$6:$S$6&amp;Usage!$B$7:$S$7,0)),0)</f>
        <v>726</v>
      </c>
      <c r="G81" s="3" t="s">
        <v>155</v>
      </c>
      <c r="H81" s="172"/>
      <c r="I81" s="172">
        <f t="array" ref="I81">IFERROR(INDEX('Detail inputs'!$B$3:$K$196,MATCH($B81&amp;$G81&amp;I$5,'Detail inputs'!$B$3:$B$196&amp;'Detail inputs'!$G$3:$G$196&amp;'Detail inputs'!$H$3:$H$196,0),MATCH(I$4,'Detail inputs'!$B$3:$K$3,0)),0)</f>
        <v>2.56</v>
      </c>
      <c r="J81" s="172">
        <f t="shared" si="50"/>
        <v>1.85856</v>
      </c>
      <c r="K81" s="192">
        <f>IFERROR(J81/J83,"")</f>
        <v>2.2358078602620089E-2</v>
      </c>
      <c r="L81" s="192"/>
      <c r="M81" s="192">
        <f t="shared" si="47"/>
        <v>8.59375E-2</v>
      </c>
      <c r="N81" s="189"/>
      <c r="O81" s="172"/>
      <c r="P81" s="172">
        <f t="array" ref="P81">IFERROR(INDEX('Detail inputs'!$B$3:$K$196,MATCH($B81&amp;$G81&amp;P$5,'Detail inputs'!$B$3:$B$196&amp;'Detail inputs'!$G$3:$G$196&amp;'Detail inputs'!$H$3:$H$196,0),MATCH(P$4,'Detail inputs'!$B$3:$K$3,0)),0)</f>
        <v>2.78</v>
      </c>
      <c r="Q81" s="172">
        <f t="shared" si="51"/>
        <v>2.0182799999999999</v>
      </c>
      <c r="R81" s="192">
        <f>IFERROR(Q81/Q83,"")</f>
        <v>1.6010135913384013E-2</v>
      </c>
    </row>
    <row r="82" spans="2:19" outlineLevel="1" x14ac:dyDescent="0.25">
      <c r="B82" s="3" t="str">
        <f t="shared" si="46"/>
        <v>Endeavour</v>
      </c>
      <c r="C82" s="3" t="str">
        <f t="shared" si="44"/>
        <v>Residential</v>
      </c>
      <c r="D82" s="3" t="str">
        <f t="shared" si="45"/>
        <v>with CL</v>
      </c>
      <c r="E82" s="3" t="s">
        <v>17</v>
      </c>
      <c r="F82" s="175">
        <f t="array" ref="F82">IFERROR(INDEX(Usage!$B$5:$P$18,MATCH($B82,Usage!$B$5:$B$18,0),MATCH($C82&amp;$D82&amp;$E82,Usage!$B$5:$S$5&amp;Usage!$B$6:$S$6&amp;Usage!$B$7:$S$7,0)),0)</f>
        <v>726</v>
      </c>
      <c r="G82" s="3" t="s">
        <v>79</v>
      </c>
      <c r="H82" s="172"/>
      <c r="I82" s="172" cm="1">
        <f t="array" ref="I82">ROUND(IFERROR(INDEX('Detail inputs'!$B$3:$K$196,MATCH($B82&amp;$C82&amp;$E82&amp;$G82&amp;I$5,'Detail inputs'!$B$3:$B$196&amp;'Detail inputs'!$D$3:$D$196&amp;'Detail inputs'!$F$3:$F$196&amp;'Detail inputs'!$G$3:$G$196&amp;'Detail inputs'!$H$3:$H$196,0),MATCH(I$4,'Detail inputs'!$B$3:$K$3,0)),0)*SUM(I76:I81), 2)</f>
        <v>6.48</v>
      </c>
      <c r="J82" s="172">
        <f t="shared" si="50"/>
        <v>4.7044800000000002</v>
      </c>
      <c r="K82" s="192">
        <f>IFERROR(J82/J83,"")</f>
        <v>5.6593886462882104E-2</v>
      </c>
      <c r="L82" s="192"/>
      <c r="M82" s="192">
        <f t="shared" si="47"/>
        <v>0.51697530864197527</v>
      </c>
      <c r="N82" s="189"/>
      <c r="O82" s="172"/>
      <c r="P82" s="172" cm="1">
        <f t="array" ref="P82">ROUND(IFERROR(INDEX('Detail inputs'!$B$3:$K$196,MATCH($B82&amp;$C82&amp;$E82&amp;$G82&amp;P$5,'Detail inputs'!$B$3:$B$196&amp;'Detail inputs'!$D$3:$D$196&amp;'Detail inputs'!$F$3:$F$196&amp;'Detail inputs'!$G$3:$G$196&amp;'Detail inputs'!$H$3:$H$196,0),MATCH(P$4,'Detail inputs'!$B$3:$K$3,0)),0)*SUM(P76:P81), 2)</f>
        <v>9.83</v>
      </c>
      <c r="Q82" s="172">
        <f t="shared" si="51"/>
        <v>7.1365800000000004</v>
      </c>
      <c r="R82" s="192">
        <f>IFERROR(Q82/Q83,"")</f>
        <v>5.6611379866390241E-2</v>
      </c>
    </row>
    <row r="83" spans="2:19" outlineLevel="1" x14ac:dyDescent="0.25">
      <c r="B83" s="3" t="str">
        <f t="shared" si="46"/>
        <v>Endeavour</v>
      </c>
      <c r="C83" s="3" t="str">
        <f t="shared" si="44"/>
        <v>Residential</v>
      </c>
      <c r="D83" s="3" t="str">
        <f t="shared" si="45"/>
        <v>with CL</v>
      </c>
      <c r="E83" s="3" t="s">
        <v>17</v>
      </c>
      <c r="F83" s="175">
        <f t="array" ref="F83">IFERROR(INDEX(Usage!$B$5:$P$18,MATCH($B83,Usage!$B$5:$B$18,0),MATCH($C83&amp;$D83&amp;$E83,Usage!$B$5:$S$5&amp;Usage!$B$6:$S$6&amp;Usage!$B$7:$S$7,0)),0)</f>
        <v>726</v>
      </c>
      <c r="G83" s="3" t="s">
        <v>61</v>
      </c>
      <c r="H83" s="172"/>
      <c r="I83" s="172">
        <f t="array" ref="I83">INDEX('Key inputs'!$B$17:$N$41,MATCH($B83&amp;$C83&amp;$E83,'Key inputs'!$B$17:$B$41&amp;'Key inputs'!$C$17:$C$41&amp;'Key inputs'!$D$17:$D$41,0),MATCH($A$2&amp;I$4,'Key inputs'!$B$18:$N$18&amp;'Key inputs'!$B$19:$N$19,0))</f>
        <v>114.5</v>
      </c>
      <c r="J83" s="172">
        <f t="shared" si="50"/>
        <v>83.126999999999995</v>
      </c>
      <c r="K83" s="192"/>
      <c r="L83" s="199"/>
      <c r="M83" s="192">
        <f t="shared" si="47"/>
        <v>0.51650655021834058</v>
      </c>
      <c r="N83" s="197"/>
      <c r="O83" s="172"/>
      <c r="P83" s="172">
        <f t="array" ref="P83">INDEX('Key inputs'!$B$17:$N$41,MATCH($B83&amp;$C83&amp;$E83,'Key inputs'!$B$17:$B$41&amp;'Key inputs'!$C$17:$C$41&amp;'Key inputs'!$D$17:$D$41,0),MATCH($A$2&amp;P$4,'Key inputs'!$B$18:$N$18&amp;'Key inputs'!$B$19:$N$19,0))</f>
        <v>173.64</v>
      </c>
      <c r="Q83" s="172">
        <f t="shared" si="51"/>
        <v>126.06263999999999</v>
      </c>
      <c r="R83" s="192"/>
    </row>
    <row r="84" spans="2:19" x14ac:dyDescent="0.25">
      <c r="B84" s="3" t="str">
        <f t="shared" si="46"/>
        <v>Endeavour</v>
      </c>
      <c r="C84" s="3" t="str">
        <f t="shared" si="44"/>
        <v>Residential</v>
      </c>
      <c r="D84" s="3" t="str">
        <f t="shared" si="45"/>
        <v>with CL</v>
      </c>
      <c r="E84" s="3" t="s">
        <v>61</v>
      </c>
      <c r="F84" s="175">
        <f t="array" ref="F84">IFERROR(INDEX(Usage!$B$5:$P$18,MATCH($B84,Usage!$B$5:$B$18,0),MATCH($C84&amp;$D84&amp;$E84,Usage!$B$5:$S$5&amp;Usage!$B$6:$S$6&amp;Usage!$B$7:$S$7,0)),0)</f>
        <v>7400</v>
      </c>
      <c r="G84" s="3" t="s">
        <v>61</v>
      </c>
      <c r="H84" s="172"/>
      <c r="I84" s="172">
        <f>I67+I75+I83</f>
        <v>353.25</v>
      </c>
      <c r="J84" s="172">
        <f>J67+J75+J83</f>
        <v>898</v>
      </c>
      <c r="K84" s="192"/>
      <c r="L84" s="199"/>
      <c r="M84" s="192">
        <f t="shared" si="47"/>
        <v>0.51971492204899805</v>
      </c>
      <c r="N84" s="197"/>
      <c r="O84" s="172"/>
      <c r="P84" s="172">
        <f>P67+P75+P83</f>
        <v>536.26</v>
      </c>
      <c r="Q84" s="172">
        <f>Q67+Q75+Q83</f>
        <v>1364.7040000000002</v>
      </c>
      <c r="R84" s="192"/>
    </row>
    <row r="85" spans="2:19" outlineLevel="1" x14ac:dyDescent="0.25">
      <c r="B85" s="3" t="str">
        <f t="shared" si="46"/>
        <v>Endeavour</v>
      </c>
      <c r="C85" s="3" t="str">
        <f t="shared" si="44"/>
        <v>Residential</v>
      </c>
      <c r="D85" s="3" t="str">
        <f t="shared" si="45"/>
        <v>with CL</v>
      </c>
      <c r="F85" s="175"/>
      <c r="G85" s="3" t="s">
        <v>41</v>
      </c>
      <c r="H85" s="172"/>
      <c r="I85" s="172"/>
      <c r="J85" s="172">
        <f>J84*GST</f>
        <v>89.800000000000011</v>
      </c>
      <c r="K85" s="192"/>
      <c r="L85" s="199"/>
      <c r="M85" s="192"/>
      <c r="N85" s="197"/>
      <c r="O85" s="172"/>
      <c r="P85" s="172"/>
      <c r="Q85" s="172">
        <f>Q84*GST</f>
        <v>136.47040000000001</v>
      </c>
      <c r="R85" s="193"/>
    </row>
    <row r="86" spans="2:19" x14ac:dyDescent="0.25">
      <c r="B86" s="3" t="str">
        <f t="shared" si="46"/>
        <v>Endeavour</v>
      </c>
      <c r="C86" s="3" t="str">
        <f t="shared" si="44"/>
        <v>Residential</v>
      </c>
      <c r="D86" s="3" t="str">
        <f t="shared" si="45"/>
        <v>with CL</v>
      </c>
      <c r="F86" s="175"/>
      <c r="G86" s="5" t="s">
        <v>87</v>
      </c>
      <c r="H86" s="174"/>
      <c r="I86" s="174"/>
      <c r="J86" s="174">
        <f>SUM(J84:J85)</f>
        <v>987.8</v>
      </c>
      <c r="K86" s="193"/>
      <c r="L86" s="200"/>
      <c r="M86" s="193">
        <f>IF(OR(J86=0,Q86=""),"",Q86/J86-1)</f>
        <v>0.51971492204899805</v>
      </c>
      <c r="N86" s="198"/>
      <c r="O86" s="174"/>
      <c r="P86" s="174"/>
      <c r="Q86" s="174">
        <f>SUM(Q84:Q85)</f>
        <v>1501.1744000000001</v>
      </c>
      <c r="R86" s="193"/>
    </row>
    <row r="87" spans="2:19" x14ac:dyDescent="0.25">
      <c r="F87" s="175"/>
      <c r="H87" s="172"/>
      <c r="I87" s="172"/>
      <c r="J87" s="172"/>
      <c r="K87" s="191"/>
      <c r="L87" s="199"/>
      <c r="M87" s="191"/>
      <c r="N87" s="197"/>
      <c r="O87" s="172"/>
      <c r="P87" s="172"/>
      <c r="Q87" s="172"/>
      <c r="R87" s="191"/>
    </row>
    <row r="88" spans="2:19" x14ac:dyDescent="0.25">
      <c r="B88" s="5" t="s">
        <v>4</v>
      </c>
      <c r="C88" s="5" t="s">
        <v>15</v>
      </c>
      <c r="D88" s="5" t="s">
        <v>146</v>
      </c>
      <c r="F88" s="175"/>
      <c r="H88" s="172"/>
      <c r="I88" s="172"/>
      <c r="J88" s="172"/>
      <c r="K88" s="191"/>
      <c r="L88" s="199"/>
      <c r="M88" s="191"/>
      <c r="N88" s="197"/>
      <c r="O88" s="172"/>
      <c r="P88" s="172"/>
      <c r="Q88" s="172"/>
      <c r="R88" s="191"/>
    </row>
    <row r="89" spans="2:19" outlineLevel="1" x14ac:dyDescent="0.25">
      <c r="B89" s="3" t="str">
        <f>B88</f>
        <v>Endeavour</v>
      </c>
      <c r="C89" s="3" t="str">
        <f t="shared" ref="C89:C98" si="52">C88</f>
        <v>Small business</v>
      </c>
      <c r="D89" s="3" t="str">
        <f t="shared" ref="D89:D98" si="53">D88</f>
        <v>without CL</v>
      </c>
      <c r="E89" s="3" t="s">
        <v>22</v>
      </c>
      <c r="F89" s="175">
        <f t="array" ref="F89">IFERROR(INDEX(Usage!$B$5:$P$18,MATCH($B89,Usage!$B$5:$B$18,0),MATCH($C89&amp;$D89&amp;$E89,Usage!$B$5:$S$5&amp;Usage!$B$6:$S$6&amp;Usage!$B$7:$S$7,0)),0)</f>
        <v>10000</v>
      </c>
      <c r="G89" s="3" t="s">
        <v>76</v>
      </c>
      <c r="H89" s="172"/>
      <c r="I89" s="172">
        <f t="array" ref="I89">IFERROR(INDEX('Detail inputs'!$B$3:$K$196,MATCH($B89&amp;$C89&amp;$E89&amp;$G89&amp;I$5,'Detail inputs'!$B$3:$B$196&amp;'Detail inputs'!$D$3:$D$196&amp;'Detail inputs'!$F$3:$F$196&amp;'Detail inputs'!$G$3:$G$196&amp;'Detail inputs'!$H$3:$H$196,0),MATCH(I$4,'Detail inputs'!$B$3:$K$3,0)),0)</f>
        <v>113.22</v>
      </c>
      <c r="J89" s="172">
        <f>IF(AND(H89="",I89=""),"",H89+I89*$F89/1000)</f>
        <v>1132.2</v>
      </c>
      <c r="K89" s="191">
        <f>IFERROR(J89/J96,"")</f>
        <v>0.91122736418511074</v>
      </c>
      <c r="L89" s="191"/>
      <c r="M89" s="191">
        <f t="shared" ref="M89:M96" si="54">IF(OR(J89=0,Q89=""),"",Q89/J89-1)</f>
        <v>0.5181063416357532</v>
      </c>
      <c r="N89" s="188"/>
      <c r="O89" s="172"/>
      <c r="P89" s="172">
        <f t="array" ref="P89">IFERROR(INDEX('Detail inputs'!$B$3:$K$196,MATCH($B89&amp;$C89&amp;$E89&amp;$G89&amp;P$5,'Detail inputs'!$B$3:$B$196&amp;'Detail inputs'!$D$3:$D$196&amp;'Detail inputs'!$F$3:$F$196&amp;'Detail inputs'!$G$3:$G$196&amp;'Detail inputs'!$H$3:$H$196,0),MATCH(P$4,'Detail inputs'!$B$3:$K$3,0)),0)</f>
        <v>171.88</v>
      </c>
      <c r="Q89" s="172">
        <f>IF(AND(O89="",P89=""),"",O89+P89*$F89/1000)</f>
        <v>1718.8</v>
      </c>
      <c r="R89" s="191">
        <f>IFERROR(Q89/Q96,"")</f>
        <v>0.90951423431050904</v>
      </c>
    </row>
    <row r="90" spans="2:19" outlineLevel="1" x14ac:dyDescent="0.25">
      <c r="B90" s="3" t="str">
        <f t="shared" ref="B90:B98" si="55">B89</f>
        <v>Endeavour</v>
      </c>
      <c r="C90" s="3" t="str">
        <f t="shared" si="52"/>
        <v>Small business</v>
      </c>
      <c r="D90" s="3" t="str">
        <f t="shared" si="53"/>
        <v>without CL</v>
      </c>
      <c r="E90" s="3" t="s">
        <v>22</v>
      </c>
      <c r="F90" s="175">
        <f t="array" ref="F90">IFERROR(INDEX(Usage!$B$5:$P$18,MATCH($B90,Usage!$B$5:$B$18,0),MATCH($C90&amp;$D90&amp;$E90,Usage!$B$5:$S$5&amp;Usage!$B$6:$S$6&amp;Usage!$B$7:$S$7,0)),0)</f>
        <v>10000</v>
      </c>
      <c r="G90" s="3" t="s">
        <v>77</v>
      </c>
      <c r="H90" s="172"/>
      <c r="I90" s="172">
        <f t="array" ref="I90">IFERROR(INDEX('Detail inputs'!$B$3:$K$196,MATCH($B90&amp;$G90&amp;I$5,'Detail inputs'!$B$3:$B$196&amp;'Detail inputs'!$G$3:$G$196&amp;'Detail inputs'!$H$3:$H$196,0),MATCH(I$4,'Detail inputs'!$B$3:$K$3,0)),0)</f>
        <v>0.34</v>
      </c>
      <c r="J90" s="172">
        <f t="shared" ref="J90:J96" si="56">IF(AND(H90="",I90=""),"",H90+I90*$F90/1000)</f>
        <v>3.4000000000000004</v>
      </c>
      <c r="K90" s="191">
        <f>IFERROR(J90/J96,"")</f>
        <v>2.7364185110663988E-3</v>
      </c>
      <c r="L90" s="191"/>
      <c r="M90" s="191">
        <f t="shared" si="54"/>
        <v>0.23529411764705865</v>
      </c>
      <c r="N90" s="188"/>
      <c r="O90" s="172"/>
      <c r="P90" s="172">
        <f t="array" ref="P90">IFERROR(INDEX('Detail inputs'!$B$3:$K$196,MATCH($B90&amp;$G90&amp;P$5,'Detail inputs'!$B$3:$B$196&amp;'Detail inputs'!$G$3:$G$196&amp;'Detail inputs'!$H$3:$H$196,0),MATCH(P$4,'Detail inputs'!$B$3:$K$3,0)),0)</f>
        <v>0.42</v>
      </c>
      <c r="Q90" s="172">
        <f t="shared" ref="Q90:Q96" si="57">IF(AND(O90="",P90=""),"",O90+P90*$F90/1000)</f>
        <v>4.2</v>
      </c>
      <c r="R90" s="191">
        <f>IFERROR(Q90/Q96,"")</f>
        <v>2.2224574028997779E-3</v>
      </c>
    </row>
    <row r="91" spans="2:19" outlineLevel="1" x14ac:dyDescent="0.25">
      <c r="B91" s="3" t="str">
        <f t="shared" si="55"/>
        <v>Endeavour</v>
      </c>
      <c r="C91" s="3" t="str">
        <f t="shared" si="52"/>
        <v>Small business</v>
      </c>
      <c r="D91" s="3" t="str">
        <f t="shared" si="53"/>
        <v>without CL</v>
      </c>
      <c r="E91" s="3" t="s">
        <v>22</v>
      </c>
      <c r="F91" s="175">
        <f t="array" ref="F91">IFERROR(INDEX(Usage!$B$5:$P$18,MATCH($B91,Usage!$B$5:$B$18,0),MATCH($C91&amp;$D91&amp;$E91,Usage!$B$5:$S$5&amp;Usage!$B$6:$S$6&amp;Usage!$B$7:$S$7,0)),0)</f>
        <v>10000</v>
      </c>
      <c r="G91" s="3" t="s">
        <v>85</v>
      </c>
      <c r="H91" s="172"/>
      <c r="I91" s="172">
        <f t="array" ref="I91">IFERROR(INDEX('Detail inputs'!$B$3:$K$196,MATCH($B91&amp;$G91&amp;I$5,'Detail inputs'!$B$3:$B$196&amp;'Detail inputs'!$G$3:$G$196&amp;'Detail inputs'!$H$3:$H$196,0),MATCH(I$4,'Detail inputs'!$B$3:$K$3,0)),0)</f>
        <v>1.1000000000000001</v>
      </c>
      <c r="J91" s="172">
        <f t="shared" si="56"/>
        <v>11</v>
      </c>
      <c r="K91" s="191">
        <f>IFERROR(J91/J96,"")</f>
        <v>8.8531187122736412E-3</v>
      </c>
      <c r="L91" s="191"/>
      <c r="M91" s="191">
        <f t="shared" si="54"/>
        <v>4.5454545454545414E-2</v>
      </c>
      <c r="N91" s="188"/>
      <c r="O91" s="172"/>
      <c r="P91" s="172">
        <f t="array" ref="P91">IFERROR(INDEX('Detail inputs'!$B$3:$K$196,MATCH($B91&amp;$G91&amp;P$5,'Detail inputs'!$B$3:$B$196&amp;'Detail inputs'!$G$3:$G$196&amp;'Detail inputs'!$H$3:$H$196,0),MATCH(P$4,'Detail inputs'!$B$3:$K$3,0)),0)</f>
        <v>1.1499999999999999</v>
      </c>
      <c r="Q91" s="172">
        <f t="shared" si="57"/>
        <v>11.5</v>
      </c>
      <c r="R91" s="191">
        <f>IFERROR(Q91/Q96,"")</f>
        <v>6.0853000317493914E-3</v>
      </c>
    </row>
    <row r="92" spans="2:19" outlineLevel="1" x14ac:dyDescent="0.25">
      <c r="B92" s="3" t="str">
        <f t="shared" si="55"/>
        <v>Endeavour</v>
      </c>
      <c r="C92" s="3" t="str">
        <f t="shared" si="52"/>
        <v>Small business</v>
      </c>
      <c r="D92" s="3" t="str">
        <f t="shared" si="53"/>
        <v>without CL</v>
      </c>
      <c r="E92" s="3" t="s">
        <v>22</v>
      </c>
      <c r="F92" s="175">
        <f t="array" ref="F92">IFERROR(INDEX(Usage!$B$5:$P$18,MATCH($B92,Usage!$B$5:$B$18,0),MATCH($C92&amp;$D92&amp;$E92,Usage!$B$5:$S$5&amp;Usage!$B$6:$S$6&amp;Usage!$B$7:$S$7,0)),0)</f>
        <v>10000</v>
      </c>
      <c r="G92" s="3" t="s">
        <v>78</v>
      </c>
      <c r="H92" s="172"/>
      <c r="I92" s="172">
        <f t="array" ref="I92">IFERROR(INDEX('Detail inputs'!$B$3:$K$196,MATCH($B92&amp;$G92&amp;I$5,'Detail inputs'!$B$3:$B$196&amp;'Detail inputs'!$G$3:$G$196&amp;'Detail inputs'!$H$3:$H$196,0),MATCH(I$4,'Detail inputs'!$B$3:$K$3,0)),0)</f>
        <v>0</v>
      </c>
      <c r="J92" s="172">
        <f t="shared" si="56"/>
        <v>0</v>
      </c>
      <c r="K92" s="191">
        <f>IFERROR(J92/J96,"")</f>
        <v>0</v>
      </c>
      <c r="L92" s="191"/>
      <c r="M92" s="191" t="str">
        <f t="shared" si="54"/>
        <v/>
      </c>
      <c r="N92" s="188"/>
      <c r="O92" s="172"/>
      <c r="P92" s="172">
        <f t="array" ref="P92">IFERROR(INDEX('Detail inputs'!$B$3:$K$196,MATCH($B92&amp;$G92&amp;P$5,'Detail inputs'!$B$3:$B$196&amp;'Detail inputs'!$G$3:$G$196&amp;'Detail inputs'!$H$3:$H$196,0),MATCH(P$4,'Detail inputs'!$B$3:$K$3,0)),0)</f>
        <v>0</v>
      </c>
      <c r="Q92" s="172">
        <f t="shared" si="57"/>
        <v>0</v>
      </c>
      <c r="R92" s="191">
        <f>IFERROR(Q92/Q96,"")</f>
        <v>0</v>
      </c>
    </row>
    <row r="93" spans="2:19" outlineLevel="1" x14ac:dyDescent="0.25">
      <c r="B93" s="3" t="str">
        <f t="shared" si="55"/>
        <v>Endeavour</v>
      </c>
      <c r="C93" s="3" t="str">
        <f t="shared" si="52"/>
        <v>Small business</v>
      </c>
      <c r="D93" s="3" t="str">
        <f t="shared" si="53"/>
        <v>without CL</v>
      </c>
      <c r="E93" s="3" t="s">
        <v>22</v>
      </c>
      <c r="F93" s="175">
        <f t="array" ref="F93">IFERROR(INDEX(Usage!$B$5:$P$18,MATCH($B93,Usage!$B$5:$B$18,0),MATCH($C93&amp;$D93&amp;$E93,Usage!$B$5:$S$5&amp;Usage!$B$6:$S$6&amp;Usage!$B$7:$S$7,0)),0)</f>
        <v>10000</v>
      </c>
      <c r="G93" s="3" t="str">
        <f>+G80</f>
        <v>June 2022 Event Cost</v>
      </c>
      <c r="H93" s="172"/>
      <c r="I93" s="172">
        <f t="array" ref="I93">IFERROR(INDEX('Detail inputs'!$B$3:$K$196,MATCH($B93&amp;$G93&amp;I$5,'Detail inputs'!$B$3:$B$196&amp;'Detail inputs'!$G$3:$G$196&amp;'Detail inputs'!$H$3:$H$196,0),MATCH(I$4,'Detail inputs'!$B$3:$K$3,0)),0)</f>
        <v>0</v>
      </c>
      <c r="J93" s="172">
        <f t="shared" si="56"/>
        <v>0</v>
      </c>
      <c r="K93" s="191">
        <f>IFERROR(J93/J97,"")</f>
        <v>0</v>
      </c>
      <c r="L93" s="191"/>
      <c r="M93" s="191" t="str">
        <f t="shared" si="54"/>
        <v/>
      </c>
      <c r="N93" s="188"/>
      <c r="O93" s="172"/>
      <c r="P93" s="172">
        <f t="array" ref="P93">IFERROR(INDEX('Detail inputs'!$B$3:$K$196,MATCH($B93&amp;$G93&amp;P$5,'Detail inputs'!$B$3:$B$196&amp;'Detail inputs'!$G$3:$G$196&amp;'Detail inputs'!$H$3:$H$196,0),MATCH(P$4,'Detail inputs'!$B$3:$K$3,0)),0)</f>
        <v>2.0499999999999998</v>
      </c>
      <c r="Q93" s="172">
        <f t="shared" si="57"/>
        <v>20.5</v>
      </c>
      <c r="R93" s="191">
        <f>IFERROR(Q93/Q97,"")</f>
        <v>0.10847708752248914</v>
      </c>
    </row>
    <row r="94" spans="2:19" outlineLevel="1" x14ac:dyDescent="0.25">
      <c r="B94" s="3" t="str">
        <f t="shared" si="55"/>
        <v>Endeavour</v>
      </c>
      <c r="C94" s="3" t="str">
        <f t="shared" si="52"/>
        <v>Small business</v>
      </c>
      <c r="D94" s="3" t="str">
        <f t="shared" si="53"/>
        <v>without CL</v>
      </c>
      <c r="E94" s="3" t="s">
        <v>22</v>
      </c>
      <c r="F94" s="175">
        <f t="array" ref="F94">IFERROR(INDEX(Usage!$B$5:$P$18,MATCH($B94,Usage!$B$5:$B$18,0),MATCH($C94&amp;$D94&amp;$E94,Usage!$B$5:$S$5&amp;Usage!$B$6:$S$6&amp;Usage!$B$7:$S$7,0)),0)</f>
        <v>10000</v>
      </c>
      <c r="G94" s="3" t="s">
        <v>155</v>
      </c>
      <c r="H94" s="172"/>
      <c r="I94" s="172">
        <f t="array" ref="I94">IFERROR(INDEX('Detail inputs'!$B$3:$K$196,MATCH($B94&amp;$G94&amp;I$5,'Detail inputs'!$B$3:$B$196&amp;'Detail inputs'!$G$3:$G$196&amp;'Detail inputs'!$H$3:$H$196,0),MATCH(I$4,'Detail inputs'!$B$3:$K$3,0)),0)</f>
        <v>2.56</v>
      </c>
      <c r="J94" s="172">
        <f t="shared" si="56"/>
        <v>25.6</v>
      </c>
      <c r="K94" s="191">
        <f>IFERROR(J94/J96,"")</f>
        <v>2.0603621730382295E-2</v>
      </c>
      <c r="L94" s="191"/>
      <c r="M94" s="191">
        <f t="shared" si="54"/>
        <v>8.5937499999999778E-2</v>
      </c>
      <c r="N94" s="188"/>
      <c r="O94" s="172"/>
      <c r="P94" s="172">
        <f t="array" ref="P94">IFERROR(INDEX('Detail inputs'!$B$3:$K$196,MATCH($B94&amp;$G94&amp;P$5,'Detail inputs'!$B$3:$B$196&amp;'Detail inputs'!$G$3:$G$196&amp;'Detail inputs'!$H$3:$H$196,0),MATCH(P$4,'Detail inputs'!$B$3:$K$3,0)),0)</f>
        <v>2.78</v>
      </c>
      <c r="Q94" s="172">
        <f t="shared" si="57"/>
        <v>27.799999999999997</v>
      </c>
      <c r="R94" s="191">
        <f>IFERROR(Q94/Q96,"")</f>
        <v>1.4710551381098528E-2</v>
      </c>
    </row>
    <row r="95" spans="2:19" outlineLevel="1" x14ac:dyDescent="0.25">
      <c r="B95" s="3" t="str">
        <f t="shared" si="55"/>
        <v>Endeavour</v>
      </c>
      <c r="C95" s="3" t="str">
        <f t="shared" si="52"/>
        <v>Small business</v>
      </c>
      <c r="D95" s="3" t="str">
        <f t="shared" si="53"/>
        <v>without CL</v>
      </c>
      <c r="E95" s="3" t="s">
        <v>22</v>
      </c>
      <c r="F95" s="175">
        <f t="array" ref="F95">IFERROR(INDEX(Usage!$B$5:$P$18,MATCH($B95,Usage!$B$5:$B$18,0),MATCH($C95&amp;$D95&amp;$E95,Usage!$B$5:$S$5&amp;Usage!$B$6:$S$6&amp;Usage!$B$7:$S$7,0)),0)</f>
        <v>10000</v>
      </c>
      <c r="G95" s="3" t="s">
        <v>79</v>
      </c>
      <c r="H95" s="172"/>
      <c r="I95" s="172" cm="1">
        <f t="array" ref="I95">ROUND(IFERROR(INDEX('Detail inputs'!$B$3:$K$196,MATCH($B95&amp;$C95&amp;$E95&amp;$G95&amp;I$5,'Detail inputs'!$B$3:$B$196&amp;'Detail inputs'!$D$3:$D$196&amp;'Detail inputs'!$F$3:$F$196&amp;'Detail inputs'!$G$3:$G$196&amp;'Detail inputs'!$H$3:$H$196,0),MATCH(I$4,'Detail inputs'!$B$3:$K$3,0)),0)*SUM(I89:I94), 2)</f>
        <v>7.03</v>
      </c>
      <c r="J95" s="172">
        <f t="shared" si="56"/>
        <v>70.3</v>
      </c>
      <c r="K95" s="191">
        <f>IFERROR(J95/J96,"")</f>
        <v>5.6579476861167002E-2</v>
      </c>
      <c r="L95" s="191"/>
      <c r="M95" s="191">
        <f t="shared" si="54"/>
        <v>0.52204836415362732</v>
      </c>
      <c r="N95" s="188"/>
      <c r="O95" s="172"/>
      <c r="P95" s="172" cm="1">
        <f t="array" ref="P95">ROUND(IFERROR(INDEX('Detail inputs'!$B$3:$K$196,MATCH($B95&amp;$C95&amp;$E95&amp;$G95&amp;P$5,'Detail inputs'!$B$3:$B$196&amp;'Detail inputs'!$D$3:$D$196&amp;'Detail inputs'!$F$3:$F$196&amp;'Detail inputs'!$G$3:$G$196&amp;'Detail inputs'!$H$3:$H$196,0),MATCH(P$4,'Detail inputs'!$B$3:$K$3,0)),0)*SUM(P89:P94), 2)</f>
        <v>10.7</v>
      </c>
      <c r="Q95" s="172">
        <f t="shared" si="57"/>
        <v>107</v>
      </c>
      <c r="R95" s="191">
        <f>IFERROR(Q95/Q96,"")</f>
        <v>5.661974812149434E-2</v>
      </c>
      <c r="S95" s="90"/>
    </row>
    <row r="96" spans="2:19" x14ac:dyDescent="0.25">
      <c r="B96" s="3" t="str">
        <f t="shared" si="55"/>
        <v>Endeavour</v>
      </c>
      <c r="C96" s="3" t="str">
        <f t="shared" si="52"/>
        <v>Small business</v>
      </c>
      <c r="D96" s="3" t="str">
        <f t="shared" si="53"/>
        <v>without CL</v>
      </c>
      <c r="E96" s="3" t="s">
        <v>22</v>
      </c>
      <c r="F96" s="175">
        <f t="array" ref="F96">IFERROR(INDEX(Usage!$B$5:$P$18,MATCH($B96,Usage!$B$5:$B$18,0),MATCH($C96&amp;$D96&amp;$E96,Usage!$B$5:$S$5&amp;Usage!$B$6:$S$6&amp;Usage!$B$7:$S$7,0)),0)</f>
        <v>10000</v>
      </c>
      <c r="G96" s="3" t="s">
        <v>61</v>
      </c>
      <c r="H96" s="172"/>
      <c r="I96" s="172">
        <f t="array" ref="I96">INDEX('Key inputs'!$B$17:$N$41,MATCH($B96&amp;$C96&amp;$E96,'Key inputs'!$B$17:$B$41&amp;'Key inputs'!$C$17:$C$41&amp;'Key inputs'!$D$17:$D$41,0),MATCH($A$2&amp;I$4,'Key inputs'!$B$18:$N$18&amp;'Key inputs'!$B$19:$N$19,0))</f>
        <v>124.25</v>
      </c>
      <c r="J96" s="172">
        <f t="shared" si="56"/>
        <v>1242.5</v>
      </c>
      <c r="K96" s="192"/>
      <c r="L96" s="199"/>
      <c r="M96" s="192">
        <f t="shared" si="54"/>
        <v>0.52096579476861171</v>
      </c>
      <c r="N96" s="197"/>
      <c r="O96" s="172"/>
      <c r="P96" s="172">
        <f t="array" ref="P96">INDEX('Key inputs'!$B$17:$N$41,MATCH($B96&amp;$C96&amp;$E96,'Key inputs'!$B$17:$B$41&amp;'Key inputs'!$C$17:$C$41&amp;'Key inputs'!$D$17:$D$41,0),MATCH($A$2&amp;P$4,'Key inputs'!$B$18:$N$18&amp;'Key inputs'!$B$19:$N$19,0))</f>
        <v>188.98</v>
      </c>
      <c r="Q96" s="172">
        <f t="shared" si="57"/>
        <v>1889.8</v>
      </c>
      <c r="R96" s="192"/>
    </row>
    <row r="97" spans="2:19" outlineLevel="1" x14ac:dyDescent="0.25">
      <c r="B97" s="3" t="str">
        <f t="shared" si="55"/>
        <v>Endeavour</v>
      </c>
      <c r="C97" s="3" t="str">
        <f t="shared" si="52"/>
        <v>Small business</v>
      </c>
      <c r="D97" s="3" t="str">
        <f t="shared" si="53"/>
        <v>without CL</v>
      </c>
      <c r="F97" s="175"/>
      <c r="G97" s="3" t="s">
        <v>41</v>
      </c>
      <c r="H97" s="172"/>
      <c r="I97" s="172"/>
      <c r="J97" s="172">
        <f>J96*GST</f>
        <v>124.25</v>
      </c>
      <c r="K97" s="192"/>
      <c r="L97" s="199"/>
      <c r="M97" s="192"/>
      <c r="N97" s="197"/>
      <c r="O97" s="172"/>
      <c r="P97" s="172"/>
      <c r="Q97" s="172">
        <f>Q96*GST</f>
        <v>188.98000000000002</v>
      </c>
      <c r="R97" s="191"/>
    </row>
    <row r="98" spans="2:19" x14ac:dyDescent="0.25">
      <c r="B98" s="3" t="str">
        <f t="shared" si="55"/>
        <v>Endeavour</v>
      </c>
      <c r="C98" s="3" t="str">
        <f t="shared" si="52"/>
        <v>Small business</v>
      </c>
      <c r="D98" s="3" t="str">
        <f t="shared" si="53"/>
        <v>without CL</v>
      </c>
      <c r="F98" s="175"/>
      <c r="G98" s="5" t="s">
        <v>87</v>
      </c>
      <c r="H98" s="174"/>
      <c r="I98" s="174"/>
      <c r="J98" s="174">
        <f>SUM(J96:J97)</f>
        <v>1366.75</v>
      </c>
      <c r="K98" s="193"/>
      <c r="L98" s="200"/>
      <c r="M98" s="193">
        <f>IF(OR(J98=0,Q98=""),"",Q98/J98-1)</f>
        <v>0.52096579476861149</v>
      </c>
      <c r="N98" s="198"/>
      <c r="O98" s="174"/>
      <c r="P98" s="174"/>
      <c r="Q98" s="174">
        <f>SUM(Q96:Q97)</f>
        <v>2078.7799999999997</v>
      </c>
      <c r="R98" s="191"/>
    </row>
    <row r="99" spans="2:19" x14ac:dyDescent="0.25">
      <c r="F99" s="175"/>
      <c r="H99" s="172"/>
      <c r="I99" s="172"/>
      <c r="J99" s="172"/>
      <c r="K99" s="191"/>
      <c r="L99" s="199"/>
      <c r="M99" s="191"/>
      <c r="N99" s="197"/>
      <c r="O99" s="172"/>
      <c r="P99" s="172"/>
      <c r="Q99" s="172"/>
      <c r="R99" s="191"/>
    </row>
    <row r="100" spans="2:19" x14ac:dyDescent="0.25">
      <c r="B100" s="5" t="s">
        <v>3</v>
      </c>
      <c r="C100" s="5" t="s">
        <v>6</v>
      </c>
      <c r="D100" s="5" t="s">
        <v>146</v>
      </c>
      <c r="F100" s="175"/>
      <c r="H100" s="172"/>
      <c r="I100" s="172"/>
      <c r="J100" s="172"/>
      <c r="K100" s="191"/>
      <c r="L100" s="191"/>
      <c r="M100" s="191"/>
      <c r="N100" s="188"/>
      <c r="O100" s="172"/>
      <c r="P100" s="172"/>
      <c r="Q100" s="172"/>
      <c r="R100" s="191"/>
    </row>
    <row r="101" spans="2:19" outlineLevel="1" x14ac:dyDescent="0.25">
      <c r="B101" s="3" t="str">
        <f>B100</f>
        <v>Essential</v>
      </c>
      <c r="C101" s="3" t="str">
        <f t="shared" ref="C101:C110" si="58">C100</f>
        <v>Residential</v>
      </c>
      <c r="D101" s="3" t="str">
        <f t="shared" ref="D101:D110" si="59">D100</f>
        <v>without CL</v>
      </c>
      <c r="E101" s="3" t="s">
        <v>22</v>
      </c>
      <c r="F101" s="175">
        <f t="array" ref="F101">IFERROR(INDEX(Usage!$B$5:$P$18,MATCH($B101,Usage!$B$5:$B$18,0),MATCH($C101&amp;$D101&amp;$E101&amp;"Total",Usage!$B$5:$S$5&amp;Usage!$B$6:$S$6&amp;Usage!$B$7:$S$7&amp;Usage!$B$13:$S$13,0)),0)</f>
        <v>4600</v>
      </c>
      <c r="G101" s="3" t="s">
        <v>76</v>
      </c>
      <c r="H101" s="172"/>
      <c r="I101" s="172">
        <f t="array" ref="I101">IFERROR(INDEX('Detail inputs'!$B$3:$K$196,MATCH($B101&amp;$C101&amp;$E101&amp;$G101&amp;I$5,'Detail inputs'!$B$3:$B$196&amp;'Detail inputs'!$D$3:$D$196&amp;'Detail inputs'!$F$3:$F$196&amp;'Detail inputs'!$G$3:$G$196&amp;'Detail inputs'!$H$3:$H$196,0),MATCH(I$4,'Detail inputs'!$B$3:$K$3,0)),0)</f>
        <v>107.65</v>
      </c>
      <c r="J101" s="172">
        <f>H101+I101*$F101/1000</f>
        <v>495.19</v>
      </c>
      <c r="K101" s="191">
        <f>IFERROR(J101/J108,"")</f>
        <v>0.92825730792446326</v>
      </c>
      <c r="L101" s="191"/>
      <c r="M101" s="191">
        <f t="shared" ref="M101:M108" si="60">IF(OR(J101=0,Q101=""),"",Q101/J101-1)</f>
        <v>0.5388759869948907</v>
      </c>
      <c r="N101" s="188"/>
      <c r="O101" s="172"/>
      <c r="P101" s="172">
        <f t="array" ref="P101">IFERROR(INDEX('Detail inputs'!$B$3:$K$196,MATCH($B101&amp;$C101&amp;$E101&amp;$G101&amp;P$5,'Detail inputs'!$B$3:$B$196&amp;'Detail inputs'!$D$3:$D$196&amp;'Detail inputs'!$F$3:$F$196&amp;'Detail inputs'!$G$3:$G$196&amp;'Detail inputs'!$H$3:$H$196,0),MATCH(P$4,'Detail inputs'!$B$3:$K$3,0)),0)</f>
        <v>165.66</v>
      </c>
      <c r="Q101" s="172">
        <f>O101+P101*$F101/1000</f>
        <v>762.03599999999994</v>
      </c>
      <c r="R101" s="191">
        <f>IFERROR(Q101/Q108,"")</f>
        <v>0.93187826967429821</v>
      </c>
    </row>
    <row r="102" spans="2:19" outlineLevel="1" x14ac:dyDescent="0.25">
      <c r="B102" s="3" t="str">
        <f t="shared" ref="B102:B110" si="61">B101</f>
        <v>Essential</v>
      </c>
      <c r="C102" s="3" t="str">
        <f t="shared" si="58"/>
        <v>Residential</v>
      </c>
      <c r="D102" s="3" t="str">
        <f t="shared" si="59"/>
        <v>without CL</v>
      </c>
      <c r="E102" s="3" t="s">
        <v>22</v>
      </c>
      <c r="F102" s="175">
        <f t="array" ref="F102">IFERROR(INDEX(Usage!$B$5:$P$18,MATCH($B102,Usage!$B$5:$B$18,0),MATCH($C102&amp;$D102&amp;$E102&amp;"Total",Usage!$B$5:$S$5&amp;Usage!$B$6:$S$6&amp;Usage!$B$7:$S$7&amp;Usage!$B$13:$S$13,0)),0)</f>
        <v>4600</v>
      </c>
      <c r="G102" s="3" t="s">
        <v>77</v>
      </c>
      <c r="H102" s="172"/>
      <c r="I102" s="172">
        <f t="array" ref="I102">IFERROR(INDEX('Detail inputs'!$B$3:$K$196,MATCH($B102&amp;$G102&amp;I$5,'Detail inputs'!$B$3:$B$196&amp;'Detail inputs'!$G$3:$G$196&amp;'Detail inputs'!$H$3:$H$196,0),MATCH(I$4,'Detail inputs'!$B$3:$K$3,0)),0)</f>
        <v>0.34</v>
      </c>
      <c r="J102" s="172">
        <f t="shared" ref="J102:J106" si="62">H102+I102*$F102/1000</f>
        <v>1.5640000000000001</v>
      </c>
      <c r="K102" s="191">
        <f>IFERROR(J102/J108,"")</f>
        <v>2.9317927050099167E-3</v>
      </c>
      <c r="L102" s="191"/>
      <c r="M102" s="191">
        <f t="shared" si="60"/>
        <v>0.23529411764705865</v>
      </c>
      <c r="N102" s="188"/>
      <c r="O102" s="172"/>
      <c r="P102" s="172">
        <f t="array" ref="P102">IFERROR(INDEX('Detail inputs'!$B$3:$K$196,MATCH($B102&amp;$G102&amp;P$5,'Detail inputs'!$B$3:$B$196&amp;'Detail inputs'!$G$3:$G$196&amp;'Detail inputs'!$H$3:$H$196,0),MATCH(P$4,'Detail inputs'!$B$3:$K$3,0)),0)</f>
        <v>0.42</v>
      </c>
      <c r="Q102" s="172">
        <f t="shared" ref="Q102" si="63">O102+P102*$F102/1000</f>
        <v>1.9319999999999999</v>
      </c>
      <c r="R102" s="191">
        <f>IFERROR(Q102/Q108,"")</f>
        <v>2.3626033638971707E-3</v>
      </c>
    </row>
    <row r="103" spans="2:19" outlineLevel="1" x14ac:dyDescent="0.25">
      <c r="B103" s="3" t="str">
        <f t="shared" si="61"/>
        <v>Essential</v>
      </c>
      <c r="C103" s="3" t="str">
        <f t="shared" si="58"/>
        <v>Residential</v>
      </c>
      <c r="D103" s="3" t="str">
        <f t="shared" si="59"/>
        <v>without CL</v>
      </c>
      <c r="E103" s="3" t="s">
        <v>22</v>
      </c>
      <c r="F103" s="175">
        <f t="array" ref="F103">IFERROR(INDEX(Usage!$B$5:$P$18,MATCH($B103,Usage!$B$5:$B$18,0),MATCH($C103&amp;$D103&amp;$E103&amp;"Total",Usage!$B$5:$S$5&amp;Usage!$B$6:$S$6&amp;Usage!$B$7:$S$7&amp;Usage!$B$13:$S$13,0)),0)</f>
        <v>4600</v>
      </c>
      <c r="G103" s="3" t="s">
        <v>85</v>
      </c>
      <c r="H103" s="172"/>
      <c r="I103" s="172" cm="1">
        <f t="array" ref="I103">IFERROR(INDEX('Detail inputs'!$B$3:$K$198,MATCH($B103&amp;$G103&amp;I$5,'Detail inputs'!$B$3:$B$198&amp;'Detail inputs'!$G$3:$G$198&amp;'Detail inputs'!$H$3:$H$200,0),MATCH(I$4,'Detail inputs'!$B$3:$K$3,0)),0)</f>
        <v>1.1000000000000001</v>
      </c>
      <c r="J103" s="172">
        <f t="shared" si="62"/>
        <v>5.0599999999999996</v>
      </c>
      <c r="K103" s="191">
        <f>IFERROR(J103/J108,"")</f>
        <v>9.4852116926791401E-3</v>
      </c>
      <c r="L103" s="191"/>
      <c r="M103" s="191">
        <f t="shared" si="60"/>
        <v>4.5454545454545636E-2</v>
      </c>
      <c r="N103" s="188"/>
      <c r="O103" s="172"/>
      <c r="P103" s="172">
        <f t="array" ref="P103">IFERROR(INDEX('Detail inputs'!$B$3:$K$196,MATCH($B103&amp;$G103&amp;P$5,'Detail inputs'!$B$3:$B$196&amp;'Detail inputs'!$G$3:$G$196&amp;'Detail inputs'!$H$3:$H$196,0),MATCH(P$4,'Detail inputs'!$B$3:$K$3,0)),0)</f>
        <v>1.1499999999999999</v>
      </c>
      <c r="Q103" s="172">
        <f>O103+P103*$F103/1000</f>
        <v>5.29</v>
      </c>
      <c r="R103" s="191">
        <f>IFERROR(Q103/Q108,"")</f>
        <v>6.4690330201946341E-3</v>
      </c>
    </row>
    <row r="104" spans="2:19" outlineLevel="1" x14ac:dyDescent="0.25">
      <c r="B104" s="3" t="str">
        <f t="shared" si="61"/>
        <v>Essential</v>
      </c>
      <c r="C104" s="3" t="str">
        <f t="shared" si="58"/>
        <v>Residential</v>
      </c>
      <c r="D104" s="3" t="str">
        <f t="shared" si="59"/>
        <v>without CL</v>
      </c>
      <c r="E104" s="3" t="s">
        <v>22</v>
      </c>
      <c r="F104" s="175">
        <f t="array" ref="F104">IFERROR(INDEX(Usage!$B$5:$P$18,MATCH($B104,Usage!$B$5:$B$18,0),MATCH($C104&amp;$D104&amp;$E104&amp;"Total",Usage!$B$5:$S$5&amp;Usage!$B$6:$S$6&amp;Usage!$B$7:$S$7&amp;Usage!$B$13:$S$13,0)),0)</f>
        <v>4600</v>
      </c>
      <c r="G104" s="3" t="s">
        <v>78</v>
      </c>
      <c r="H104" s="172"/>
      <c r="I104" s="172" cm="1">
        <f t="array" ref="I104">IFERROR(INDEX('Detail inputs'!$B$3:$K$196,MATCH($B104&amp;$G104&amp;I$5,'Detail inputs'!$B$3:$B$196&amp;'Detail inputs'!$G$3:$G$196&amp;'Detail inputs'!$H$3:$H$196,0),MATCH(I$4,'Detail inputs'!$B$3:$K$3,0)),0)</f>
        <v>0</v>
      </c>
      <c r="J104" s="172">
        <f t="shared" si="62"/>
        <v>0</v>
      </c>
      <c r="K104" s="191">
        <f>IFERROR(J104/J108,"")</f>
        <v>0</v>
      </c>
      <c r="L104" s="191"/>
      <c r="M104" s="191" t="str">
        <f t="shared" si="60"/>
        <v/>
      </c>
      <c r="N104" s="188"/>
      <c r="O104" s="172"/>
      <c r="P104" s="172">
        <f t="array" ref="P104">IFERROR(INDEX('Detail inputs'!$B$3:$K$196,MATCH($B104&amp;$G104&amp;P$5,'Detail inputs'!$B$3:$B$196&amp;'Detail inputs'!$G$3:$G$196&amp;'Detail inputs'!$H$3:$H$196,0),MATCH(P$4,'Detail inputs'!$B$3:$K$3,0)),0)</f>
        <v>0</v>
      </c>
      <c r="Q104" s="172">
        <f t="shared" ref="Q104:Q107" si="64">O104+P104*$F104/1000</f>
        <v>0</v>
      </c>
      <c r="R104" s="191">
        <f>IFERROR(Q104/Q108,"")</f>
        <v>0</v>
      </c>
    </row>
    <row r="105" spans="2:19" outlineLevel="1" x14ac:dyDescent="0.25">
      <c r="B105" s="3" t="str">
        <f t="shared" si="61"/>
        <v>Essential</v>
      </c>
      <c r="C105" s="3" t="str">
        <f t="shared" si="58"/>
        <v>Residential</v>
      </c>
      <c r="D105" s="3" t="str">
        <f t="shared" si="59"/>
        <v>without CL</v>
      </c>
      <c r="E105" s="3" t="s">
        <v>22</v>
      </c>
      <c r="F105" s="175" cm="1">
        <f t="array" ref="F105">IFERROR(INDEX(Usage!$B$5:$P$18,MATCH($B105,Usage!$B$5:$B$18,0),MATCH($C105&amp;$D105&amp;$E105&amp;"Total",Usage!$B$5:$S$5&amp;Usage!$B$6:$S$6&amp;Usage!$B$7:$S$7&amp;Usage!$B$13:$S$13,0)),0)</f>
        <v>4600</v>
      </c>
      <c r="G105" s="155" t="s">
        <v>275</v>
      </c>
      <c r="H105" s="172"/>
      <c r="I105" s="172" cm="1">
        <f t="array" ref="I105">IFERROR(INDEX('Detail inputs'!$B$3:$K$196,MATCH($B105&amp;$G105&amp;I$5,'Detail inputs'!$B$3:$B$196&amp;'Detail inputs'!$G$3:$G$196&amp;'Detail inputs'!$H$3:$H$196,0),MATCH(I$4,'Detail inputs'!$B$3:$K$3,0)),0)</f>
        <v>0</v>
      </c>
      <c r="J105" s="172">
        <f t="shared" si="62"/>
        <v>0</v>
      </c>
      <c r="K105" s="191">
        <f>IFERROR(J105/J109,"")</f>
        <v>0</v>
      </c>
      <c r="L105" s="191"/>
      <c r="M105" s="191" t="str">
        <f t="shared" si="60"/>
        <v/>
      </c>
      <c r="N105" s="188"/>
      <c r="O105" s="172"/>
      <c r="P105" s="172" cm="1">
        <f t="array" ref="P105">IFERROR(INDEX('Detail inputs'!$B$3:$K$196,MATCH($B105&amp;$G105&amp;P$5,'Detail inputs'!$B$3:$B$196&amp;'Detail inputs'!$G$3:$G$196&amp;'Detail inputs'!$H$3:$H$196,0),MATCH(P$4,'Detail inputs'!$B$3:$K$3,0)),0)</f>
        <v>2.0499999999999998</v>
      </c>
      <c r="Q105" s="172">
        <f t="shared" si="64"/>
        <v>9.43</v>
      </c>
      <c r="R105" s="191">
        <f>IFERROR(Q105/Q108,"")</f>
        <v>1.1531754514259999E-2</v>
      </c>
    </row>
    <row r="106" spans="2:19" outlineLevel="1" x14ac:dyDescent="0.25">
      <c r="B106" s="3" t="str">
        <f t="shared" si="61"/>
        <v>Essential</v>
      </c>
      <c r="C106" s="3" t="str">
        <f t="shared" si="58"/>
        <v>Residential</v>
      </c>
      <c r="D106" s="3" t="str">
        <f t="shared" si="59"/>
        <v>without CL</v>
      </c>
      <c r="E106" s="3" t="s">
        <v>22</v>
      </c>
      <c r="F106" s="175">
        <f t="array" ref="F106">IFERROR(INDEX(Usage!$B$5:$P$18,MATCH($B106,Usage!$B$5:$B$18,0),MATCH($C106&amp;$D106&amp;$E106&amp;"Total",Usage!$B$5:$S$5&amp;Usage!$B$6:$S$6&amp;Usage!$B$7:$S$7&amp;Usage!$B$13:$S$13,0)),0)</f>
        <v>4600</v>
      </c>
      <c r="G106" s="3" t="s">
        <v>155</v>
      </c>
      <c r="H106" s="172"/>
      <c r="I106" s="172">
        <f t="array" ref="I106">IFERROR(INDEX('Detail inputs'!$B$3:$K$196,MATCH($B106&amp;$G106&amp;I$5,'Detail inputs'!$B$3:$B$196&amp;'Detail inputs'!$G$3:$G$196&amp;'Detail inputs'!$H$3:$H$196,0),MATCH(I$4,'Detail inputs'!$B$3:$K$3,0)),0)</f>
        <v>2.31</v>
      </c>
      <c r="J106" s="172">
        <f t="shared" si="62"/>
        <v>10.625999999999999</v>
      </c>
      <c r="K106" s="191">
        <f>IFERROR(J106/J108,"")</f>
        <v>1.9918944554626197E-2</v>
      </c>
      <c r="L106" s="191"/>
      <c r="M106" s="191">
        <f t="shared" si="60"/>
        <v>0.14285714285714302</v>
      </c>
      <c r="N106" s="188"/>
      <c r="O106" s="172"/>
      <c r="P106" s="172">
        <f t="array" ref="P106">IFERROR(INDEX('Detail inputs'!$B$3:$K$196,MATCH($B106&amp;$G106&amp;P$5,'Detail inputs'!$B$3:$B$196&amp;'Detail inputs'!$G$3:$G$196&amp;'Detail inputs'!$H$3:$H$196,0),MATCH(P$4,'Detail inputs'!$B$3:$K$3,0)),0)</f>
        <v>2.64</v>
      </c>
      <c r="Q106" s="172">
        <f t="shared" si="64"/>
        <v>12.144</v>
      </c>
      <c r="R106" s="191">
        <f>IFERROR(Q106/Q108,"")</f>
        <v>1.4850649715925073E-2</v>
      </c>
    </row>
    <row r="107" spans="2:19" outlineLevel="1" x14ac:dyDescent="0.25">
      <c r="B107" s="3" t="str">
        <f t="shared" si="61"/>
        <v>Essential</v>
      </c>
      <c r="C107" s="3" t="str">
        <f t="shared" si="58"/>
        <v>Residential</v>
      </c>
      <c r="D107" s="3" t="str">
        <f t="shared" si="59"/>
        <v>without CL</v>
      </c>
      <c r="E107" s="3" t="s">
        <v>22</v>
      </c>
      <c r="F107" s="175">
        <f t="array" ref="F107">IFERROR(INDEX(Usage!$B$5:$P$18,MATCH($B107,Usage!$B$5:$B$18,0),MATCH($C107&amp;$D107&amp;$E107&amp;"Total",Usage!$B$5:$S$5&amp;Usage!$B$6:$S$6&amp;Usage!$B$7:$S$7&amp;Usage!$B$13:$S$13,0)),0)</f>
        <v>4600</v>
      </c>
      <c r="G107" s="3" t="s">
        <v>79</v>
      </c>
      <c r="H107" s="172"/>
      <c r="I107" s="172" cm="1">
        <f t="array" ref="I107">ROUND(IFERROR(INDEX('Detail inputs'!$B$3:$K$196,MATCH($B107&amp;$C107&amp;$E107&amp;$G107&amp;I$5,'Detail inputs'!$B$3:$B$196&amp;'Detail inputs'!$D$3:$D$196&amp;'Detail inputs'!$F$3:$F$196&amp;'Detail inputs'!$G$3:$G$196&amp;'Detail inputs'!$H$3:$H$196,0),MATCH(I$4,'Detail inputs'!$B$3:$K$3,0)),0)*SUM(I101:I106), 2)</f>
        <v>4.57</v>
      </c>
      <c r="J107" s="172">
        <f>H107+I107*$F107/1000</f>
        <v>21.021999999999998</v>
      </c>
      <c r="K107" s="191">
        <f>IFERROR(J107/J108,"")</f>
        <v>3.9406743123221517E-2</v>
      </c>
      <c r="L107" s="191"/>
      <c r="M107" s="191">
        <f t="shared" si="60"/>
        <v>0.28008752735229758</v>
      </c>
      <c r="N107" s="188"/>
      <c r="O107" s="172"/>
      <c r="P107" s="172" cm="1">
        <f t="array" ref="P107">ROUND(IFERROR(INDEX('Detail inputs'!$B$3:$K$196,MATCH($B107&amp;$C107&amp;$E107&amp;$G107&amp;P$5,'Detail inputs'!$B$3:$B$196&amp;'Detail inputs'!$D$3:$D$196&amp;'Detail inputs'!$F$3:$F$196&amp;'Detail inputs'!$G$3:$G$196&amp;'Detail inputs'!$H$3:$H$196,0),MATCH(P$4,'Detail inputs'!$B$3:$K$3,0)),0)*SUM(P101:P106), 2)</f>
        <v>5.85</v>
      </c>
      <c r="Q107" s="172">
        <f t="shared" si="64"/>
        <v>26.91</v>
      </c>
      <c r="R107" s="191">
        <f>IFERROR(Q107/Q108,"")</f>
        <v>3.2907689711424874E-2</v>
      </c>
      <c r="S107" s="90"/>
    </row>
    <row r="108" spans="2:19" x14ac:dyDescent="0.25">
      <c r="B108" s="3" t="str">
        <f t="shared" si="61"/>
        <v>Essential</v>
      </c>
      <c r="C108" s="3" t="str">
        <f t="shared" si="58"/>
        <v>Residential</v>
      </c>
      <c r="D108" s="3" t="str">
        <f t="shared" si="59"/>
        <v>without CL</v>
      </c>
      <c r="E108" s="3" t="s">
        <v>22</v>
      </c>
      <c r="F108" s="175">
        <f t="array" ref="F108">IFERROR(INDEX(Usage!$B$5:$P$18,MATCH($B108,Usage!$B$5:$B$18,0),MATCH($C108&amp;$D108&amp;$E108&amp;"Total",Usage!$B$5:$S$5&amp;Usage!$B$6:$S$6&amp;Usage!$B$7:$S$7&amp;Usage!$B$13:$S$13,0)),0)</f>
        <v>4600</v>
      </c>
      <c r="G108" s="3" t="s">
        <v>61</v>
      </c>
      <c r="H108" s="172"/>
      <c r="I108" s="172">
        <f t="array" ref="I108">INDEX('Key inputs'!$B$17:$N$41,MATCH($B108&amp;$C108&amp;$E108,'Key inputs'!$B$17:$B$41&amp;'Key inputs'!$C$17:$C$41&amp;'Key inputs'!$D$17:$D$41,0),MATCH($A$2&amp;I$4,'Key inputs'!$B$18:$N$18&amp;'Key inputs'!$B$19:$N$19,0))</f>
        <v>115.97</v>
      </c>
      <c r="J108" s="172">
        <f>H108+I108*$F108/1000</f>
        <v>533.46199999999999</v>
      </c>
      <c r="K108" s="192"/>
      <c r="L108" s="199"/>
      <c r="M108" s="192">
        <f t="shared" si="60"/>
        <v>0.53289643873415526</v>
      </c>
      <c r="N108" s="197"/>
      <c r="O108" s="172"/>
      <c r="P108" s="172" cm="1">
        <f t="array" ref="P108">INDEX('Key inputs'!$B$17:$N$41,MATCH($B108&amp;$C108&amp;$E108,'Key inputs'!$B$17:$B$41&amp;'Key inputs'!$C$17:$C$41&amp;'Key inputs'!$D$17:$D$41,0),MATCH($A$2&amp;P$4,'Key inputs'!$B$18:$N$18&amp;'Key inputs'!$B$19:$N$19,0))</f>
        <v>177.77</v>
      </c>
      <c r="Q108" s="172">
        <f>O108+P108*$F108/1000</f>
        <v>817.74199999999996</v>
      </c>
      <c r="R108" s="192"/>
    </row>
    <row r="109" spans="2:19" outlineLevel="1" x14ac:dyDescent="0.25">
      <c r="B109" s="3" t="str">
        <f t="shared" si="61"/>
        <v>Essential</v>
      </c>
      <c r="C109" s="3" t="str">
        <f t="shared" si="58"/>
        <v>Residential</v>
      </c>
      <c r="D109" s="3" t="str">
        <f t="shared" si="59"/>
        <v>without CL</v>
      </c>
      <c r="F109" s="175"/>
      <c r="G109" s="3" t="s">
        <v>41</v>
      </c>
      <c r="H109" s="172"/>
      <c r="I109" s="172"/>
      <c r="J109" s="172">
        <f>J108*GST</f>
        <v>53.346200000000003</v>
      </c>
      <c r="K109" s="192"/>
      <c r="L109" s="199"/>
      <c r="M109" s="192"/>
      <c r="N109" s="197"/>
      <c r="O109" s="172"/>
      <c r="P109" s="172"/>
      <c r="Q109" s="172">
        <f>Q108*GST</f>
        <v>81.774200000000008</v>
      </c>
      <c r="R109" s="193"/>
    </row>
    <row r="110" spans="2:19" x14ac:dyDescent="0.25">
      <c r="B110" s="3" t="str">
        <f t="shared" si="61"/>
        <v>Essential</v>
      </c>
      <c r="C110" s="3" t="str">
        <f t="shared" si="58"/>
        <v>Residential</v>
      </c>
      <c r="D110" s="3" t="str">
        <f t="shared" si="59"/>
        <v>without CL</v>
      </c>
      <c r="F110" s="175"/>
      <c r="G110" s="5" t="s">
        <v>87</v>
      </c>
      <c r="H110" s="174"/>
      <c r="I110" s="174"/>
      <c r="J110" s="174">
        <f>SUM(J108:J109)</f>
        <v>586.80819999999994</v>
      </c>
      <c r="K110" s="193"/>
      <c r="L110" s="200"/>
      <c r="M110" s="193">
        <f>IF(OR(J110=0,Q110=""),"",Q110/J110-1)</f>
        <v>0.53289643873415549</v>
      </c>
      <c r="N110" s="198"/>
      <c r="O110" s="174"/>
      <c r="P110" s="174"/>
      <c r="Q110" s="174">
        <f>SUM(Q108:Q109)</f>
        <v>899.51620000000003</v>
      </c>
      <c r="R110" s="193"/>
    </row>
    <row r="111" spans="2:19" x14ac:dyDescent="0.25">
      <c r="F111" s="175"/>
      <c r="H111" s="172"/>
      <c r="I111" s="172"/>
      <c r="J111" s="172"/>
      <c r="K111" s="191"/>
      <c r="L111" s="199"/>
      <c r="M111" s="191"/>
      <c r="N111" s="197"/>
      <c r="O111" s="172"/>
      <c r="P111" s="172"/>
      <c r="Q111" s="172"/>
      <c r="R111" s="191"/>
    </row>
    <row r="112" spans="2:19" x14ac:dyDescent="0.25">
      <c r="B112" s="5" t="s">
        <v>3</v>
      </c>
      <c r="C112" s="5" t="s">
        <v>6</v>
      </c>
      <c r="D112" s="5" t="s">
        <v>147</v>
      </c>
      <c r="F112" s="175"/>
      <c r="H112" s="172"/>
      <c r="I112" s="172"/>
      <c r="J112" s="172"/>
      <c r="K112" s="191"/>
      <c r="L112" s="199"/>
      <c r="M112" s="191"/>
      <c r="N112" s="197"/>
      <c r="O112" s="172"/>
      <c r="P112" s="172"/>
      <c r="Q112" s="172"/>
      <c r="R112" s="191"/>
    </row>
    <row r="113" spans="2:18" outlineLevel="1" x14ac:dyDescent="0.25">
      <c r="B113" s="3" t="str">
        <f>B112</f>
        <v>Essential</v>
      </c>
      <c r="C113" s="3" t="str">
        <f t="shared" ref="C113:C132" si="65">C112</f>
        <v>Residential</v>
      </c>
      <c r="D113" s="3" t="str">
        <f t="shared" ref="D113:D132" si="66">D112</f>
        <v>with CL</v>
      </c>
      <c r="E113" s="3" t="s">
        <v>22</v>
      </c>
      <c r="F113" s="175">
        <f t="array" ref="F113">IFERROR(INDEX(Usage!$B$5:$P$18,MATCH($B113,Usage!$B$5:$B$18,0),MATCH($C113&amp;$D113&amp;$E113&amp;"Total",Usage!$B$5:$S$5&amp;Usage!$B$6:$S$6&amp;Usage!$B$7:$S$7&amp;Usage!$B$13:$S$13,0)),0)</f>
        <v>4600</v>
      </c>
      <c r="G113" s="3" t="s">
        <v>61</v>
      </c>
      <c r="H113" s="172"/>
      <c r="I113" s="172">
        <f t="array" ref="I113">INDEX('Key inputs'!$B$17:$N$41,MATCH($B113&amp;$C113&amp;$E113,'Key inputs'!$B$17:$B$41&amp;'Key inputs'!$C$17:$C$41&amp;'Key inputs'!$D$17:$D$41,0),MATCH($A$2&amp;I$4,'Key inputs'!$B$18:$N$18&amp;'Key inputs'!$B$19:$N$19,0))</f>
        <v>115.97</v>
      </c>
      <c r="J113" s="172">
        <f>IF(AND(H113="",I113=""),"",H113+I113*$F113/1000)</f>
        <v>533.46199999999999</v>
      </c>
      <c r="K113" s="191"/>
      <c r="L113" s="199"/>
      <c r="M113" s="191">
        <f>IF(OR(J113=0,Q113=""),"",Q113/J113-1)</f>
        <v>0.53289643873415526</v>
      </c>
      <c r="N113" s="197"/>
      <c r="O113" s="172"/>
      <c r="P113" s="172">
        <f t="array" ref="P113">INDEX('Key inputs'!$B$17:$N$41,MATCH($B113&amp;$C113&amp;$E113,'Key inputs'!$B$17:$B$41&amp;'Key inputs'!$C$17:$C$41&amp;'Key inputs'!$D$17:$D$41,0),MATCH($A$2&amp;P$4,'Key inputs'!$B$18:$N$18&amp;'Key inputs'!$B$19:$N$19,0))</f>
        <v>177.77</v>
      </c>
      <c r="Q113" s="172">
        <f>IF(AND(O113="",P113=""),"",O113+P113*$F113/1000)</f>
        <v>817.74199999999996</v>
      </c>
      <c r="R113" s="191"/>
    </row>
    <row r="114" spans="2:18" outlineLevel="1" x14ac:dyDescent="0.25">
      <c r="B114" s="3" t="str">
        <f t="shared" ref="B114:B132" si="67">B113</f>
        <v>Essential</v>
      </c>
      <c r="C114" s="3" t="str">
        <f t="shared" si="65"/>
        <v>Residential</v>
      </c>
      <c r="D114" s="3" t="str">
        <f t="shared" si="66"/>
        <v>with CL</v>
      </c>
      <c r="E114" s="3" t="s">
        <v>16</v>
      </c>
      <c r="F114" s="175">
        <f t="array" ref="F114">IFERROR(INDEX(Usage!$B$5:$P$18,MATCH($B114,Usage!$B$5:$B$18,0),MATCH($C114&amp;$D114&amp;$E114,Usage!$B$5:$S$5&amp;Usage!$B$6:$S$6&amp;Usage!$B$7:$S$7,0)),0)</f>
        <v>1540</v>
      </c>
      <c r="G114" s="3" t="s">
        <v>76</v>
      </c>
      <c r="H114" s="172"/>
      <c r="I114" s="172">
        <f t="array" ref="I114">IFERROR(INDEX('Detail inputs'!$B$3:$K$196,MATCH($B114&amp;$C114&amp;$E114&amp;$G114&amp;I$5,'Detail inputs'!$B$3:$B$196&amp;'Detail inputs'!$D$3:$D$196&amp;'Detail inputs'!$F$3:$F$196&amp;'Detail inputs'!$G$3:$G$196&amp;'Detail inputs'!$H$3:$H$196,0),MATCH(I$4,'Detail inputs'!$B$3:$K$3,0)),0)</f>
        <v>80.28</v>
      </c>
      <c r="J114" s="172">
        <f>IF(AND(H114="",I114=""),"",H114+I114*$F114/1000)</f>
        <v>123.63119999999999</v>
      </c>
      <c r="K114" s="191">
        <f>IFERROR(J114/J121,"")</f>
        <v>0.91769547325102874</v>
      </c>
      <c r="L114" s="191"/>
      <c r="M114" s="191">
        <f t="shared" ref="M114:M130" si="68">IF(OR(J114=0,Q114=""),"",Q114/J114-1)</f>
        <v>0.27130044843049328</v>
      </c>
      <c r="N114" s="188"/>
      <c r="O114" s="172"/>
      <c r="P114" s="172">
        <f t="array" ref="P114">IFERROR(INDEX('Detail inputs'!$B$3:$K$196,MATCH($B114&amp;$C114&amp;$E114&amp;$G114&amp;P$5,'Detail inputs'!$B$3:$B$196&amp;'Detail inputs'!$D$3:$D$196&amp;'Detail inputs'!$F$3:$F$196&amp;'Detail inputs'!$G$3:$G$196&amp;'Detail inputs'!$H$3:$H$196,0),MATCH(P$4,'Detail inputs'!$B$3:$K$3,0)),0)</f>
        <v>102.06</v>
      </c>
      <c r="Q114" s="172">
        <f>IF(AND(O114="",P114=""),"",O114+P114*$F114/1000)</f>
        <v>157.17239999999998</v>
      </c>
      <c r="R114" s="191">
        <f>IFERROR(Q114/Q121,"")</f>
        <v>0.91125</v>
      </c>
    </row>
    <row r="115" spans="2:18" outlineLevel="1" x14ac:dyDescent="0.25">
      <c r="B115" s="3" t="str">
        <f t="shared" si="67"/>
        <v>Essential</v>
      </c>
      <c r="C115" s="3" t="str">
        <f t="shared" si="65"/>
        <v>Residential</v>
      </c>
      <c r="D115" s="3" t="str">
        <f t="shared" si="66"/>
        <v>with CL</v>
      </c>
      <c r="E115" s="3" t="s">
        <v>16</v>
      </c>
      <c r="F115" s="175">
        <f t="array" ref="F115">IFERROR(INDEX(Usage!$B$5:$P$18,MATCH($B115,Usage!$B$5:$B$18,0),MATCH($C115&amp;$D115&amp;$E115,Usage!$B$5:$S$5&amp;Usage!$B$6:$S$6&amp;Usage!$B$7:$S$7,0)),0)</f>
        <v>1540</v>
      </c>
      <c r="G115" s="3" t="s">
        <v>77</v>
      </c>
      <c r="H115" s="172"/>
      <c r="I115" s="172">
        <f t="array" ref="I115">IFERROR(INDEX('Detail inputs'!$B$3:$K$196,MATCH($B115&amp;$G115&amp;I$5,'Detail inputs'!$B$3:$B$196&amp;'Detail inputs'!$G$3:$G$196&amp;'Detail inputs'!$H$3:$H$196,0),MATCH(I$4,'Detail inputs'!$B$3:$K$3,0)),0)</f>
        <v>0.34</v>
      </c>
      <c r="J115" s="172">
        <f t="shared" ref="J115:J121" si="69">IF(AND(H115="",I115=""),"",H115+I115*$F115/1000)</f>
        <v>0.52360000000000007</v>
      </c>
      <c r="K115" s="191">
        <f>IFERROR(J115/J121,"")</f>
        <v>3.8866026520347511E-3</v>
      </c>
      <c r="L115" s="191"/>
      <c r="M115" s="191">
        <f t="shared" si="68"/>
        <v>0.23529411764705843</v>
      </c>
      <c r="N115" s="188"/>
      <c r="O115" s="172"/>
      <c r="P115" s="172">
        <f t="array" ref="P115">IFERROR(INDEX('Detail inputs'!$B$3:$K$196,MATCH($B115&amp;$G115&amp;P$5,'Detail inputs'!$B$3:$B$196&amp;'Detail inputs'!$G$3:$G$196&amp;'Detail inputs'!$H$3:$H$196,0),MATCH(P$4,'Detail inputs'!$B$3:$K$3,0)),0)</f>
        <v>0.42</v>
      </c>
      <c r="Q115" s="172">
        <f t="shared" ref="Q115:Q121" si="70">IF(AND(O115="",P115=""),"",O115+P115*$F115/1000)</f>
        <v>0.64679999999999993</v>
      </c>
      <c r="R115" s="191">
        <f>IFERROR(Q115/Q121,"")</f>
        <v>3.7499999999999999E-3</v>
      </c>
    </row>
    <row r="116" spans="2:18" outlineLevel="1" x14ac:dyDescent="0.25">
      <c r="B116" s="3" t="str">
        <f t="shared" si="67"/>
        <v>Essential</v>
      </c>
      <c r="C116" s="3" t="str">
        <f t="shared" si="65"/>
        <v>Residential</v>
      </c>
      <c r="D116" s="3" t="str">
        <f t="shared" si="66"/>
        <v>with CL</v>
      </c>
      <c r="E116" s="3" t="s">
        <v>16</v>
      </c>
      <c r="F116" s="175">
        <f t="array" ref="F116">IFERROR(INDEX(Usage!$B$5:$P$18,MATCH($B116,Usage!$B$5:$B$18,0),MATCH($C116&amp;$D116&amp;$E116,Usage!$B$5:$S$5&amp;Usage!$B$6:$S$6&amp;Usage!$B$7:$S$7,0)),0)</f>
        <v>1540</v>
      </c>
      <c r="G116" s="3" t="s">
        <v>85</v>
      </c>
      <c r="H116" s="172"/>
      <c r="I116" s="172">
        <f t="array" ref="I116">IFERROR(INDEX('Detail inputs'!$B$3:$K$196,MATCH($B116&amp;$G116&amp;I$5,'Detail inputs'!$B$3:$B$196&amp;'Detail inputs'!$G$3:$G$196&amp;'Detail inputs'!$H$3:$H$196,0),MATCH(I$4,'Detail inputs'!$B$3:$K$3,0)),0)</f>
        <v>1.1000000000000001</v>
      </c>
      <c r="J116" s="172">
        <f t="shared" si="69"/>
        <v>1.6940000000000002</v>
      </c>
      <c r="K116" s="191">
        <f>IFERROR(J116/J121,"")</f>
        <v>1.257430269775949E-2</v>
      </c>
      <c r="L116" s="191"/>
      <c r="M116" s="191">
        <f t="shared" si="68"/>
        <v>4.5454545454545192E-2</v>
      </c>
      <c r="N116" s="188"/>
      <c r="O116" s="172"/>
      <c r="P116" s="172">
        <f t="array" ref="P116">IFERROR(INDEX('Detail inputs'!$B$3:$K$196,MATCH($B116&amp;$G116&amp;P$5,'Detail inputs'!$B$3:$B$196&amp;'Detail inputs'!$G$3:$G$196&amp;'Detail inputs'!$H$3:$H$196,0),MATCH(P$4,'Detail inputs'!$B$3:$K$3,0)),0)</f>
        <v>1.1499999999999999</v>
      </c>
      <c r="Q116" s="172">
        <f t="shared" si="70"/>
        <v>1.7709999999999997</v>
      </c>
      <c r="R116" s="191">
        <f>IFERROR(Q116/Q121,"")</f>
        <v>1.0267857142857141E-2</v>
      </c>
    </row>
    <row r="117" spans="2:18" outlineLevel="1" x14ac:dyDescent="0.25">
      <c r="B117" s="3" t="str">
        <f t="shared" si="67"/>
        <v>Essential</v>
      </c>
      <c r="C117" s="3" t="str">
        <f t="shared" si="65"/>
        <v>Residential</v>
      </c>
      <c r="D117" s="3" t="str">
        <f t="shared" si="66"/>
        <v>with CL</v>
      </c>
      <c r="E117" s="3" t="s">
        <v>16</v>
      </c>
      <c r="F117" s="175">
        <f t="array" ref="F117">IFERROR(INDEX(Usage!$B$5:$P$18,MATCH($B117,Usage!$B$5:$B$18,0),MATCH($C117&amp;$D117&amp;$E117,Usage!$B$5:$S$5&amp;Usage!$B$6:$S$6&amp;Usage!$B$7:$S$7,0)),0)</f>
        <v>1540</v>
      </c>
      <c r="G117" s="3" t="s">
        <v>78</v>
      </c>
      <c r="H117" s="172"/>
      <c r="I117" s="172">
        <f t="array" ref="I117">IFERROR(INDEX('Detail inputs'!$B$3:$K$196,MATCH($B117&amp;$G117&amp;I$5,'Detail inputs'!$B$3:$B$196&amp;'Detail inputs'!$G$3:$G$196&amp;'Detail inputs'!$H$3:$H$196,0),MATCH(I$4,'Detail inputs'!$B$3:$K$3,0)),0)</f>
        <v>0</v>
      </c>
      <c r="J117" s="172">
        <f t="shared" si="69"/>
        <v>0</v>
      </c>
      <c r="K117" s="191">
        <f>IFERROR(J117/J121,"")</f>
        <v>0</v>
      </c>
      <c r="L117" s="191"/>
      <c r="M117" s="191" t="str">
        <f t="shared" si="68"/>
        <v/>
      </c>
      <c r="N117" s="188"/>
      <c r="O117" s="172"/>
      <c r="P117" s="172">
        <f t="array" ref="P117">IFERROR(INDEX('Detail inputs'!$B$3:$K$196,MATCH($B117&amp;$G117&amp;P$5,'Detail inputs'!$B$3:$B$196&amp;'Detail inputs'!$G$3:$G$196&amp;'Detail inputs'!$H$3:$H$196,0),MATCH(P$4,'Detail inputs'!$B$3:$K$3,0)),0)</f>
        <v>0</v>
      </c>
      <c r="Q117" s="172">
        <f t="shared" si="70"/>
        <v>0</v>
      </c>
      <c r="R117" s="191">
        <f>IFERROR(Q117/Q121,"")</f>
        <v>0</v>
      </c>
    </row>
    <row r="118" spans="2:18" outlineLevel="1" x14ac:dyDescent="0.25">
      <c r="B118" s="3" t="str">
        <f t="shared" si="67"/>
        <v>Essential</v>
      </c>
      <c r="C118" s="3" t="str">
        <f t="shared" si="65"/>
        <v>Residential</v>
      </c>
      <c r="D118" s="3" t="str">
        <f t="shared" si="66"/>
        <v>with CL</v>
      </c>
      <c r="E118" s="3" t="s">
        <v>16</v>
      </c>
      <c r="F118" s="175" cm="1">
        <f t="array" ref="F118">IFERROR(INDEX(Usage!$B$5:$P$18,MATCH($B118,Usage!$B$5:$B$18,0),MATCH($C118&amp;$D118&amp;$E118,Usage!$B$5:$S$5&amp;Usage!$B$6:$S$6&amp;Usage!$B$7:$S$7,0)),0)</f>
        <v>1540</v>
      </c>
      <c r="G118" s="3" t="str">
        <f>+G105</f>
        <v>June 2022 Event Cost</v>
      </c>
      <c r="H118" s="172"/>
      <c r="I118" s="172">
        <f t="array" ref="I118">IFERROR(INDEX('Detail inputs'!$B$3:$K$196,MATCH($B118&amp;$G118&amp;I$5,'Detail inputs'!$B$3:$B$196&amp;'Detail inputs'!$G$3:$G$196&amp;'Detail inputs'!$H$3:$H$196,0),MATCH(I$4,'Detail inputs'!$B$3:$K$3,0)),0)</f>
        <v>0</v>
      </c>
      <c r="J118" s="172">
        <f t="shared" si="69"/>
        <v>0</v>
      </c>
      <c r="K118" s="191">
        <f>IFERROR(J118/J122,"")</f>
        <v>0</v>
      </c>
      <c r="L118" s="191"/>
      <c r="M118" s="191" t="str">
        <f t="shared" si="68"/>
        <v/>
      </c>
      <c r="N118" s="188"/>
      <c r="O118" s="172"/>
      <c r="P118" s="172">
        <f t="array" ref="P118">IFERROR(INDEX('Detail inputs'!$B$3:$K$196,MATCH($B118&amp;$G118&amp;P$5,'Detail inputs'!$B$3:$B$196&amp;'Detail inputs'!$G$3:$G$196&amp;'Detail inputs'!$H$3:$H$196,0),MATCH(P$4,'Detail inputs'!$B$3:$K$3,0)),0)</f>
        <v>2.0499999999999998</v>
      </c>
      <c r="Q118" s="172">
        <f t="shared" si="70"/>
        <v>3.1569999999999996</v>
      </c>
      <c r="R118" s="191">
        <f>IFERROR(Q118/Q122,"")</f>
        <v>6.7245183992365939E-2</v>
      </c>
    </row>
    <row r="119" spans="2:18" outlineLevel="1" x14ac:dyDescent="0.25">
      <c r="B119" s="3" t="str">
        <f t="shared" si="67"/>
        <v>Essential</v>
      </c>
      <c r="C119" s="3" t="str">
        <f t="shared" si="65"/>
        <v>Residential</v>
      </c>
      <c r="D119" s="3" t="str">
        <f t="shared" si="66"/>
        <v>with CL</v>
      </c>
      <c r="E119" s="3" t="s">
        <v>16</v>
      </c>
      <c r="F119" s="175">
        <f t="array" ref="F119">IFERROR(INDEX(Usage!$B$5:$P$18,MATCH($B119,Usage!$B$5:$B$18,0),MATCH($C119&amp;$D119&amp;$E119,Usage!$B$5:$S$5&amp;Usage!$B$6:$S$6&amp;Usage!$B$7:$S$7,0)),0)</f>
        <v>1540</v>
      </c>
      <c r="G119" s="3" t="s">
        <v>155</v>
      </c>
      <c r="H119" s="172"/>
      <c r="I119" s="172">
        <f t="array" ref="I119">IFERROR(INDEX('Detail inputs'!$B$3:$K$196,MATCH($B119&amp;$G119&amp;I$5,'Detail inputs'!$B$3:$B$196&amp;'Detail inputs'!$G$3:$G$196&amp;'Detail inputs'!$H$3:$H$196,0),MATCH(I$4,'Detail inputs'!$B$3:$K$3,0)),0)</f>
        <v>2.31</v>
      </c>
      <c r="J119" s="172">
        <f t="shared" si="69"/>
        <v>3.5573999999999999</v>
      </c>
      <c r="K119" s="191">
        <f>IFERROR(J119/J121,"")</f>
        <v>2.6406035665294925E-2</v>
      </c>
      <c r="L119" s="191"/>
      <c r="M119" s="191">
        <f t="shared" si="68"/>
        <v>0.14285714285714302</v>
      </c>
      <c r="N119" s="188"/>
      <c r="O119" s="172"/>
      <c r="P119" s="172">
        <f t="array" ref="P119">IFERROR(INDEX('Detail inputs'!$B$3:$K$196,MATCH($B119&amp;$G119&amp;P$5,'Detail inputs'!$B$3:$B$196&amp;'Detail inputs'!$G$3:$G$196&amp;'Detail inputs'!$H$3:$H$196,0),MATCH(P$4,'Detail inputs'!$B$3:$K$3,0)),0)</f>
        <v>2.64</v>
      </c>
      <c r="Q119" s="172">
        <f t="shared" si="70"/>
        <v>4.0656000000000008</v>
      </c>
      <c r="R119" s="191">
        <f>IFERROR(Q119/Q121,"")</f>
        <v>2.3571428571428577E-2</v>
      </c>
    </row>
    <row r="120" spans="2:18" outlineLevel="1" x14ac:dyDescent="0.25">
      <c r="B120" s="3" t="str">
        <f t="shared" si="67"/>
        <v>Essential</v>
      </c>
      <c r="C120" s="3" t="str">
        <f t="shared" si="65"/>
        <v>Residential</v>
      </c>
      <c r="D120" s="3" t="str">
        <f t="shared" si="66"/>
        <v>with CL</v>
      </c>
      <c r="E120" s="3" t="s">
        <v>16</v>
      </c>
      <c r="F120" s="175">
        <f t="array" ref="F120">IFERROR(INDEX(Usage!$B$5:$P$18,MATCH($B120,Usage!$B$5:$B$18,0),MATCH($C120&amp;$D120&amp;$E120,Usage!$B$5:$S$5&amp;Usage!$B$6:$S$6&amp;Usage!$B$7:$S$7,0)),0)</f>
        <v>1540</v>
      </c>
      <c r="G120" s="3" t="s">
        <v>79</v>
      </c>
      <c r="H120" s="172"/>
      <c r="I120" s="172" cm="1">
        <f t="array" ref="I120">ROUND(IFERROR(INDEX('Detail inputs'!$B$3:$K$196,MATCH($B120&amp;$C120&amp;$E120&amp;$G120&amp;I$5,'Detail inputs'!$B$3:$B$196&amp;'Detail inputs'!$D$3:$D$196&amp;'Detail inputs'!$F$3:$F$196&amp;'Detail inputs'!$G$3:$G$196&amp;'Detail inputs'!$H$3:$H$196,0),MATCH(I$4,'Detail inputs'!$B$3:$K$3,0)),0)*SUM(I114:I119), 2)</f>
        <v>3.45</v>
      </c>
      <c r="J120" s="172">
        <f t="shared" si="69"/>
        <v>5.3129999999999997</v>
      </c>
      <c r="K120" s="191">
        <f>IFERROR(J120/J121,"")</f>
        <v>3.9437585733882029E-2</v>
      </c>
      <c r="L120" s="191"/>
      <c r="M120" s="191">
        <f t="shared" si="68"/>
        <v>6.6666666666666874E-2</v>
      </c>
      <c r="N120" s="188"/>
      <c r="O120" s="172"/>
      <c r="P120" s="172" cm="1">
        <f t="array" ref="P120">ROUND(IFERROR(INDEX('Detail inputs'!$B$3:$K$196,MATCH($B120&amp;$C120&amp;$E120&amp;$G120&amp;P$5,'Detail inputs'!$B$3:$B$196&amp;'Detail inputs'!$D$3:$D$196&amp;'Detail inputs'!$F$3:$F$196&amp;'Detail inputs'!$G$3:$G$196&amp;'Detail inputs'!$H$3:$H$196,0),MATCH(P$4,'Detail inputs'!$B$3:$K$3,0)),0)*SUM(P114:P119), 2)</f>
        <v>3.68</v>
      </c>
      <c r="Q120" s="172">
        <f t="shared" si="70"/>
        <v>5.6672000000000002</v>
      </c>
      <c r="R120" s="191">
        <f>IFERROR(Q120/Q121,"")</f>
        <v>3.2857142857142863E-2</v>
      </c>
    </row>
    <row r="121" spans="2:18" outlineLevel="1" x14ac:dyDescent="0.25">
      <c r="B121" s="3" t="str">
        <f t="shared" si="67"/>
        <v>Essential</v>
      </c>
      <c r="C121" s="3" t="str">
        <f t="shared" si="65"/>
        <v>Residential</v>
      </c>
      <c r="D121" s="3" t="str">
        <f t="shared" si="66"/>
        <v>with CL</v>
      </c>
      <c r="E121" s="3" t="s">
        <v>16</v>
      </c>
      <c r="F121" s="175">
        <f t="array" ref="F121">IFERROR(INDEX(Usage!$B$5:$P$18,MATCH($B121,Usage!$B$5:$B$18,0),MATCH($C121&amp;$D121&amp;$E121,Usage!$B$5:$S$5&amp;Usage!$B$6:$S$6&amp;Usage!$B$7:$S$7,0)),0)</f>
        <v>1540</v>
      </c>
      <c r="G121" s="3" t="s">
        <v>61</v>
      </c>
      <c r="H121" s="172"/>
      <c r="I121" s="172">
        <f t="array" ref="I121">INDEX('Key inputs'!$B$17:$N$41,MATCH($B121&amp;$C121&amp;$E121,'Key inputs'!$B$17:$B$41&amp;'Key inputs'!$C$17:$C$41&amp;'Key inputs'!$D$17:$D$41,0),MATCH($A$2&amp;I$4,'Key inputs'!$B$18:$N$18&amp;'Key inputs'!$B$19:$N$19,0))</f>
        <v>87.48</v>
      </c>
      <c r="J121" s="172">
        <f t="shared" si="69"/>
        <v>134.7192</v>
      </c>
      <c r="K121" s="192"/>
      <c r="L121" s="199"/>
      <c r="M121" s="192">
        <f t="shared" si="68"/>
        <v>0.28029263831732965</v>
      </c>
      <c r="N121" s="197"/>
      <c r="O121" s="172"/>
      <c r="P121" s="172">
        <f t="array" ref="P121">INDEX('Key inputs'!$B$17:$N$41,MATCH($B121&amp;$C121&amp;$E121,'Key inputs'!$B$17:$B$41&amp;'Key inputs'!$C$17:$C$41&amp;'Key inputs'!$D$17:$D$41,0),MATCH($A$2&amp;P$4,'Key inputs'!$B$18:$N$18&amp;'Key inputs'!$B$19:$N$19,0))</f>
        <v>112</v>
      </c>
      <c r="Q121" s="172">
        <f t="shared" si="70"/>
        <v>172.48</v>
      </c>
      <c r="R121" s="192"/>
    </row>
    <row r="122" spans="2:18" outlineLevel="1" x14ac:dyDescent="0.25">
      <c r="B122" s="3" t="str">
        <f t="shared" si="67"/>
        <v>Essential</v>
      </c>
      <c r="C122" s="3" t="str">
        <f t="shared" si="65"/>
        <v>Residential</v>
      </c>
      <c r="D122" s="3" t="str">
        <f t="shared" si="66"/>
        <v>with CL</v>
      </c>
      <c r="E122" s="3" t="s">
        <v>17</v>
      </c>
      <c r="F122" s="175">
        <f t="array" ref="F122">IFERROR(INDEX(Usage!$B$5:$P$18,MATCH($B122,Usage!$B$5:$B$18,0),MATCH($C122&amp;$D122&amp;$E122,Usage!$B$5:$S$5&amp;Usage!$B$6:$S$6&amp;Usage!$B$7:$S$7,0)),0)</f>
        <v>460</v>
      </c>
      <c r="G122" s="3" t="s">
        <v>76</v>
      </c>
      <c r="H122" s="172"/>
      <c r="I122" s="172">
        <f t="array" ref="I122">IFERROR(INDEX('Detail inputs'!$B$3:$K$196,MATCH($B122&amp;$C122&amp;$E122&amp;$G122&amp;I$5,'Detail inputs'!$B$3:$B$196&amp;'Detail inputs'!$D$3:$D$196&amp;'Detail inputs'!$F$3:$F$196&amp;'Detail inputs'!$G$3:$G$196&amp;'Detail inputs'!$H$3:$H$196,0),MATCH(I$4,'Detail inputs'!$B$3:$K$3,0)),0)</f>
        <v>80.28</v>
      </c>
      <c r="J122" s="172">
        <f>IF(AND(H122="",I122=""),"",H122+I122*$F122/1000)</f>
        <v>36.928800000000003</v>
      </c>
      <c r="K122" s="192">
        <f>IFERROR(J122/J129,"")</f>
        <v>0.91769547325102885</v>
      </c>
      <c r="L122" s="192"/>
      <c r="M122" s="192">
        <f t="shared" si="68"/>
        <v>0.27130044843049328</v>
      </c>
      <c r="N122" s="189"/>
      <c r="O122" s="172"/>
      <c r="P122" s="172">
        <f t="array" ref="P122">IFERROR(INDEX('Detail inputs'!$B$3:$K$196,MATCH($B122&amp;$C122&amp;$E122&amp;$G122&amp;P$5,'Detail inputs'!$B$3:$B$196&amp;'Detail inputs'!$D$3:$D$196&amp;'Detail inputs'!$F$3:$F$196&amp;'Detail inputs'!$G$3:$G$196&amp;'Detail inputs'!$H$3:$H$196,0),MATCH(P$4,'Detail inputs'!$B$3:$K$3,0)),0)</f>
        <v>102.06</v>
      </c>
      <c r="Q122" s="172">
        <f>IF(AND(O122="",P122=""),"",O122+P122*$F122/1000)</f>
        <v>46.947600000000001</v>
      </c>
      <c r="R122" s="192">
        <f>IFERROR(Q122/Q129,"")</f>
        <v>0.91125</v>
      </c>
    </row>
    <row r="123" spans="2:18" outlineLevel="1" x14ac:dyDescent="0.25">
      <c r="B123" s="3" t="str">
        <f t="shared" si="67"/>
        <v>Essential</v>
      </c>
      <c r="C123" s="3" t="str">
        <f t="shared" si="65"/>
        <v>Residential</v>
      </c>
      <c r="D123" s="3" t="str">
        <f t="shared" si="66"/>
        <v>with CL</v>
      </c>
      <c r="E123" s="3" t="s">
        <v>17</v>
      </c>
      <c r="F123" s="175">
        <f t="array" ref="F123">IFERROR(INDEX(Usage!$B$5:$P$18,MATCH($B123,Usage!$B$5:$B$18,0),MATCH($C123&amp;$D123&amp;$E123,Usage!$B$5:$S$5&amp;Usage!$B$6:$S$6&amp;Usage!$B$7:$S$7,0)),0)</f>
        <v>460</v>
      </c>
      <c r="G123" s="3" t="s">
        <v>77</v>
      </c>
      <c r="H123" s="172"/>
      <c r="I123" s="172">
        <f t="array" ref="I123">IFERROR(INDEX('Detail inputs'!$B$3:$K$196,MATCH($B123&amp;$G123&amp;I$5,'Detail inputs'!$B$3:$B$196&amp;'Detail inputs'!$G$3:$G$196&amp;'Detail inputs'!$H$3:$H$196,0),MATCH(I$4,'Detail inputs'!$B$3:$K$3,0)),0)</f>
        <v>0.34</v>
      </c>
      <c r="J123" s="172">
        <f t="shared" ref="J123:J129" si="71">IF(AND(H123="",I123=""),"",H123+I123*$F123/1000)</f>
        <v>0.15640000000000001</v>
      </c>
      <c r="K123" s="192">
        <f>IFERROR(J123/J129,"")</f>
        <v>3.8866026520347511E-3</v>
      </c>
      <c r="L123" s="192"/>
      <c r="M123" s="192">
        <f t="shared" si="68"/>
        <v>0.23529411764705865</v>
      </c>
      <c r="N123" s="189"/>
      <c r="O123" s="172"/>
      <c r="P123" s="172">
        <f t="array" ref="P123">IFERROR(INDEX('Detail inputs'!$B$3:$K$196,MATCH($B123&amp;$G123&amp;P$5,'Detail inputs'!$B$3:$B$196&amp;'Detail inputs'!$G$3:$G$196&amp;'Detail inputs'!$H$3:$H$196,0),MATCH(P$4,'Detail inputs'!$B$3:$K$3,0)),0)</f>
        <v>0.42</v>
      </c>
      <c r="Q123" s="172">
        <f t="shared" ref="Q123:Q129" si="72">IF(AND(O123="",P123=""),"",O123+P123*$F123/1000)</f>
        <v>0.19319999999999998</v>
      </c>
      <c r="R123" s="192">
        <f>IFERROR(Q123/Q129,"")</f>
        <v>3.7499999999999994E-3</v>
      </c>
    </row>
    <row r="124" spans="2:18" outlineLevel="1" x14ac:dyDescent="0.25">
      <c r="B124" s="3" t="str">
        <f t="shared" si="67"/>
        <v>Essential</v>
      </c>
      <c r="C124" s="3" t="str">
        <f t="shared" si="65"/>
        <v>Residential</v>
      </c>
      <c r="D124" s="3" t="str">
        <f t="shared" si="66"/>
        <v>with CL</v>
      </c>
      <c r="E124" s="3" t="s">
        <v>17</v>
      </c>
      <c r="F124" s="175">
        <f t="array" ref="F124">IFERROR(INDEX(Usage!$B$5:$P$18,MATCH($B124,Usage!$B$5:$B$18,0),MATCH($C124&amp;$D124&amp;$E124,Usage!$B$5:$S$5&amp;Usage!$B$6:$S$6&amp;Usage!$B$7:$S$7,0)),0)</f>
        <v>460</v>
      </c>
      <c r="G124" s="3" t="s">
        <v>85</v>
      </c>
      <c r="H124" s="172"/>
      <c r="I124" s="172">
        <f t="array" ref="I124">IFERROR(INDEX('Detail inputs'!$B$3:$K$196,MATCH($B124&amp;$G124&amp;I$5,'Detail inputs'!$B$3:$B$196&amp;'Detail inputs'!$G$3:$G$196&amp;'Detail inputs'!$H$3:$H$196,0),MATCH(I$4,'Detail inputs'!$B$3:$K$3,0)),0)</f>
        <v>1.1000000000000001</v>
      </c>
      <c r="J124" s="172">
        <f t="shared" si="71"/>
        <v>0.50600000000000001</v>
      </c>
      <c r="K124" s="192">
        <f>IFERROR(J124/J129,"")</f>
        <v>1.2574302697759488E-2</v>
      </c>
      <c r="L124" s="192"/>
      <c r="M124" s="192">
        <f t="shared" si="68"/>
        <v>4.5454545454545414E-2</v>
      </c>
      <c r="N124" s="189"/>
      <c r="O124" s="172"/>
      <c r="P124" s="172">
        <f t="array" ref="P124">IFERROR(INDEX('Detail inputs'!$B$3:$K$196,MATCH($B124&amp;$G124&amp;P$5,'Detail inputs'!$B$3:$B$196&amp;'Detail inputs'!$G$3:$G$196&amp;'Detail inputs'!$H$3:$H$196,0),MATCH(P$4,'Detail inputs'!$B$3:$K$3,0)),0)</f>
        <v>1.1499999999999999</v>
      </c>
      <c r="Q124" s="172">
        <f t="shared" si="72"/>
        <v>0.52900000000000003</v>
      </c>
      <c r="R124" s="192">
        <f>IFERROR(Q124/Q129,"")</f>
        <v>1.0267857142857143E-2</v>
      </c>
    </row>
    <row r="125" spans="2:18" outlineLevel="1" x14ac:dyDescent="0.25">
      <c r="B125" s="3" t="str">
        <f t="shared" si="67"/>
        <v>Essential</v>
      </c>
      <c r="C125" s="3" t="str">
        <f t="shared" si="65"/>
        <v>Residential</v>
      </c>
      <c r="D125" s="3" t="str">
        <f t="shared" si="66"/>
        <v>with CL</v>
      </c>
      <c r="E125" s="3" t="s">
        <v>17</v>
      </c>
      <c r="F125" s="175">
        <f t="array" ref="F125">IFERROR(INDEX(Usage!$B$5:$P$18,MATCH($B125,Usage!$B$5:$B$18,0),MATCH($C125&amp;$D125&amp;$E125,Usage!$B$5:$S$5&amp;Usage!$B$6:$S$6&amp;Usage!$B$7:$S$7,0)),0)</f>
        <v>460</v>
      </c>
      <c r="G125" s="3" t="s">
        <v>78</v>
      </c>
      <c r="H125" s="172"/>
      <c r="I125" s="172">
        <f t="array" ref="I125">IFERROR(INDEX('Detail inputs'!$B$3:$K$196,MATCH($B125&amp;$G125&amp;I$5,'Detail inputs'!$B$3:$B$196&amp;'Detail inputs'!$G$3:$G$196&amp;'Detail inputs'!$H$3:$H$196,0),MATCH(I$4,'Detail inputs'!$B$3:$K$3,0)),0)</f>
        <v>0</v>
      </c>
      <c r="J125" s="172">
        <f t="shared" si="71"/>
        <v>0</v>
      </c>
      <c r="K125" s="192">
        <f>IFERROR(J125/J129,"")</f>
        <v>0</v>
      </c>
      <c r="L125" s="192"/>
      <c r="M125" s="192" t="str">
        <f t="shared" si="68"/>
        <v/>
      </c>
      <c r="N125" s="189"/>
      <c r="O125" s="172"/>
      <c r="P125" s="172">
        <f t="array" ref="P125">IFERROR(INDEX('Detail inputs'!$B$3:$K$196,MATCH($B125&amp;$G125&amp;P$5,'Detail inputs'!$B$3:$B$196&amp;'Detail inputs'!$G$3:$G$196&amp;'Detail inputs'!$H$3:$H$196,0),MATCH(P$4,'Detail inputs'!$B$3:$K$3,0)),0)</f>
        <v>0</v>
      </c>
      <c r="Q125" s="172">
        <f t="shared" si="72"/>
        <v>0</v>
      </c>
      <c r="R125" s="192">
        <f>IFERROR(Q125/Q129,"")</f>
        <v>0</v>
      </c>
    </row>
    <row r="126" spans="2:18" outlineLevel="1" x14ac:dyDescent="0.25">
      <c r="B126" s="3" t="str">
        <f t="shared" si="67"/>
        <v>Essential</v>
      </c>
      <c r="C126" s="3" t="str">
        <f t="shared" si="65"/>
        <v>Residential</v>
      </c>
      <c r="D126" s="3" t="str">
        <f t="shared" si="66"/>
        <v>with CL</v>
      </c>
      <c r="E126" s="3" t="s">
        <v>17</v>
      </c>
      <c r="F126" s="175">
        <f t="array" ref="F126">IFERROR(INDEX(Usage!$B$5:$P$18,MATCH($B126,Usage!$B$5:$B$18,0),MATCH($C126&amp;$D126&amp;$E126,Usage!$B$5:$S$5&amp;Usage!$B$6:$S$6&amp;Usage!$B$7:$S$7,0)),0)</f>
        <v>460</v>
      </c>
      <c r="G126" s="3" t="str">
        <f>+G105</f>
        <v>June 2022 Event Cost</v>
      </c>
      <c r="H126" s="172"/>
      <c r="I126" s="172">
        <f t="array" ref="I126">IFERROR(INDEX('Detail inputs'!$B$3:$K$196,MATCH($B126&amp;$G126&amp;I$5,'Detail inputs'!$B$3:$B$196&amp;'Detail inputs'!$G$3:$G$196&amp;'Detail inputs'!$H$3:$H$196,0),MATCH(I$4,'Detail inputs'!$B$3:$K$3,0)),0)</f>
        <v>0</v>
      </c>
      <c r="J126" s="172">
        <f t="shared" si="71"/>
        <v>0</v>
      </c>
      <c r="K126" s="192">
        <f>IFERROR(J126/J130,"")</f>
        <v>0</v>
      </c>
      <c r="L126" s="192"/>
      <c r="M126" s="192" t="str">
        <f t="shared" si="68"/>
        <v/>
      </c>
      <c r="N126" s="189"/>
      <c r="O126" s="172"/>
      <c r="P126" s="172">
        <f t="array" ref="P126">IFERROR(INDEX('Detail inputs'!$B$3:$K$196,MATCH($B126&amp;$G126&amp;P$5,'Detail inputs'!$B$3:$B$196&amp;'Detail inputs'!$G$3:$G$196&amp;'Detail inputs'!$H$3:$H$196,0),MATCH(P$4,'Detail inputs'!$B$3:$K$3,0)),0)</f>
        <v>2.0499999999999998</v>
      </c>
      <c r="Q126" s="172">
        <f t="shared" si="72"/>
        <v>0.94299999999999984</v>
      </c>
      <c r="R126" s="192">
        <f>IFERROR(Q126/Q130,"")</f>
        <v>9.0521453488483705E-4</v>
      </c>
    </row>
    <row r="127" spans="2:18" outlineLevel="1" x14ac:dyDescent="0.25">
      <c r="B127" s="3" t="str">
        <f t="shared" si="67"/>
        <v>Essential</v>
      </c>
      <c r="C127" s="3" t="str">
        <f t="shared" si="65"/>
        <v>Residential</v>
      </c>
      <c r="D127" s="3" t="str">
        <f t="shared" si="66"/>
        <v>with CL</v>
      </c>
      <c r="E127" s="3" t="s">
        <v>17</v>
      </c>
      <c r="F127" s="175">
        <f t="array" ref="F127">IFERROR(INDEX(Usage!$B$5:$P$18,MATCH($B127,Usage!$B$5:$B$18,0),MATCH($C127&amp;$D127&amp;$E127,Usage!$B$5:$S$5&amp;Usage!$B$6:$S$6&amp;Usage!$B$7:$S$7,0)),0)</f>
        <v>460</v>
      </c>
      <c r="G127" s="3" t="s">
        <v>155</v>
      </c>
      <c r="H127" s="172"/>
      <c r="I127" s="172">
        <f t="array" ref="I127">IFERROR(INDEX('Detail inputs'!$B$3:$K$196,MATCH($B127&amp;$G127&amp;I$5,'Detail inputs'!$B$3:$B$196&amp;'Detail inputs'!$G$3:$G$196&amp;'Detail inputs'!$H$3:$H$196,0),MATCH(I$4,'Detail inputs'!$B$3:$K$3,0)),0)</f>
        <v>2.31</v>
      </c>
      <c r="J127" s="172">
        <f t="shared" si="71"/>
        <v>1.0626000000000002</v>
      </c>
      <c r="K127" s="192">
        <f>IFERROR(J127/J129,"")</f>
        <v>2.6406035665294928E-2</v>
      </c>
      <c r="L127" s="192"/>
      <c r="M127" s="192">
        <f t="shared" si="68"/>
        <v>0.14285714285714279</v>
      </c>
      <c r="N127" s="189"/>
      <c r="O127" s="172"/>
      <c r="P127" s="172">
        <f t="array" ref="P127">IFERROR(INDEX('Detail inputs'!$B$3:$K$196,MATCH($B127&amp;$G127&amp;P$5,'Detail inputs'!$B$3:$B$196&amp;'Detail inputs'!$G$3:$G$196&amp;'Detail inputs'!$H$3:$H$196,0),MATCH(P$4,'Detail inputs'!$B$3:$K$3,0)),0)</f>
        <v>2.64</v>
      </c>
      <c r="Q127" s="172">
        <f t="shared" si="72"/>
        <v>1.2144000000000001</v>
      </c>
      <c r="R127" s="192">
        <f>IFERROR(Q127/Q129,"")</f>
        <v>2.3571428571428573E-2</v>
      </c>
    </row>
    <row r="128" spans="2:18" outlineLevel="1" x14ac:dyDescent="0.25">
      <c r="B128" s="3" t="str">
        <f t="shared" si="67"/>
        <v>Essential</v>
      </c>
      <c r="C128" s="3" t="str">
        <f t="shared" si="65"/>
        <v>Residential</v>
      </c>
      <c r="D128" s="3" t="str">
        <f t="shared" si="66"/>
        <v>with CL</v>
      </c>
      <c r="E128" s="3" t="s">
        <v>17</v>
      </c>
      <c r="F128" s="175">
        <f t="array" ref="F128">IFERROR(INDEX(Usage!$B$5:$P$18,MATCH($B128,Usage!$B$5:$B$18,0),MATCH($C128&amp;$D128&amp;$E128,Usage!$B$5:$S$5&amp;Usage!$B$6:$S$6&amp;Usage!$B$7:$S$7,0)),0)</f>
        <v>460</v>
      </c>
      <c r="G128" s="3" t="s">
        <v>79</v>
      </c>
      <c r="H128" s="172"/>
      <c r="I128" s="172" cm="1">
        <f t="array" ref="I128">ROUND(IFERROR(INDEX('Detail inputs'!$B$3:$K$196,MATCH($B128&amp;$C128&amp;$E128&amp;$G128&amp;I$5,'Detail inputs'!$B$3:$B$196&amp;'Detail inputs'!$D$3:$D$196&amp;'Detail inputs'!$F$3:$F$196&amp;'Detail inputs'!$G$3:$G$196&amp;'Detail inputs'!$H$3:$H$196,0),MATCH(I$4,'Detail inputs'!$B$3:$K$3,0)),0)*SUM(I122:I127), 2)</f>
        <v>3.45</v>
      </c>
      <c r="J128" s="172">
        <f t="shared" si="71"/>
        <v>1.587</v>
      </c>
      <c r="K128" s="192">
        <f>IFERROR(J128/J129,"")</f>
        <v>3.9437585733882029E-2</v>
      </c>
      <c r="L128" s="192"/>
      <c r="M128" s="192">
        <f t="shared" si="68"/>
        <v>6.6666666666666652E-2</v>
      </c>
      <c r="N128" s="189"/>
      <c r="O128" s="172"/>
      <c r="P128" s="172" cm="1">
        <f t="array" ref="P128">ROUND(IFERROR(INDEX('Detail inputs'!$B$3:$K$196,MATCH($B128&amp;$C128&amp;$E128&amp;$G128&amp;P$5,'Detail inputs'!$B$3:$B$196&amp;'Detail inputs'!$D$3:$D$196&amp;'Detail inputs'!$F$3:$F$196&amp;'Detail inputs'!$G$3:$G$196&amp;'Detail inputs'!$H$3:$H$196,0),MATCH(P$4,'Detail inputs'!$B$3:$K$3,0)),0)*SUM(P122:P127), 2)</f>
        <v>3.68</v>
      </c>
      <c r="Q128" s="172">
        <f t="shared" si="72"/>
        <v>1.6928000000000001</v>
      </c>
      <c r="R128" s="192">
        <f>IFERROR(Q128/Q129,"")</f>
        <v>3.2857142857142856E-2</v>
      </c>
    </row>
    <row r="129" spans="2:19" outlineLevel="1" x14ac:dyDescent="0.25">
      <c r="B129" s="3" t="str">
        <f t="shared" si="67"/>
        <v>Essential</v>
      </c>
      <c r="C129" s="3" t="str">
        <f t="shared" si="65"/>
        <v>Residential</v>
      </c>
      <c r="D129" s="3" t="str">
        <f t="shared" si="66"/>
        <v>with CL</v>
      </c>
      <c r="E129" s="3" t="s">
        <v>17</v>
      </c>
      <c r="F129" s="175">
        <f t="array" ref="F129">IFERROR(INDEX(Usage!$B$5:$P$18,MATCH($B129,Usage!$B$5:$B$18,0),MATCH($C129&amp;$D129&amp;$E129,Usage!$B$5:$S$5&amp;Usage!$B$6:$S$6&amp;Usage!$B$7:$S$7,0)),0)</f>
        <v>460</v>
      </c>
      <c r="G129" s="3" t="s">
        <v>61</v>
      </c>
      <c r="H129" s="172"/>
      <c r="I129" s="172">
        <f t="array" ref="I129">INDEX('Key inputs'!$B$17:$N$41,MATCH($B129&amp;$C129&amp;$E129,'Key inputs'!$B$17:$B$41&amp;'Key inputs'!$C$17:$C$41&amp;'Key inputs'!$D$17:$D$41,0),MATCH($A$2&amp;I$4,'Key inputs'!$B$18:$N$18&amp;'Key inputs'!$B$19:$N$19,0))</f>
        <v>87.48</v>
      </c>
      <c r="J129" s="172">
        <f t="shared" si="71"/>
        <v>40.2408</v>
      </c>
      <c r="K129" s="192"/>
      <c r="L129" s="199"/>
      <c r="M129" s="192">
        <f t="shared" si="68"/>
        <v>0.28029263831732965</v>
      </c>
      <c r="N129" s="197"/>
      <c r="O129" s="172"/>
      <c r="P129" s="172">
        <f t="array" ref="P129">INDEX('Key inputs'!$B$17:$N$41,MATCH($B129&amp;$C129&amp;$E129,'Key inputs'!$B$17:$B$41&amp;'Key inputs'!$C$17:$C$41&amp;'Key inputs'!$D$17:$D$41,0),MATCH($A$2&amp;P$4,'Key inputs'!$B$18:$N$18&amp;'Key inputs'!$B$19:$N$19,0))</f>
        <v>112</v>
      </c>
      <c r="Q129" s="172">
        <f t="shared" si="72"/>
        <v>51.52</v>
      </c>
      <c r="R129" s="192"/>
    </row>
    <row r="130" spans="2:19" x14ac:dyDescent="0.25">
      <c r="B130" s="3" t="str">
        <f t="shared" si="67"/>
        <v>Essential</v>
      </c>
      <c r="C130" s="3" t="str">
        <f t="shared" si="65"/>
        <v>Residential</v>
      </c>
      <c r="D130" s="3" t="str">
        <f t="shared" si="66"/>
        <v>with CL</v>
      </c>
      <c r="E130" s="3" t="s">
        <v>61</v>
      </c>
      <c r="F130" s="175">
        <f t="array" ref="F130">IFERROR(INDEX(Usage!$B$5:$P$18,MATCH($B130,Usage!$B$5:$B$18,0),MATCH($C130&amp;$D130&amp;$E130,Usage!$B$5:$S$5&amp;Usage!$B$6:$S$6&amp;Usage!$B$7:$S$7,0)),0)</f>
        <v>6600</v>
      </c>
      <c r="G130" s="3" t="s">
        <v>61</v>
      </c>
      <c r="H130" s="172"/>
      <c r="I130" s="172">
        <f>I113+I121+I129</f>
        <v>290.93</v>
      </c>
      <c r="J130" s="172">
        <f>J113+J121+J129</f>
        <v>708.42200000000003</v>
      </c>
      <c r="K130" s="192"/>
      <c r="L130" s="199"/>
      <c r="M130" s="192">
        <f t="shared" si="68"/>
        <v>0.47051051491907359</v>
      </c>
      <c r="N130" s="197"/>
      <c r="O130" s="172"/>
      <c r="P130" s="172">
        <f>P113+P121+P129</f>
        <v>401.77</v>
      </c>
      <c r="Q130" s="172">
        <f>Q113+Q121+Q129</f>
        <v>1041.742</v>
      </c>
      <c r="R130" s="192"/>
    </row>
    <row r="131" spans="2:19" outlineLevel="1" x14ac:dyDescent="0.25">
      <c r="B131" s="3" t="str">
        <f t="shared" si="67"/>
        <v>Essential</v>
      </c>
      <c r="C131" s="3" t="str">
        <f t="shared" si="65"/>
        <v>Residential</v>
      </c>
      <c r="D131" s="3" t="str">
        <f t="shared" si="66"/>
        <v>with CL</v>
      </c>
      <c r="F131" s="175"/>
      <c r="G131" s="3" t="s">
        <v>41</v>
      </c>
      <c r="H131" s="172"/>
      <c r="I131" s="172"/>
      <c r="J131" s="172">
        <f>J130*GST</f>
        <v>70.842200000000005</v>
      </c>
      <c r="K131" s="192"/>
      <c r="L131" s="199"/>
      <c r="M131" s="192"/>
      <c r="N131" s="197"/>
      <c r="O131" s="172"/>
      <c r="P131" s="172"/>
      <c r="Q131" s="172">
        <f>Q130*GST</f>
        <v>104.1742</v>
      </c>
      <c r="R131" s="193"/>
    </row>
    <row r="132" spans="2:19" x14ac:dyDescent="0.25">
      <c r="B132" s="3" t="str">
        <f t="shared" si="67"/>
        <v>Essential</v>
      </c>
      <c r="C132" s="3" t="str">
        <f t="shared" si="65"/>
        <v>Residential</v>
      </c>
      <c r="D132" s="3" t="str">
        <f t="shared" si="66"/>
        <v>with CL</v>
      </c>
      <c r="F132" s="175"/>
      <c r="G132" s="5" t="s">
        <v>87</v>
      </c>
      <c r="H132" s="174"/>
      <c r="I132" s="174"/>
      <c r="J132" s="174">
        <f>SUM(J130:J131)</f>
        <v>779.26420000000007</v>
      </c>
      <c r="K132" s="193"/>
      <c r="L132" s="200"/>
      <c r="M132" s="193">
        <f>IF(OR(J132=0,Q132=""),"",Q132/J132-1)</f>
        <v>0.47051051491907336</v>
      </c>
      <c r="N132" s="198"/>
      <c r="O132" s="174"/>
      <c r="P132" s="174"/>
      <c r="Q132" s="174">
        <f>SUM(Q130:Q131)</f>
        <v>1145.9161999999999</v>
      </c>
      <c r="R132" s="193"/>
    </row>
    <row r="133" spans="2:19" x14ac:dyDescent="0.25">
      <c r="F133" s="175"/>
      <c r="H133" s="172"/>
      <c r="I133" s="172"/>
      <c r="J133" s="172"/>
      <c r="K133" s="191"/>
      <c r="L133" s="199"/>
      <c r="M133" s="191"/>
      <c r="N133" s="197"/>
      <c r="O133" s="172"/>
      <c r="P133" s="172"/>
      <c r="Q133" s="172"/>
      <c r="R133" s="191"/>
    </row>
    <row r="134" spans="2:19" x14ac:dyDescent="0.25">
      <c r="B134" s="5" t="s">
        <v>3</v>
      </c>
      <c r="C134" s="5" t="s">
        <v>15</v>
      </c>
      <c r="D134" s="5" t="s">
        <v>146</v>
      </c>
      <c r="F134" s="175"/>
      <c r="H134" s="172"/>
      <c r="I134" s="172"/>
      <c r="J134" s="172"/>
      <c r="K134" s="191"/>
      <c r="L134" s="199"/>
      <c r="M134" s="191"/>
      <c r="N134" s="197"/>
      <c r="O134" s="172"/>
      <c r="P134" s="172"/>
      <c r="Q134" s="172"/>
      <c r="R134" s="191"/>
    </row>
    <row r="135" spans="2:19" outlineLevel="1" x14ac:dyDescent="0.25">
      <c r="B135" s="3" t="str">
        <f>B134</f>
        <v>Essential</v>
      </c>
      <c r="C135" s="3" t="str">
        <f t="shared" ref="C135:C144" si="73">C134</f>
        <v>Small business</v>
      </c>
      <c r="D135" s="3" t="str">
        <f t="shared" ref="D135:D144" si="74">D134</f>
        <v>without CL</v>
      </c>
      <c r="E135" s="3" t="s">
        <v>22</v>
      </c>
      <c r="F135" s="175">
        <f t="array" ref="F135">IFERROR(INDEX(Usage!$B$5:$P$18,MATCH($B135,Usage!$B$5:$B$18,0),MATCH($C135&amp;$D135&amp;$E135,Usage!$B$5:$S$5&amp;Usage!$B$6:$S$6&amp;Usage!$B$7:$S$7,0)),0)</f>
        <v>10000</v>
      </c>
      <c r="G135" s="3" t="s">
        <v>76</v>
      </c>
      <c r="H135" s="172"/>
      <c r="I135" s="172">
        <f t="array" ref="I135">IFERROR(INDEX('Detail inputs'!$B$3:$K$196,MATCH($B135&amp;$C135&amp;$E135&amp;$G135&amp;I$5,'Detail inputs'!$B$3:$B$196&amp;'Detail inputs'!$D$3:$D$196&amp;'Detail inputs'!$F$3:$F$196&amp;'Detail inputs'!$G$3:$G$196&amp;'Detail inputs'!$H$3:$H$196,0),MATCH(I$4,'Detail inputs'!$B$3:$K$3,0)),0)</f>
        <v>107.65</v>
      </c>
      <c r="J135" s="172">
        <f>IF(AND(H135="",I135=""),"",H135+I135*$F135/1000)</f>
        <v>1076.5</v>
      </c>
      <c r="K135" s="191">
        <f>IFERROR(J135/J142,"")</f>
        <v>0.92825730792446315</v>
      </c>
      <c r="L135" s="191"/>
      <c r="M135" s="191">
        <f t="shared" ref="M135:M142" si="75">IF(OR(J135=0,Q135=""),"",Q135/J135-1)</f>
        <v>0.5388759869948907</v>
      </c>
      <c r="N135" s="188"/>
      <c r="O135" s="172"/>
      <c r="P135" s="172">
        <f t="array" ref="P135">IFERROR(INDEX('Detail inputs'!$B$3:$K$196,MATCH($B135&amp;$C135&amp;$E135&amp;$G135&amp;P$5,'Detail inputs'!$B$3:$B$196&amp;'Detail inputs'!$D$3:$D$196&amp;'Detail inputs'!$F$3:$F$196&amp;'Detail inputs'!$G$3:$G$196&amp;'Detail inputs'!$H$3:$H$196,0),MATCH(P$4,'Detail inputs'!$B$3:$K$3,0)),0)</f>
        <v>165.66</v>
      </c>
      <c r="Q135" s="172">
        <f>IF(AND(O135="",P135=""),"",O135+P135*$F135/1000)</f>
        <v>1656.6</v>
      </c>
      <c r="R135" s="191">
        <f>IFERROR(Q135/Q142,"")</f>
        <v>0.93187826967429821</v>
      </c>
    </row>
    <row r="136" spans="2:19" outlineLevel="1" x14ac:dyDescent="0.25">
      <c r="B136" s="3" t="str">
        <f t="shared" ref="B136:B144" si="76">B135</f>
        <v>Essential</v>
      </c>
      <c r="C136" s="3" t="str">
        <f t="shared" si="73"/>
        <v>Small business</v>
      </c>
      <c r="D136" s="3" t="str">
        <f t="shared" si="74"/>
        <v>without CL</v>
      </c>
      <c r="E136" s="3" t="s">
        <v>22</v>
      </c>
      <c r="F136" s="175">
        <f t="array" ref="F136">IFERROR(INDEX(Usage!$B$5:$P$18,MATCH($B136,Usage!$B$5:$B$18,0),MATCH($C136&amp;$D136&amp;$E136,Usage!$B$5:$S$5&amp;Usage!$B$6:$S$6&amp;Usage!$B$7:$S$7,0)),0)</f>
        <v>10000</v>
      </c>
      <c r="G136" s="3" t="s">
        <v>77</v>
      </c>
      <c r="H136" s="172"/>
      <c r="I136" s="172">
        <f t="array" ref="I136">IFERROR(INDEX('Detail inputs'!$B$3:$K$196,MATCH($B136&amp;$G136&amp;I$5,'Detail inputs'!$B$3:$B$196&amp;'Detail inputs'!$G$3:$G$196&amp;'Detail inputs'!$H$3:$H$196,0),MATCH(I$4,'Detail inputs'!$B$3:$K$3,0)),0)</f>
        <v>0.34</v>
      </c>
      <c r="J136" s="172">
        <f t="shared" ref="J136:J142" si="77">IF(AND(H136="",I136=""),"",H136+I136*$F136/1000)</f>
        <v>3.4000000000000004</v>
      </c>
      <c r="K136" s="191">
        <f>IFERROR(J136/J142,"")</f>
        <v>2.9317927050099167E-3</v>
      </c>
      <c r="L136" s="191"/>
      <c r="M136" s="191">
        <f t="shared" si="75"/>
        <v>0.23529411764705865</v>
      </c>
      <c r="N136" s="188"/>
      <c r="O136" s="172"/>
      <c r="P136" s="172">
        <f t="array" ref="P136">IFERROR(INDEX('Detail inputs'!$B$3:$K$196,MATCH($B136&amp;$G136&amp;P$5,'Detail inputs'!$B$3:$B$196&amp;'Detail inputs'!$G$3:$G$196&amp;'Detail inputs'!$H$3:$H$196,0),MATCH(P$4,'Detail inputs'!$B$3:$K$3,0)),0)</f>
        <v>0.42</v>
      </c>
      <c r="Q136" s="172">
        <f t="shared" ref="Q136:Q142" si="78">IF(AND(O136="",P136=""),"",O136+P136*$F136/1000)</f>
        <v>4.2</v>
      </c>
      <c r="R136" s="191">
        <f>IFERROR(Q136/Q142,"")</f>
        <v>2.3626033638971707E-3</v>
      </c>
    </row>
    <row r="137" spans="2:19" outlineLevel="1" x14ac:dyDescent="0.25">
      <c r="B137" s="3" t="str">
        <f t="shared" si="76"/>
        <v>Essential</v>
      </c>
      <c r="C137" s="3" t="str">
        <f t="shared" si="73"/>
        <v>Small business</v>
      </c>
      <c r="D137" s="3" t="str">
        <f t="shared" si="74"/>
        <v>without CL</v>
      </c>
      <c r="E137" s="3" t="s">
        <v>22</v>
      </c>
      <c r="F137" s="175">
        <f t="array" ref="F137">IFERROR(INDEX(Usage!$B$5:$P$18,MATCH($B137,Usage!$B$5:$B$18,0),MATCH($C137&amp;$D137&amp;$E137,Usage!$B$5:$S$5&amp;Usage!$B$6:$S$6&amp;Usage!$B$7:$S$7,0)),0)</f>
        <v>10000</v>
      </c>
      <c r="G137" s="3" t="s">
        <v>85</v>
      </c>
      <c r="H137" s="172"/>
      <c r="I137" s="172">
        <f t="array" ref="I137">IFERROR(INDEX('Detail inputs'!$B$3:$K$196,MATCH($B137&amp;$G137&amp;I$5,'Detail inputs'!$B$3:$B$196&amp;'Detail inputs'!$G$3:$G$196&amp;'Detail inputs'!$H$3:$H$196,0),MATCH(I$4,'Detail inputs'!$B$3:$K$3,0)),0)</f>
        <v>1.1000000000000001</v>
      </c>
      <c r="J137" s="172">
        <f t="shared" si="77"/>
        <v>11</v>
      </c>
      <c r="K137" s="191">
        <f>IFERROR(J137/J142,"")</f>
        <v>9.4852116926791401E-3</v>
      </c>
      <c r="L137" s="191"/>
      <c r="M137" s="191">
        <f t="shared" si="75"/>
        <v>4.5454545454545414E-2</v>
      </c>
      <c r="N137" s="188"/>
      <c r="O137" s="172"/>
      <c r="P137" s="172">
        <f t="array" ref="P137">IFERROR(INDEX('Detail inputs'!$B$3:$K$196,MATCH($B137&amp;$G137&amp;P$5,'Detail inputs'!$B$3:$B$196&amp;'Detail inputs'!$G$3:$G$196&amp;'Detail inputs'!$H$3:$H$196,0),MATCH(P$4,'Detail inputs'!$B$3:$K$3,0)),0)</f>
        <v>1.1499999999999999</v>
      </c>
      <c r="Q137" s="172">
        <f t="shared" si="78"/>
        <v>11.5</v>
      </c>
      <c r="R137" s="191">
        <f>IFERROR(Q137/Q142,"")</f>
        <v>6.4690330201946332E-3</v>
      </c>
    </row>
    <row r="138" spans="2:19" outlineLevel="1" x14ac:dyDescent="0.25">
      <c r="B138" s="3" t="str">
        <f t="shared" si="76"/>
        <v>Essential</v>
      </c>
      <c r="C138" s="3" t="str">
        <f t="shared" si="73"/>
        <v>Small business</v>
      </c>
      <c r="D138" s="3" t="str">
        <f t="shared" si="74"/>
        <v>without CL</v>
      </c>
      <c r="E138" s="3" t="s">
        <v>22</v>
      </c>
      <c r="F138" s="175">
        <f t="array" ref="F138">IFERROR(INDEX(Usage!$B$5:$P$18,MATCH($B138,Usage!$B$5:$B$18,0),MATCH($C138&amp;$D138&amp;$E138,Usage!$B$5:$S$5&amp;Usage!$B$6:$S$6&amp;Usage!$B$7:$S$7,0)),0)</f>
        <v>10000</v>
      </c>
      <c r="G138" s="3" t="s">
        <v>78</v>
      </c>
      <c r="H138" s="172"/>
      <c r="I138" s="172">
        <f t="array" ref="I138">IFERROR(INDEX('Detail inputs'!$B$3:$K$196,MATCH($B138&amp;$G138&amp;I$5,'Detail inputs'!$B$3:$B$196&amp;'Detail inputs'!$G$3:$G$196&amp;'Detail inputs'!$H$3:$H$196,0),MATCH(I$4,'Detail inputs'!$B$3:$K$3,0)),0)</f>
        <v>0</v>
      </c>
      <c r="J138" s="172">
        <f t="shared" si="77"/>
        <v>0</v>
      </c>
      <c r="K138" s="191">
        <f>IFERROR(J138/J142,"")</f>
        <v>0</v>
      </c>
      <c r="L138" s="191"/>
      <c r="M138" s="191" t="str">
        <f t="shared" si="75"/>
        <v/>
      </c>
      <c r="N138" s="188"/>
      <c r="O138" s="172"/>
      <c r="P138" s="172">
        <f t="array" ref="P138">IFERROR(INDEX('Detail inputs'!$B$3:$K$196,MATCH($B138&amp;$G138&amp;P$5,'Detail inputs'!$B$3:$B$196&amp;'Detail inputs'!$G$3:$G$196&amp;'Detail inputs'!$H$3:$H$196,0),MATCH(P$4,'Detail inputs'!$B$3:$K$3,0)),0)</f>
        <v>0</v>
      </c>
      <c r="Q138" s="172">
        <f t="shared" si="78"/>
        <v>0</v>
      </c>
      <c r="R138" s="191">
        <f>IFERROR(Q138/Q142,"")</f>
        <v>0</v>
      </c>
    </row>
    <row r="139" spans="2:19" outlineLevel="1" x14ac:dyDescent="0.25">
      <c r="B139" s="3" t="str">
        <f t="shared" si="76"/>
        <v>Essential</v>
      </c>
      <c r="C139" s="3" t="str">
        <f t="shared" si="73"/>
        <v>Small business</v>
      </c>
      <c r="D139" s="3" t="str">
        <f t="shared" si="74"/>
        <v>without CL</v>
      </c>
      <c r="E139" s="3" t="s">
        <v>22</v>
      </c>
      <c r="F139" s="175">
        <f t="array" ref="F139">IFERROR(INDEX(Usage!$B$5:$P$18,MATCH($B139,Usage!$B$5:$B$18,0),MATCH($C139&amp;$D139&amp;$E139,Usage!$B$5:$S$5&amp;Usage!$B$6:$S$6&amp;Usage!$B$7:$S$7,0)),0)</f>
        <v>10000</v>
      </c>
      <c r="G139" s="3" t="str">
        <f>+G126</f>
        <v>June 2022 Event Cost</v>
      </c>
      <c r="H139" s="172"/>
      <c r="I139" s="172">
        <f t="array" ref="I139">IFERROR(INDEX('Detail inputs'!$B$3:$K$196,MATCH($B139&amp;$G139&amp;I$5,'Detail inputs'!$B$3:$B$196&amp;'Detail inputs'!$G$3:$G$196&amp;'Detail inputs'!$H$3:$H$196,0),MATCH(I$4,'Detail inputs'!$B$3:$K$3,0)),0)</f>
        <v>0</v>
      </c>
      <c r="J139" s="172">
        <f t="shared" si="77"/>
        <v>0</v>
      </c>
      <c r="K139" s="191">
        <f>IFERROR(J139/J143,"")</f>
        <v>0</v>
      </c>
      <c r="L139" s="191"/>
      <c r="M139" s="191" t="str">
        <f t="shared" si="75"/>
        <v/>
      </c>
      <c r="N139" s="188"/>
      <c r="O139" s="172"/>
      <c r="P139" s="172">
        <f t="array" ref="P139">IFERROR(INDEX('Detail inputs'!$B$3:$K$196,MATCH($B139&amp;$G139&amp;P$5,'Detail inputs'!$B$3:$B$196&amp;'Detail inputs'!$G$3:$G$196&amp;'Detail inputs'!$H$3:$H$196,0),MATCH(P$4,'Detail inputs'!$B$3:$K$3,0)),0)</f>
        <v>2.0499999999999998</v>
      </c>
      <c r="Q139" s="172">
        <f t="shared" si="78"/>
        <v>20.5</v>
      </c>
      <c r="R139" s="191">
        <f>IFERROR(Q139/Q143,"")</f>
        <v>0.11531754514259998</v>
      </c>
    </row>
    <row r="140" spans="2:19" outlineLevel="1" x14ac:dyDescent="0.25">
      <c r="B140" s="3" t="str">
        <f t="shared" si="76"/>
        <v>Essential</v>
      </c>
      <c r="C140" s="3" t="str">
        <f t="shared" si="73"/>
        <v>Small business</v>
      </c>
      <c r="D140" s="3" t="str">
        <f t="shared" si="74"/>
        <v>without CL</v>
      </c>
      <c r="E140" s="3" t="s">
        <v>22</v>
      </c>
      <c r="F140" s="175">
        <f t="array" ref="F140">IFERROR(INDEX(Usage!$B$5:$P$18,MATCH($B140,Usage!$B$5:$B$18,0),MATCH($C140&amp;$D140&amp;$E140,Usage!$B$5:$S$5&amp;Usage!$B$6:$S$6&amp;Usage!$B$7:$S$7,0)),0)</f>
        <v>10000</v>
      </c>
      <c r="G140" s="3" t="s">
        <v>155</v>
      </c>
      <c r="H140" s="172"/>
      <c r="I140" s="172">
        <f t="array" ref="I140">IFERROR(INDEX('Detail inputs'!$B$3:$K$196,MATCH($B140&amp;$G140&amp;I$5,'Detail inputs'!$B$3:$B$196&amp;'Detail inputs'!$G$3:$G$196&amp;'Detail inputs'!$H$3:$H$196,0),MATCH(I$4,'Detail inputs'!$B$3:$K$3,0)),0)</f>
        <v>2.31</v>
      </c>
      <c r="J140" s="172">
        <f t="shared" si="77"/>
        <v>23.1</v>
      </c>
      <c r="K140" s="191">
        <f>IFERROR(J140/J142,"")</f>
        <v>1.9918944554626197E-2</v>
      </c>
      <c r="L140" s="191"/>
      <c r="M140" s="191">
        <f t="shared" si="75"/>
        <v>0.14285714285714279</v>
      </c>
      <c r="N140" s="188"/>
      <c r="O140" s="172"/>
      <c r="P140" s="172">
        <f t="array" ref="P140">IFERROR(INDEX('Detail inputs'!$B$3:$K$196,MATCH($B140&amp;$G140&amp;P$5,'Detail inputs'!$B$3:$B$196&amp;'Detail inputs'!$G$3:$G$196&amp;'Detail inputs'!$H$3:$H$196,0),MATCH(P$4,'Detail inputs'!$B$3:$K$3,0)),0)</f>
        <v>2.64</v>
      </c>
      <c r="Q140" s="172">
        <f t="shared" si="78"/>
        <v>26.4</v>
      </c>
      <c r="R140" s="191">
        <f>IFERROR(Q140/Q142,"")</f>
        <v>1.485064971592507E-2</v>
      </c>
    </row>
    <row r="141" spans="2:19" outlineLevel="1" x14ac:dyDescent="0.25">
      <c r="B141" s="3" t="str">
        <f t="shared" si="76"/>
        <v>Essential</v>
      </c>
      <c r="C141" s="3" t="str">
        <f t="shared" si="73"/>
        <v>Small business</v>
      </c>
      <c r="D141" s="3" t="str">
        <f t="shared" si="74"/>
        <v>without CL</v>
      </c>
      <c r="E141" s="3" t="s">
        <v>22</v>
      </c>
      <c r="F141" s="175">
        <f t="array" ref="F141">IFERROR(INDEX(Usage!$B$5:$P$18,MATCH($B141,Usage!$B$5:$B$18,0),MATCH($C141&amp;$D141&amp;$E141,Usage!$B$5:$S$5&amp;Usage!$B$6:$S$6&amp;Usage!$B$7:$S$7,0)),0)</f>
        <v>10000</v>
      </c>
      <c r="G141" s="3" t="s">
        <v>79</v>
      </c>
      <c r="H141" s="172"/>
      <c r="I141" s="172" cm="1">
        <f t="array" ref="I141">ROUND(IFERROR(INDEX('Detail inputs'!$B$3:$K$196,MATCH($B141&amp;$C141&amp;$E141&amp;$G141&amp;I$5,'Detail inputs'!$B$3:$B$196&amp;'Detail inputs'!$D$3:$D$196&amp;'Detail inputs'!$F$3:$F$196&amp;'Detail inputs'!$G$3:$G$196&amp;'Detail inputs'!$H$3:$H$196,0),MATCH(I$4,'Detail inputs'!$B$3:$K$3,0)),0)*SUM(I135:I140), 2)</f>
        <v>4.57</v>
      </c>
      <c r="J141" s="172">
        <f t="shared" si="77"/>
        <v>45.7</v>
      </c>
      <c r="K141" s="191">
        <f>IFERROR(J141/J142,"")</f>
        <v>3.9406743123221524E-2</v>
      </c>
      <c r="L141" s="191"/>
      <c r="M141" s="191">
        <f t="shared" si="75"/>
        <v>0.28008752735229758</v>
      </c>
      <c r="N141" s="188"/>
      <c r="O141" s="172"/>
      <c r="P141" s="172" cm="1">
        <f t="array" ref="P141">ROUND(IFERROR(INDEX('Detail inputs'!$B$3:$K$196,MATCH($B141&amp;$C141&amp;$E141&amp;$G141&amp;P$5,'Detail inputs'!$B$3:$B$196&amp;'Detail inputs'!$D$3:$D$196&amp;'Detail inputs'!$F$3:$F$196&amp;'Detail inputs'!$G$3:$G$196&amp;'Detail inputs'!$H$3:$H$196,0),MATCH(P$4,'Detail inputs'!$B$3:$K$3,0)),0)*SUM(P135:P140), 2)</f>
        <v>5.85</v>
      </c>
      <c r="Q141" s="172">
        <f t="shared" si="78"/>
        <v>58.5</v>
      </c>
      <c r="R141" s="191">
        <f>IFERROR(Q141/Q142,"")</f>
        <v>3.2907689711424874E-2</v>
      </c>
      <c r="S141" s="90"/>
    </row>
    <row r="142" spans="2:19" x14ac:dyDescent="0.25">
      <c r="B142" s="3" t="str">
        <f t="shared" si="76"/>
        <v>Essential</v>
      </c>
      <c r="C142" s="3" t="str">
        <f t="shared" si="73"/>
        <v>Small business</v>
      </c>
      <c r="D142" s="3" t="str">
        <f t="shared" si="74"/>
        <v>without CL</v>
      </c>
      <c r="E142" s="3" t="s">
        <v>22</v>
      </c>
      <c r="F142" s="175">
        <f t="array" ref="F142">IFERROR(INDEX(Usage!$B$5:$P$18,MATCH($B142,Usage!$B$5:$B$18,0),MATCH($C142&amp;$D142&amp;$E142,Usage!$B$5:$S$5&amp;Usage!$B$6:$S$6&amp;Usage!$B$7:$S$7,0)),0)</f>
        <v>10000</v>
      </c>
      <c r="G142" s="3" t="s">
        <v>61</v>
      </c>
      <c r="H142" s="172"/>
      <c r="I142" s="172">
        <f t="array" ref="I142">INDEX('Key inputs'!$B$17:$N$41,MATCH($B142&amp;$C142&amp;$E142,'Key inputs'!$B$17:$B$41&amp;'Key inputs'!$C$17:$C$41&amp;'Key inputs'!$D$17:$D$41,0),MATCH($A$2&amp;I$4,'Key inputs'!$B$18:$N$18&amp;'Key inputs'!$B$19:$N$19,0))</f>
        <v>115.97</v>
      </c>
      <c r="J142" s="172">
        <f t="shared" si="77"/>
        <v>1159.7</v>
      </c>
      <c r="K142" s="192"/>
      <c r="L142" s="199"/>
      <c r="M142" s="192">
        <f t="shared" si="75"/>
        <v>0.53289643873415526</v>
      </c>
      <c r="N142" s="197"/>
      <c r="O142" s="172"/>
      <c r="P142" s="172">
        <f t="array" ref="P142">INDEX('Key inputs'!$B$17:$N$41,MATCH($B142&amp;$C142&amp;$E142,'Key inputs'!$B$17:$B$41&amp;'Key inputs'!$C$17:$C$41&amp;'Key inputs'!$D$17:$D$41,0),MATCH($A$2&amp;P$4,'Key inputs'!$B$18:$N$18&amp;'Key inputs'!$B$19:$N$19,0))</f>
        <v>177.77</v>
      </c>
      <c r="Q142" s="172">
        <f t="shared" si="78"/>
        <v>1777.7</v>
      </c>
      <c r="R142" s="192"/>
    </row>
    <row r="143" spans="2:19" x14ac:dyDescent="0.25">
      <c r="B143" s="3" t="str">
        <f t="shared" si="76"/>
        <v>Essential</v>
      </c>
      <c r="C143" s="3" t="str">
        <f t="shared" si="73"/>
        <v>Small business</v>
      </c>
      <c r="D143" s="3" t="str">
        <f t="shared" si="74"/>
        <v>without CL</v>
      </c>
      <c r="F143" s="175"/>
      <c r="G143" s="3" t="s">
        <v>41</v>
      </c>
      <c r="H143" s="172"/>
      <c r="I143" s="172"/>
      <c r="J143" s="172">
        <f>J142*GST</f>
        <v>115.97000000000001</v>
      </c>
      <c r="K143" s="192"/>
      <c r="L143" s="199"/>
      <c r="M143" s="192"/>
      <c r="N143" s="197"/>
      <c r="O143" s="172"/>
      <c r="P143" s="172"/>
      <c r="Q143" s="172">
        <f>Q142*GST</f>
        <v>177.77</v>
      </c>
      <c r="R143" s="191"/>
    </row>
    <row r="144" spans="2:19" x14ac:dyDescent="0.25">
      <c r="B144" s="3" t="str">
        <f t="shared" si="76"/>
        <v>Essential</v>
      </c>
      <c r="C144" s="3" t="str">
        <f t="shared" si="73"/>
        <v>Small business</v>
      </c>
      <c r="D144" s="3" t="str">
        <f t="shared" si="74"/>
        <v>without CL</v>
      </c>
      <c r="F144" s="175"/>
      <c r="G144" s="5" t="s">
        <v>87</v>
      </c>
      <c r="H144" s="174"/>
      <c r="I144" s="174"/>
      <c r="J144" s="174">
        <f>SUM(J142:J143)</f>
        <v>1275.67</v>
      </c>
      <c r="K144" s="193"/>
      <c r="L144" s="200"/>
      <c r="M144" s="193">
        <f>IF(OR(J144=0,Q144=""),"",Q144/J144-1)</f>
        <v>0.53289643873415526</v>
      </c>
      <c r="N144" s="198"/>
      <c r="O144" s="174"/>
      <c r="P144" s="174"/>
      <c r="Q144" s="174">
        <f>SUM(Q142:Q143)</f>
        <v>1955.47</v>
      </c>
      <c r="R144" s="191"/>
    </row>
    <row r="145" spans="2:19" x14ac:dyDescent="0.25">
      <c r="F145" s="175"/>
      <c r="H145" s="172"/>
      <c r="I145" s="172"/>
      <c r="J145" s="172"/>
      <c r="K145" s="191"/>
      <c r="L145" s="199"/>
      <c r="M145" s="191"/>
      <c r="N145" s="197"/>
      <c r="O145" s="172"/>
      <c r="P145" s="172"/>
      <c r="Q145" s="172"/>
      <c r="R145" s="191"/>
    </row>
    <row r="146" spans="2:19" x14ac:dyDescent="0.25">
      <c r="B146" s="5" t="s">
        <v>0</v>
      </c>
      <c r="C146" s="5" t="s">
        <v>6</v>
      </c>
      <c r="D146" s="5" t="s">
        <v>146</v>
      </c>
      <c r="F146" s="175"/>
      <c r="H146" s="172"/>
      <c r="I146" s="172"/>
      <c r="J146" s="172"/>
      <c r="K146" s="191"/>
      <c r="L146" s="199"/>
      <c r="M146" s="191"/>
      <c r="N146" s="197"/>
      <c r="O146" s="172"/>
      <c r="P146" s="172"/>
      <c r="Q146" s="172"/>
      <c r="R146" s="191"/>
    </row>
    <row r="147" spans="2:19" outlineLevel="1" x14ac:dyDescent="0.25">
      <c r="B147" s="3" t="str">
        <f>B146</f>
        <v>Energex</v>
      </c>
      <c r="C147" s="3" t="str">
        <f t="shared" ref="C147:C156" si="79">C146</f>
        <v>Residential</v>
      </c>
      <c r="D147" s="3" t="str">
        <f t="shared" ref="D147:D156" si="80">D146</f>
        <v>without CL</v>
      </c>
      <c r="E147" s="3" t="s">
        <v>22</v>
      </c>
      <c r="F147" s="175">
        <f t="array" ref="F147">IFERROR(INDEX(Usage!$B$5:$P$18,MATCH($B147,Usage!$B$5:$B$18,0),MATCH($C147&amp;$D147&amp;$E147&amp;"Total",Usage!$B$5:$S$5&amp;Usage!$B$6:$S$6&amp;Usage!$B$7:$S$7&amp;Usage!$B$13:$S$13,0)),0)</f>
        <v>4600</v>
      </c>
      <c r="G147" s="3" t="s">
        <v>76</v>
      </c>
      <c r="H147" s="172"/>
      <c r="I147" s="172">
        <f t="array" ref="I147">IFERROR(INDEX('Detail inputs'!$B$3:$K$196,MATCH($B147&amp;$C147&amp;$E147&amp;$G147&amp;I$5,'Detail inputs'!$B$3:$B$196&amp;'Detail inputs'!$D$3:$D$196&amp;'Detail inputs'!$F$3:$F$196&amp;'Detail inputs'!$G$3:$G$196&amp;'Detail inputs'!$H$3:$H$196,0),MATCH(I$4,'Detail inputs'!$B$3:$K$3,0)),0)</f>
        <v>97.45</v>
      </c>
      <c r="J147" s="172">
        <f>IF(AND(H147="",I147=""),"",H147+I147*$F147/1000)</f>
        <v>448.27</v>
      </c>
      <c r="K147" s="191">
        <f>IFERROR(J147/J154,"")</f>
        <v>0.88166108748755989</v>
      </c>
      <c r="L147" s="191"/>
      <c r="M147" s="191">
        <f t="shared" ref="M147:M154" si="81">IF(OR(J147=0,Q147=""),"",Q147/J147-1)</f>
        <v>0.52703950743971273</v>
      </c>
      <c r="N147" s="188"/>
      <c r="O147" s="172"/>
      <c r="P147" s="172">
        <f t="array" ref="P147">IFERROR(INDEX('Detail inputs'!$B$3:$K$196,MATCH($B147&amp;$C147&amp;$E147&amp;$G147&amp;P$5,'Detail inputs'!$B$3:$B$196&amp;'Detail inputs'!$D$3:$D$196&amp;'Detail inputs'!$F$3:$F$196&amp;'Detail inputs'!$G$3:$G$196&amp;'Detail inputs'!$H$3:$H$196,0),MATCH(P$4,'Detail inputs'!$B$3:$K$3,0)),0)</f>
        <v>148.81</v>
      </c>
      <c r="Q147" s="172">
        <f>IF(AND(O147="",P147=""),"",O147+P147*$F147/1000)</f>
        <v>684.52599999999995</v>
      </c>
      <c r="R147" s="191">
        <f>IFERROR(Q147/Q154,"")</f>
        <v>0.90127793592150673</v>
      </c>
    </row>
    <row r="148" spans="2:19" outlineLevel="1" x14ac:dyDescent="0.25">
      <c r="B148" s="3" t="str">
        <f t="shared" ref="B148:B156" si="82">B147</f>
        <v>Energex</v>
      </c>
      <c r="C148" s="3" t="str">
        <f t="shared" si="79"/>
        <v>Residential</v>
      </c>
      <c r="D148" s="3" t="str">
        <f t="shared" si="80"/>
        <v>without CL</v>
      </c>
      <c r="E148" s="3" t="s">
        <v>22</v>
      </c>
      <c r="F148" s="175">
        <f t="array" ref="F148">IFERROR(INDEX(Usage!$B$5:$P$18,MATCH($B148,Usage!$B$5:$B$18,0),MATCH($C148&amp;$D148&amp;$E148&amp;"Total",Usage!$B$5:$S$5&amp;Usage!$B$6:$S$6&amp;Usage!$B$7:$S$7&amp;Usage!$B$13:$S$13,0)),0)</f>
        <v>4600</v>
      </c>
      <c r="G148" s="3" t="s">
        <v>77</v>
      </c>
      <c r="H148" s="172"/>
      <c r="I148" s="172">
        <f t="array" ref="I148">IFERROR(INDEX('Detail inputs'!$B$3:$K$196,MATCH($B148&amp;$G148&amp;I$5,'Detail inputs'!$B$3:$B$196&amp;'Detail inputs'!$G$3:$G$196&amp;'Detail inputs'!$H$3:$H$196,0),MATCH(I$4,'Detail inputs'!$B$3:$K$3,0)),0)</f>
        <v>1.42</v>
      </c>
      <c r="J148" s="172">
        <f t="shared" ref="J148:J154" si="83">IF(AND(H148="",I148=""),"",H148+I148*$F148/1000)</f>
        <v>6.532</v>
      </c>
      <c r="K148" s="191">
        <f>IFERROR(J148/J154,"")</f>
        <v>1.284719080792545E-2</v>
      </c>
      <c r="L148" s="191"/>
      <c r="M148" s="191">
        <f t="shared" si="81"/>
        <v>-0.54225352112676051</v>
      </c>
      <c r="N148" s="188"/>
      <c r="O148" s="172"/>
      <c r="P148" s="172">
        <f t="array" ref="P148">IFERROR(INDEX('Detail inputs'!$B$3:$K$196,MATCH($B148&amp;$G148&amp;P$5,'Detail inputs'!$B$3:$B$196&amp;'Detail inputs'!$G$3:$G$196&amp;'Detail inputs'!$H$3:$H$196,0),MATCH(P$4,'Detail inputs'!$B$3:$K$3,0)),0)</f>
        <v>0.65</v>
      </c>
      <c r="Q148" s="172">
        <f t="shared" ref="Q148:Q154" si="84">IF(AND(O148="",P148=""),"",O148+P148*$F148/1000)</f>
        <v>2.99</v>
      </c>
      <c r="R148" s="191">
        <f>IFERROR(Q148/Q154,"")</f>
        <v>3.936769426442977E-3</v>
      </c>
    </row>
    <row r="149" spans="2:19" outlineLevel="1" x14ac:dyDescent="0.25">
      <c r="B149" s="3" t="str">
        <f t="shared" si="82"/>
        <v>Energex</v>
      </c>
      <c r="C149" s="3" t="str">
        <f t="shared" si="79"/>
        <v>Residential</v>
      </c>
      <c r="D149" s="3" t="str">
        <f t="shared" si="80"/>
        <v>without CL</v>
      </c>
      <c r="E149" s="3" t="s">
        <v>22</v>
      </c>
      <c r="F149" s="175">
        <f t="array" ref="F149">IFERROR(INDEX(Usage!$B$5:$P$18,MATCH($B149,Usage!$B$5:$B$18,0),MATCH($C149&amp;$D149&amp;$E149&amp;"Total",Usage!$B$5:$S$5&amp;Usage!$B$6:$S$6&amp;Usage!$B$7:$S$7&amp;Usage!$B$13:$S$13,0)),0)</f>
        <v>4600</v>
      </c>
      <c r="G149" s="3" t="s">
        <v>85</v>
      </c>
      <c r="H149" s="172"/>
      <c r="I149" s="172">
        <f t="array" ref="I149">IFERROR(INDEX('Detail inputs'!$B$3:$K$196,MATCH($B149&amp;$G149&amp;I$5,'Detail inputs'!$B$3:$B$196&amp;'Detail inputs'!$G$3:$G$196&amp;'Detail inputs'!$H$3:$H$196,0),MATCH(I$4,'Detail inputs'!$B$3:$K$3,0)),0)</f>
        <v>1.1000000000000001</v>
      </c>
      <c r="J149" s="172">
        <f t="shared" si="83"/>
        <v>5.0599999999999996</v>
      </c>
      <c r="K149" s="191">
        <f>IFERROR(J149/J154,"")</f>
        <v>9.9520492174070378E-3</v>
      </c>
      <c r="L149" s="191"/>
      <c r="M149" s="191">
        <f t="shared" si="81"/>
        <v>4.5454545454545636E-2</v>
      </c>
      <c r="N149" s="188"/>
      <c r="O149" s="172"/>
      <c r="P149" s="172">
        <f t="array" ref="P149">IFERROR(INDEX('Detail inputs'!$B$3:$K$196,MATCH($B149&amp;$G149&amp;P$5,'Detail inputs'!$B$3:$B$196&amp;'Detail inputs'!$G$3:$G$196&amp;'Detail inputs'!$H$3:$H$196,0),MATCH(P$4,'Detail inputs'!$B$3:$K$3,0)),0)</f>
        <v>1.1499999999999999</v>
      </c>
      <c r="Q149" s="172">
        <f t="shared" si="84"/>
        <v>5.29</v>
      </c>
      <c r="R149" s="191">
        <f>IFERROR(Q149/Q154,"")</f>
        <v>6.9650536006298823E-3</v>
      </c>
    </row>
    <row r="150" spans="2:19" outlineLevel="1" x14ac:dyDescent="0.25">
      <c r="B150" s="3" t="str">
        <f t="shared" si="82"/>
        <v>Energex</v>
      </c>
      <c r="C150" s="3" t="str">
        <f t="shared" si="79"/>
        <v>Residential</v>
      </c>
      <c r="D150" s="3" t="str">
        <f t="shared" si="80"/>
        <v>without CL</v>
      </c>
      <c r="E150" s="3" t="s">
        <v>22</v>
      </c>
      <c r="F150" s="175">
        <f t="array" ref="F150">IFERROR(INDEX(Usage!$B$5:$P$18,MATCH($B150,Usage!$B$5:$B$18,0),MATCH($C150&amp;$D150&amp;$E150&amp;"Total",Usage!$B$5:$S$5&amp;Usage!$B$6:$S$6&amp;Usage!$B$7:$S$7&amp;Usage!$B$13:$S$13,0)),0)</f>
        <v>4600</v>
      </c>
      <c r="G150" s="3" t="s">
        <v>78</v>
      </c>
      <c r="H150" s="172"/>
      <c r="I150" s="172">
        <f t="array" ref="I150">IFERROR(INDEX('Detail inputs'!$B$3:$K$196,MATCH($B150&amp;$G150&amp;I$5,'Detail inputs'!$B$3:$B$196&amp;'Detail inputs'!$G$3:$G$196&amp;'Detail inputs'!$H$3:$H$196,0),MATCH(I$4,'Detail inputs'!$B$3:$K$3,0)),0)</f>
        <v>1.01</v>
      </c>
      <c r="J150" s="172">
        <f t="shared" si="83"/>
        <v>4.6459999999999999</v>
      </c>
      <c r="K150" s="191">
        <f>IFERROR(J150/J154,"")</f>
        <v>9.1377906450737355E-3</v>
      </c>
      <c r="L150" s="191"/>
      <c r="M150" s="191">
        <f t="shared" si="81"/>
        <v>-0.96039603960396036</v>
      </c>
      <c r="N150" s="188"/>
      <c r="O150" s="172"/>
      <c r="P150" s="172">
        <f t="array" ref="P150">IFERROR(INDEX('Detail inputs'!$B$3:$K$196,MATCH($B150&amp;$G150&amp;P$5,'Detail inputs'!$B$3:$B$196&amp;'Detail inputs'!$G$3:$G$196&amp;'Detail inputs'!$H$3:$H$196,0),MATCH(P$4,'Detail inputs'!$B$3:$K$3,0)),0)</f>
        <v>0.04</v>
      </c>
      <c r="Q150" s="172">
        <f t="shared" si="84"/>
        <v>0.184</v>
      </c>
      <c r="R150" s="191">
        <f>IFERROR(Q150/Q154,"")</f>
        <v>2.4226273393495242E-4</v>
      </c>
    </row>
    <row r="151" spans="2:19" outlineLevel="1" x14ac:dyDescent="0.25">
      <c r="B151" s="3" t="str">
        <f t="shared" si="82"/>
        <v>Energex</v>
      </c>
      <c r="C151" s="3" t="str">
        <f t="shared" si="79"/>
        <v>Residential</v>
      </c>
      <c r="D151" s="3" t="str">
        <f t="shared" si="80"/>
        <v>without CL</v>
      </c>
      <c r="E151" s="3" t="s">
        <v>22</v>
      </c>
      <c r="F151" s="175">
        <f t="array" ref="F151">IFERROR(INDEX(Usage!$B$5:$P$18,MATCH($B151,Usage!$B$5:$B$18,0),MATCH($C151&amp;$D151&amp;$E151&amp;"Total",Usage!$B$5:$S$5&amp;Usage!$B$6:$S$6&amp;Usage!$B$7:$S$7&amp;Usage!$B$13:$S$13,0)),0)</f>
        <v>4600</v>
      </c>
      <c r="G151" s="3" t="str">
        <f>+G139</f>
        <v>June 2022 Event Cost</v>
      </c>
      <c r="H151" s="172"/>
      <c r="I151" s="172">
        <f t="array" ref="I151">IFERROR(INDEX('Detail inputs'!$B$3:$K$196,MATCH($B151&amp;$G151&amp;I$5,'Detail inputs'!$B$3:$B$196&amp;'Detail inputs'!$G$3:$G$196&amp;'Detail inputs'!$H$3:$H$196,0),MATCH(I$4,'Detail inputs'!$B$3:$K$3,0)),0)</f>
        <v>0</v>
      </c>
      <c r="J151" s="172">
        <f t="shared" ref="J151" si="85">IF(AND(H151="",I151=""),"",H151+I151*$F151/1000)</f>
        <v>0</v>
      </c>
      <c r="K151" s="191">
        <f>IFERROR(J151/J155,"")</f>
        <v>0</v>
      </c>
      <c r="L151" s="191"/>
      <c r="M151" s="191" t="str">
        <f t="shared" ref="M151" si="86">IF(OR(J151=0,Q151=""),"",Q151/J151-1)</f>
        <v/>
      </c>
      <c r="N151" s="188"/>
      <c r="O151" s="172"/>
      <c r="P151" s="172">
        <f t="array" ref="P151">IFERROR(INDEX('Detail inputs'!$B$3:$K$196,MATCH($B151&amp;$G151&amp;P$5,'Detail inputs'!$B$3:$B$196&amp;'Detail inputs'!$G$3:$G$196&amp;'Detail inputs'!$H$3:$H$196,0),MATCH(P$4,'Detail inputs'!$B$3:$K$3,0)),0)</f>
        <v>0.89</v>
      </c>
      <c r="Q151" s="172">
        <f t="shared" ref="Q151" si="87">IF(AND(O151="",P151=""),"",O151+P151*$F151/1000)</f>
        <v>4.0940000000000003</v>
      </c>
      <c r="R151" s="191">
        <f>IFERROR(Q151/Q155,"")</f>
        <v>5.3903458300526917E-2</v>
      </c>
    </row>
    <row r="152" spans="2:19" outlineLevel="1" x14ac:dyDescent="0.25">
      <c r="B152" s="3" t="str">
        <f t="shared" si="82"/>
        <v>Energex</v>
      </c>
      <c r="C152" s="3" t="str">
        <f t="shared" si="79"/>
        <v>Residential</v>
      </c>
      <c r="D152" s="3" t="str">
        <f t="shared" si="80"/>
        <v>without CL</v>
      </c>
      <c r="E152" s="3" t="s">
        <v>22</v>
      </c>
      <c r="F152" s="175">
        <f t="array" ref="F152">IFERROR(INDEX(Usage!$B$5:$P$18,MATCH($B152,Usage!$B$5:$B$18,0),MATCH($C152&amp;$D152&amp;$E152&amp;"Total",Usage!$B$5:$S$5&amp;Usage!$B$6:$S$6&amp;Usage!$B$7:$S$7&amp;Usage!$B$13:$S$13,0)),0)</f>
        <v>4600</v>
      </c>
      <c r="G152" s="3" t="s">
        <v>155</v>
      </c>
      <c r="H152" s="172"/>
      <c r="I152" s="172">
        <f t="array" ref="I152">IFERROR(INDEX('Detail inputs'!$B$3:$K$196,MATCH($B152&amp;$G152&amp;I$5,'Detail inputs'!$B$3:$B$196&amp;'Detail inputs'!$G$3:$G$196&amp;'Detail inputs'!$H$3:$H$196,0),MATCH(I$4,'Detail inputs'!$B$3:$K$3,0)),0)</f>
        <v>2.61</v>
      </c>
      <c r="J152" s="172">
        <f t="shared" si="83"/>
        <v>12.006</v>
      </c>
      <c r="K152" s="191">
        <f>IFERROR(J152/J154,"")</f>
        <v>2.3613498597665792E-2</v>
      </c>
      <c r="L152" s="191"/>
      <c r="M152" s="191">
        <f t="shared" si="81"/>
        <v>0.11494252873563204</v>
      </c>
      <c r="N152" s="188"/>
      <c r="O152" s="172"/>
      <c r="P152" s="172">
        <f t="array" ref="P152">IFERROR(INDEX('Detail inputs'!$B$3:$K$196,MATCH($B152&amp;$G152&amp;P$5,'Detail inputs'!$B$3:$B$196&amp;'Detail inputs'!$G$3:$G$196&amp;'Detail inputs'!$H$3:$H$196,0),MATCH(P$4,'Detail inputs'!$B$3:$K$3,0)),0)</f>
        <v>2.91</v>
      </c>
      <c r="Q152" s="172">
        <f t="shared" si="84"/>
        <v>13.385999999999999</v>
      </c>
      <c r="R152" s="191">
        <f>IFERROR(Q152/Q154,"")</f>
        <v>1.762461389376779E-2</v>
      </c>
    </row>
    <row r="153" spans="2:19" outlineLevel="1" x14ac:dyDescent="0.25">
      <c r="B153" s="3" t="str">
        <f t="shared" si="82"/>
        <v>Energex</v>
      </c>
      <c r="C153" s="3" t="str">
        <f t="shared" si="79"/>
        <v>Residential</v>
      </c>
      <c r="D153" s="3" t="str">
        <f t="shared" si="80"/>
        <v>without CL</v>
      </c>
      <c r="E153" s="3" t="s">
        <v>22</v>
      </c>
      <c r="F153" s="175">
        <f t="array" ref="F153">IFERROR(INDEX(Usage!$B$5:$P$18,MATCH($B153,Usage!$B$5:$B$18,0),MATCH($C153&amp;$D153&amp;$E153&amp;"Total",Usage!$B$5:$S$5&amp;Usage!$B$6:$S$6&amp;Usage!$B$7:$S$7&amp;Usage!$B$13:$S$13,0)),0)</f>
        <v>4600</v>
      </c>
      <c r="G153" s="3" t="s">
        <v>79</v>
      </c>
      <c r="H153" s="172"/>
      <c r="I153" s="172" cm="1">
        <f t="array" ref="I153">ROUND(IFERROR(INDEX('Detail inputs'!$B$3:$K$196,MATCH($B153&amp;$C153&amp;$E153&amp;$G153&amp;I$5,'Detail inputs'!$B$3:$B$196&amp;'Detail inputs'!$D$3:$D$196&amp;'Detail inputs'!$F$3:$F$196&amp;'Detail inputs'!$G$3:$G$196&amp;'Detail inputs'!$H$3:$H$196,0),MATCH(I$4,'Detail inputs'!$B$3:$K$3,0)),0)*SUM(I147:I152), 2)</f>
        <v>6.94</v>
      </c>
      <c r="J153" s="172">
        <f t="shared" si="83"/>
        <v>31.923999999999999</v>
      </c>
      <c r="K153" s="191">
        <f>IFERROR(J153/J154,"")</f>
        <v>6.2788383244368043E-2</v>
      </c>
      <c r="L153" s="191"/>
      <c r="M153" s="191">
        <f t="shared" si="81"/>
        <v>0.5360230547550433</v>
      </c>
      <c r="N153" s="188"/>
      <c r="O153" s="172"/>
      <c r="P153" s="172" cm="1">
        <f t="array" ref="P153">ROUND(IFERROR(INDEX('Detail inputs'!$B$3:$K$196,MATCH($B153&amp;$C153&amp;$E153&amp;$G153&amp;P$5,'Detail inputs'!$B$3:$B$196&amp;'Detail inputs'!$D$3:$D$196&amp;'Detail inputs'!$F$3:$F$196&amp;'Detail inputs'!$G$3:$G$196&amp;'Detail inputs'!$H$3:$H$196,0),MATCH(P$4,'Detail inputs'!$B$3:$K$3,0)),0)*SUM(P147:P152), 2)</f>
        <v>10.66</v>
      </c>
      <c r="Q153" s="172">
        <f t="shared" si="84"/>
        <v>49.036000000000001</v>
      </c>
      <c r="R153" s="191">
        <f>IFERROR(Q153/Q154,"")</f>
        <v>6.4563018593664825E-2</v>
      </c>
      <c r="S153" s="90"/>
    </row>
    <row r="154" spans="2:19" x14ac:dyDescent="0.25">
      <c r="B154" s="3" t="str">
        <f t="shared" si="82"/>
        <v>Energex</v>
      </c>
      <c r="C154" s="3" t="str">
        <f t="shared" si="79"/>
        <v>Residential</v>
      </c>
      <c r="D154" s="3" t="str">
        <f t="shared" si="80"/>
        <v>without CL</v>
      </c>
      <c r="E154" s="3" t="s">
        <v>22</v>
      </c>
      <c r="F154" s="175">
        <f t="array" ref="F154">IFERROR(INDEX(Usage!$B$5:$P$18,MATCH($B154,Usage!$B$5:$B$18,0),MATCH($C154&amp;$D154&amp;$E154&amp;"Total",Usage!$B$5:$S$5&amp;Usage!$B$6:$S$6&amp;Usage!$B$7:$S$7&amp;Usage!$B$13:$S$13,0)),0)</f>
        <v>4600</v>
      </c>
      <c r="G154" s="3" t="s">
        <v>61</v>
      </c>
      <c r="H154" s="172"/>
      <c r="I154" s="172">
        <f t="array" ref="I154">INDEX('Key inputs'!$B$17:$N$41,MATCH($B154&amp;$C154&amp;$E154,'Key inputs'!$B$17:$B$41&amp;'Key inputs'!$C$17:$C$41&amp;'Key inputs'!$D$17:$D$41,0),MATCH($A$2&amp;I$4,'Key inputs'!$B$18:$N$18&amp;'Key inputs'!$B$19:$N$19,0))</f>
        <v>110.53</v>
      </c>
      <c r="J154" s="172">
        <f t="shared" si="83"/>
        <v>508.43799999999999</v>
      </c>
      <c r="K154" s="192"/>
      <c r="L154" s="199"/>
      <c r="M154" s="192">
        <f t="shared" si="81"/>
        <v>0.49380258753279671</v>
      </c>
      <c r="N154" s="197"/>
      <c r="O154" s="172"/>
      <c r="P154" s="172">
        <f t="array" ref="P154">INDEX('Key inputs'!$B$17:$N$41,MATCH($B154&amp;$C154&amp;$E154,'Key inputs'!$B$17:$B$41&amp;'Key inputs'!$C$17:$C$41&amp;'Key inputs'!$D$17:$D$41,0),MATCH($A$2&amp;P$4,'Key inputs'!$B$18:$N$18&amp;'Key inputs'!$B$19:$N$19,0))</f>
        <v>165.11</v>
      </c>
      <c r="Q154" s="172">
        <f t="shared" si="84"/>
        <v>759.50600000000009</v>
      </c>
      <c r="R154" s="192"/>
    </row>
    <row r="155" spans="2:19" outlineLevel="1" x14ac:dyDescent="0.25">
      <c r="B155" s="3" t="str">
        <f t="shared" si="82"/>
        <v>Energex</v>
      </c>
      <c r="C155" s="3" t="str">
        <f t="shared" si="79"/>
        <v>Residential</v>
      </c>
      <c r="D155" s="3" t="str">
        <f t="shared" si="80"/>
        <v>without CL</v>
      </c>
      <c r="F155" s="175"/>
      <c r="G155" s="3" t="s">
        <v>41</v>
      </c>
      <c r="H155" s="172"/>
      <c r="I155" s="172"/>
      <c r="J155" s="172">
        <f>J154*GST</f>
        <v>50.843800000000002</v>
      </c>
      <c r="K155" s="192"/>
      <c r="L155" s="199"/>
      <c r="M155" s="192"/>
      <c r="N155" s="197"/>
      <c r="O155" s="172"/>
      <c r="P155" s="172"/>
      <c r="Q155" s="172">
        <f>Q154*GST</f>
        <v>75.950600000000009</v>
      </c>
      <c r="R155" s="193"/>
    </row>
    <row r="156" spans="2:19" x14ac:dyDescent="0.25">
      <c r="B156" s="3" t="str">
        <f t="shared" si="82"/>
        <v>Energex</v>
      </c>
      <c r="C156" s="3" t="str">
        <f t="shared" si="79"/>
        <v>Residential</v>
      </c>
      <c r="D156" s="3" t="str">
        <f t="shared" si="80"/>
        <v>without CL</v>
      </c>
      <c r="F156" s="175"/>
      <c r="G156" s="5" t="s">
        <v>87</v>
      </c>
      <c r="H156" s="174"/>
      <c r="I156" s="174"/>
      <c r="J156" s="174">
        <f>SUM(J154:J155)</f>
        <v>559.28179999999998</v>
      </c>
      <c r="K156" s="193"/>
      <c r="L156" s="200"/>
      <c r="M156" s="193">
        <f>IF(OR(J156=0,Q156=""),"",Q156/J156-1)</f>
        <v>0.49380258753279671</v>
      </c>
      <c r="N156" s="198"/>
      <c r="O156" s="174"/>
      <c r="P156" s="174"/>
      <c r="Q156" s="174">
        <f>SUM(Q154:Q155)</f>
        <v>835.45660000000009</v>
      </c>
      <c r="R156" s="193"/>
    </row>
    <row r="157" spans="2:19" x14ac:dyDescent="0.25">
      <c r="F157" s="175"/>
      <c r="H157" s="172"/>
      <c r="I157" s="172"/>
      <c r="J157" s="172"/>
      <c r="K157" s="191"/>
      <c r="L157" s="199"/>
      <c r="M157" s="191"/>
      <c r="N157" s="197"/>
      <c r="O157" s="172"/>
      <c r="P157" s="172"/>
      <c r="Q157" s="172"/>
      <c r="R157" s="191"/>
    </row>
    <row r="158" spans="2:19" x14ac:dyDescent="0.25">
      <c r="B158" s="5" t="s">
        <v>0</v>
      </c>
      <c r="C158" s="5" t="s">
        <v>6</v>
      </c>
      <c r="D158" s="5" t="s">
        <v>147</v>
      </c>
      <c r="F158" s="175"/>
      <c r="H158" s="172"/>
      <c r="I158" s="172"/>
      <c r="J158" s="172"/>
      <c r="K158" s="191"/>
      <c r="L158" s="199"/>
      <c r="M158" s="191"/>
      <c r="N158" s="197"/>
      <c r="O158" s="172"/>
      <c r="P158" s="172"/>
      <c r="Q158" s="172"/>
      <c r="R158" s="191"/>
    </row>
    <row r="159" spans="2:19" outlineLevel="1" x14ac:dyDescent="0.25">
      <c r="B159" s="3" t="str">
        <f>B158</f>
        <v>Energex</v>
      </c>
      <c r="C159" s="3" t="str">
        <f t="shared" ref="C159:C178" si="88">C158</f>
        <v>Residential</v>
      </c>
      <c r="D159" s="3" t="str">
        <f t="shared" ref="D159:D178" si="89">D158</f>
        <v>with CL</v>
      </c>
      <c r="E159" s="3" t="s">
        <v>22</v>
      </c>
      <c r="F159" s="175">
        <f t="array" ref="F159">IFERROR(INDEX(Usage!$B$5:$P$18,MATCH($B159,Usage!$B$5:$B$18,0),MATCH($C159&amp;$D159&amp;$E159&amp;"Total",Usage!$B$5:$S$5&amp;Usage!$B$6:$S$6&amp;Usage!$B$7:$S$7&amp;Usage!$B$13:$S$13,0)),0)</f>
        <v>4400</v>
      </c>
      <c r="G159" s="3" t="s">
        <v>61</v>
      </c>
      <c r="H159" s="172"/>
      <c r="I159" s="172">
        <f t="array" ref="I159">INDEX('Key inputs'!$B$17:$N$41,MATCH($B159&amp;$C159&amp;$E159,'Key inputs'!$B$17:$B$41&amp;'Key inputs'!$C$17:$C$41&amp;'Key inputs'!$D$17:$D$41,0),MATCH($A$2&amp;I$4,'Key inputs'!$B$18:$N$18&amp;'Key inputs'!$B$19:$N$19,0))</f>
        <v>110.53</v>
      </c>
      <c r="J159" s="172">
        <f t="shared" ref="J159:J168" si="90">IF(AND(H159="",I159=""),"",H159+I159*$F159/1000)</f>
        <v>486.33199999999999</v>
      </c>
      <c r="K159" s="191"/>
      <c r="L159" s="199"/>
      <c r="M159" s="191">
        <f t="shared" ref="M159:M169" si="91">IF(OR(J159=0,Q159=""),"",Q159/J159-1)</f>
        <v>0.49380258753279693</v>
      </c>
      <c r="N159" s="197"/>
      <c r="O159" s="172"/>
      <c r="P159" s="172">
        <f t="array" ref="P159">INDEX('Key inputs'!$B$17:$N$41,MATCH($B159&amp;$C159&amp;$E159,'Key inputs'!$B$17:$B$41&amp;'Key inputs'!$C$17:$C$41&amp;'Key inputs'!$D$17:$D$41,0),MATCH($A$2&amp;P$4,'Key inputs'!$B$18:$N$18&amp;'Key inputs'!$B$19:$N$19,0))</f>
        <v>165.11</v>
      </c>
      <c r="Q159" s="172">
        <f t="shared" ref="Q159:Q167" si="92">IF(AND(O159="",P159=""),"",O159+P159*$F159/1000)</f>
        <v>726.48400000000015</v>
      </c>
      <c r="R159" s="191"/>
    </row>
    <row r="160" spans="2:19" outlineLevel="1" x14ac:dyDescent="0.25">
      <c r="B160" s="3" t="str">
        <f t="shared" ref="B160:B178" si="93">B159</f>
        <v>Energex</v>
      </c>
      <c r="C160" s="3" t="str">
        <f t="shared" si="88"/>
        <v>Residential</v>
      </c>
      <c r="D160" s="3" t="str">
        <f t="shared" si="89"/>
        <v>with CL</v>
      </c>
      <c r="E160" s="3" t="s">
        <v>16</v>
      </c>
      <c r="F160" s="175">
        <f t="array" ref="F160">IFERROR(INDEX(Usage!$B$5:$P$18,MATCH($B160,Usage!$B$5:$B$18,0),MATCH($C160&amp;$D160&amp;$E160,Usage!$B$5:$S$5&amp;Usage!$B$6:$S$6&amp;Usage!$B$7:$S$7,0)),0)</f>
        <v>551</v>
      </c>
      <c r="G160" s="3" t="s">
        <v>76</v>
      </c>
      <c r="H160" s="172"/>
      <c r="I160" s="172">
        <f t="array" ref="I160">IFERROR(INDEX('Detail inputs'!$B$3:$K$196,MATCH($B160&amp;$C160&amp;$E160&amp;$G160&amp;I$5,'Detail inputs'!$B$3:$B$196&amp;'Detail inputs'!$D$3:$D$196&amp;'Detail inputs'!$F$3:$F$196&amp;'Detail inputs'!$G$3:$G$196&amp;'Detail inputs'!$H$3:$H$196,0),MATCH(I$4,'Detail inputs'!$B$3:$K$3,0)),0)</f>
        <v>75.069999999999993</v>
      </c>
      <c r="J160" s="172">
        <f t="shared" si="90"/>
        <v>41.363570000000003</v>
      </c>
      <c r="K160" s="191">
        <f>IFERROR(J160/J167,"")</f>
        <v>0.86635891517599539</v>
      </c>
      <c r="L160" s="191"/>
      <c r="M160" s="191">
        <f t="shared" si="91"/>
        <v>0.29745570800586107</v>
      </c>
      <c r="N160" s="188"/>
      <c r="O160" s="172"/>
      <c r="P160" s="172">
        <f t="array" ref="P160">IFERROR(INDEX('Detail inputs'!$B$3:$K$196,MATCH($B160&amp;$C160&amp;$E160&amp;$G160&amp;P$5,'Detail inputs'!$B$3:$B$196&amp;'Detail inputs'!$D$3:$D$196&amp;'Detail inputs'!$F$3:$F$196&amp;'Detail inputs'!$G$3:$G$196&amp;'Detail inputs'!$H$3:$H$196,0),MATCH(P$4,'Detail inputs'!$B$3:$K$3,0)),0)</f>
        <v>97.4</v>
      </c>
      <c r="Q160" s="172">
        <f t="shared" si="92"/>
        <v>53.667400000000001</v>
      </c>
      <c r="R160" s="191">
        <f>IFERROR(Q160/Q167,"")</f>
        <v>0.88424875170222428</v>
      </c>
    </row>
    <row r="161" spans="2:18" outlineLevel="1" x14ac:dyDescent="0.25">
      <c r="B161" s="3" t="str">
        <f t="shared" si="93"/>
        <v>Energex</v>
      </c>
      <c r="C161" s="3" t="str">
        <f t="shared" si="88"/>
        <v>Residential</v>
      </c>
      <c r="D161" s="3" t="str">
        <f t="shared" si="89"/>
        <v>with CL</v>
      </c>
      <c r="E161" s="3" t="s">
        <v>16</v>
      </c>
      <c r="F161" s="175">
        <f t="array" ref="F161">IFERROR(INDEX(Usage!$B$5:$P$18,MATCH($B161,Usage!$B$5:$B$18,0),MATCH($C161&amp;$D161&amp;$E161,Usage!$B$5:$S$5&amp;Usage!$B$6:$S$6&amp;Usage!$B$7:$S$7,0)),0)</f>
        <v>551</v>
      </c>
      <c r="G161" s="3" t="s">
        <v>77</v>
      </c>
      <c r="H161" s="172"/>
      <c r="I161" s="172">
        <f t="array" ref="I161">IFERROR(INDEX('Detail inputs'!$B$3:$K$196,MATCH($B161&amp;$G161&amp;I$5,'Detail inputs'!$B$3:$B$196&amp;'Detail inputs'!$G$3:$G$196&amp;'Detail inputs'!$H$3:$H$196,0),MATCH(I$4,'Detail inputs'!$B$3:$K$3,0)),0)</f>
        <v>1.42</v>
      </c>
      <c r="J161" s="172">
        <f t="shared" si="90"/>
        <v>0.78242</v>
      </c>
      <c r="K161" s="191">
        <f>IFERROR(J161/J167,"")</f>
        <v>1.6387766878245814E-2</v>
      </c>
      <c r="L161" s="191"/>
      <c r="M161" s="191">
        <f t="shared" si="91"/>
        <v>-0.54225352112676051</v>
      </c>
      <c r="N161" s="188"/>
      <c r="O161" s="172"/>
      <c r="P161" s="172">
        <f t="array" ref="P161">IFERROR(INDEX('Detail inputs'!$B$3:$K$196,MATCH($B161&amp;$G161&amp;P$5,'Detail inputs'!$B$3:$B$196&amp;'Detail inputs'!$G$3:$G$196&amp;'Detail inputs'!$H$3:$H$196,0),MATCH(P$4,'Detail inputs'!$B$3:$K$3,0)),0)</f>
        <v>0.65</v>
      </c>
      <c r="Q161" s="172">
        <f t="shared" si="92"/>
        <v>0.35815000000000002</v>
      </c>
      <c r="R161" s="191">
        <f>IFERROR(Q161/Q167,"")</f>
        <v>5.9010440308670002E-3</v>
      </c>
    </row>
    <row r="162" spans="2:18" outlineLevel="1" x14ac:dyDescent="0.25">
      <c r="B162" s="3" t="str">
        <f t="shared" si="93"/>
        <v>Energex</v>
      </c>
      <c r="C162" s="3" t="str">
        <f t="shared" si="88"/>
        <v>Residential</v>
      </c>
      <c r="D162" s="3" t="str">
        <f t="shared" si="89"/>
        <v>with CL</v>
      </c>
      <c r="E162" s="3" t="s">
        <v>16</v>
      </c>
      <c r="F162" s="175">
        <f t="array" ref="F162">IFERROR(INDEX(Usage!$B$5:$P$18,MATCH($B162,Usage!$B$5:$B$18,0),MATCH($C162&amp;$D162&amp;$E162,Usage!$B$5:$S$5&amp;Usage!$B$6:$S$6&amp;Usage!$B$7:$S$7,0)),0)</f>
        <v>551</v>
      </c>
      <c r="G162" s="3" t="s">
        <v>85</v>
      </c>
      <c r="H162" s="172"/>
      <c r="I162" s="172">
        <f t="array" ref="I162">IFERROR(INDEX('Detail inputs'!$B$3:$K$196,MATCH($B162&amp;$G162&amp;I$5,'Detail inputs'!$B$3:$B$196&amp;'Detail inputs'!$G$3:$G$196&amp;'Detail inputs'!$H$3:$H$196,0),MATCH(I$4,'Detail inputs'!$B$3:$K$3,0)),0)</f>
        <v>1.1000000000000001</v>
      </c>
      <c r="J162" s="172">
        <f t="shared" si="90"/>
        <v>0.60609999999999997</v>
      </c>
      <c r="K162" s="191">
        <f>IFERROR(J162/J167,"")</f>
        <v>1.269474899019042E-2</v>
      </c>
      <c r="L162" s="191"/>
      <c r="M162" s="191">
        <f t="shared" si="91"/>
        <v>4.5454545454545414E-2</v>
      </c>
      <c r="N162" s="188"/>
      <c r="O162" s="172"/>
      <c r="P162" s="172">
        <f t="array" ref="P162">IFERROR(INDEX('Detail inputs'!$B$3:$K$196,MATCH($B162&amp;$G162&amp;P$5,'Detail inputs'!$B$3:$B$196&amp;'Detail inputs'!$G$3:$G$196&amp;'Detail inputs'!$H$3:$H$196,0),MATCH(P$4,'Detail inputs'!$B$3:$K$3,0)),0)</f>
        <v>1.1499999999999999</v>
      </c>
      <c r="Q162" s="172">
        <f t="shared" si="92"/>
        <v>0.63364999999999994</v>
      </c>
      <c r="R162" s="191">
        <f>IFERROR(Q162/Q167,"")</f>
        <v>1.0440308669995459E-2</v>
      </c>
    </row>
    <row r="163" spans="2:18" outlineLevel="1" x14ac:dyDescent="0.25">
      <c r="B163" s="3" t="str">
        <f t="shared" si="93"/>
        <v>Energex</v>
      </c>
      <c r="C163" s="3" t="str">
        <f t="shared" si="88"/>
        <v>Residential</v>
      </c>
      <c r="D163" s="3" t="str">
        <f t="shared" si="89"/>
        <v>with CL</v>
      </c>
      <c r="E163" s="3" t="s">
        <v>16</v>
      </c>
      <c r="F163" s="175">
        <f t="array" ref="F163">IFERROR(INDEX(Usage!$B$5:$P$18,MATCH($B163,Usage!$B$5:$B$18,0),MATCH($C163&amp;$D163&amp;$E163,Usage!$B$5:$S$5&amp;Usage!$B$6:$S$6&amp;Usage!$B$7:$S$7,0)),0)</f>
        <v>551</v>
      </c>
      <c r="G163" s="3" t="s">
        <v>78</v>
      </c>
      <c r="H163" s="172"/>
      <c r="I163" s="172">
        <f t="array" ref="I163">IFERROR(INDEX('Detail inputs'!$B$3:$K$196,MATCH($B163&amp;$G163&amp;I$5,'Detail inputs'!$B$3:$B$196&amp;'Detail inputs'!$G$3:$G$196&amp;'Detail inputs'!$H$3:$H$196,0),MATCH(I$4,'Detail inputs'!$B$3:$K$3,0)),0)</f>
        <v>1.01</v>
      </c>
      <c r="J163" s="172">
        <f t="shared" si="90"/>
        <v>0.55650999999999995</v>
      </c>
      <c r="K163" s="191">
        <f>IFERROR(J163/J167,"")</f>
        <v>1.1656087709174839E-2</v>
      </c>
      <c r="L163" s="191"/>
      <c r="M163" s="191">
        <f t="shared" si="91"/>
        <v>-0.96039603960396036</v>
      </c>
      <c r="N163" s="188"/>
      <c r="O163" s="172"/>
      <c r="P163" s="172">
        <f t="array" ref="P163">IFERROR(INDEX('Detail inputs'!$B$3:$K$196,MATCH($B163&amp;$G163&amp;P$5,'Detail inputs'!$B$3:$B$196&amp;'Detail inputs'!$G$3:$G$196&amp;'Detail inputs'!$H$3:$H$196,0),MATCH(P$4,'Detail inputs'!$B$3:$K$3,0)),0)</f>
        <v>0.04</v>
      </c>
      <c r="Q163" s="172">
        <f t="shared" si="92"/>
        <v>2.2040000000000001E-2</v>
      </c>
      <c r="R163" s="191">
        <f>IFERROR(Q163/Q167,"")</f>
        <v>3.6314117113027693E-4</v>
      </c>
    </row>
    <row r="164" spans="2:18" outlineLevel="1" x14ac:dyDescent="0.25">
      <c r="B164" s="3" t="str">
        <f t="shared" si="93"/>
        <v>Energex</v>
      </c>
      <c r="C164" s="3" t="str">
        <f t="shared" si="88"/>
        <v>Residential</v>
      </c>
      <c r="D164" s="3" t="str">
        <f t="shared" si="89"/>
        <v>with CL</v>
      </c>
      <c r="E164" s="3" t="s">
        <v>16</v>
      </c>
      <c r="F164" s="175">
        <f t="array" ref="F164">IFERROR(INDEX(Usage!$B$5:$P$18,MATCH($B164,Usage!$B$5:$B$18,0),MATCH($C164&amp;$D164&amp;$E164,Usage!$B$5:$S$5&amp;Usage!$B$6:$S$6&amp;Usage!$B$7:$S$7,0)),0)</f>
        <v>551</v>
      </c>
      <c r="G164" s="3" t="str">
        <f>+G139</f>
        <v>June 2022 Event Cost</v>
      </c>
      <c r="H164" s="172"/>
      <c r="I164" s="172">
        <f t="array" ref="I164">IFERROR(INDEX('Detail inputs'!$B$3:$K$196,MATCH($B164&amp;$G164&amp;I$5,'Detail inputs'!$B$3:$B$196&amp;'Detail inputs'!$G$3:$G$196&amp;'Detail inputs'!$H$3:$H$196,0),MATCH(I$4,'Detail inputs'!$B$3:$K$3,0)),0)</f>
        <v>0</v>
      </c>
      <c r="J164" s="172">
        <f t="shared" ref="J164" si="94">IF(AND(H164="",I164=""),"",H164+I164*$F164/1000)</f>
        <v>0</v>
      </c>
      <c r="K164" s="191">
        <f>IFERROR(J164/J168,"")</f>
        <v>0</v>
      </c>
      <c r="L164" s="191"/>
      <c r="M164" s="191" t="str">
        <f t="shared" ref="M164" si="95">IF(OR(J164=0,Q164=""),"",Q164/J164-1)</f>
        <v/>
      </c>
      <c r="N164" s="188"/>
      <c r="O164" s="172"/>
      <c r="P164" s="172">
        <f t="array" ref="P164">IFERROR(INDEX('Detail inputs'!$B$3:$K$196,MATCH($B164&amp;$G164&amp;P$5,'Detail inputs'!$B$3:$B$196&amp;'Detail inputs'!$G$3:$G$196&amp;'Detail inputs'!$H$3:$H$196,0),MATCH(P$4,'Detail inputs'!$B$3:$K$3,0)),0)</f>
        <v>0.89</v>
      </c>
      <c r="Q164" s="172">
        <f t="shared" ref="Q164" si="96">IF(AND(O164="",P164=""),"",O164+P164*$F164/1000)</f>
        <v>0.49038999999999999</v>
      </c>
      <c r="R164" s="191">
        <f>IFERROR(Q164/Q168,"")</f>
        <v>3.5283036665103695E-3</v>
      </c>
    </row>
    <row r="165" spans="2:18" outlineLevel="1" x14ac:dyDescent="0.25">
      <c r="B165" s="3" t="str">
        <f t="shared" si="93"/>
        <v>Energex</v>
      </c>
      <c r="C165" s="3" t="str">
        <f t="shared" si="88"/>
        <v>Residential</v>
      </c>
      <c r="D165" s="3" t="str">
        <f t="shared" si="89"/>
        <v>with CL</v>
      </c>
      <c r="E165" s="3" t="s">
        <v>16</v>
      </c>
      <c r="F165" s="175">
        <f t="array" ref="F165">IFERROR(INDEX(Usage!$B$5:$P$18,MATCH($B165,Usage!$B$5:$B$18,0),MATCH($C165&amp;$D165&amp;$E165,Usage!$B$5:$S$5&amp;Usage!$B$6:$S$6&amp;Usage!$B$7:$S$7,0)),0)</f>
        <v>551</v>
      </c>
      <c r="G165" s="3" t="s">
        <v>155</v>
      </c>
      <c r="H165" s="172"/>
      <c r="I165" s="172">
        <f t="array" ref="I165">IFERROR(INDEX('Detail inputs'!$B$3:$K$196,MATCH($B165&amp;$G165&amp;I$5,'Detail inputs'!$B$3:$B$196&amp;'Detail inputs'!$G$3:$G$196&amp;'Detail inputs'!$H$3:$H$196,0),MATCH(I$4,'Detail inputs'!$B$3:$K$3,0)),0)</f>
        <v>2.61</v>
      </c>
      <c r="J165" s="172">
        <f t="shared" si="90"/>
        <v>1.43811</v>
      </c>
      <c r="K165" s="191">
        <f>IFERROR(J165/J167,"")</f>
        <v>3.0121177149451814E-2</v>
      </c>
      <c r="L165" s="191"/>
      <c r="M165" s="191">
        <f t="shared" si="91"/>
        <v>0.11494252873563227</v>
      </c>
      <c r="N165" s="188"/>
      <c r="O165" s="172"/>
      <c r="P165" s="172">
        <f t="array" ref="P165">IFERROR(INDEX('Detail inputs'!$B$3:$K$196,MATCH($B165&amp;$G165&amp;P$5,'Detail inputs'!$B$3:$B$196&amp;'Detail inputs'!$G$3:$G$196&amp;'Detail inputs'!$H$3:$H$196,0),MATCH(P$4,'Detail inputs'!$B$3:$K$3,0)),0)</f>
        <v>2.91</v>
      </c>
      <c r="Q165" s="172">
        <f t="shared" si="92"/>
        <v>1.60341</v>
      </c>
      <c r="R165" s="191">
        <f>IFERROR(Q165/Q167,"")</f>
        <v>2.6418520199727645E-2</v>
      </c>
    </row>
    <row r="166" spans="2:18" outlineLevel="1" x14ac:dyDescent="0.25">
      <c r="B166" s="3" t="str">
        <f t="shared" si="93"/>
        <v>Energex</v>
      </c>
      <c r="C166" s="3" t="str">
        <f t="shared" si="88"/>
        <v>Residential</v>
      </c>
      <c r="D166" s="3" t="str">
        <f t="shared" si="89"/>
        <v>with CL</v>
      </c>
      <c r="E166" s="3" t="s">
        <v>16</v>
      </c>
      <c r="F166" s="175">
        <f t="array" ref="F166">IFERROR(INDEX(Usage!$B$5:$P$18,MATCH($B166,Usage!$B$5:$B$18,0),MATCH($C166&amp;$D166&amp;$E166,Usage!$B$5:$S$5&amp;Usage!$B$6:$S$6&amp;Usage!$B$7:$S$7,0)),0)</f>
        <v>551</v>
      </c>
      <c r="G166" s="3" t="s">
        <v>79</v>
      </c>
      <c r="H166" s="172"/>
      <c r="I166" s="172" cm="1">
        <f t="array" ref="I166">ROUND(IFERROR(INDEX('Detail inputs'!$B$3:$K$196,MATCH($B166&amp;$C166&amp;$E166&amp;$G166&amp;I$5,'Detail inputs'!$B$3:$B$196&amp;'Detail inputs'!$D$3:$D$196&amp;'Detail inputs'!$F$3:$F$196&amp;'Detail inputs'!$G$3:$G$196&amp;'Detail inputs'!$H$3:$H$196,0),MATCH(I$4,'Detail inputs'!$B$3:$K$3,0)),0)*SUM(I160:I165), 2)</f>
        <v>5.44</v>
      </c>
      <c r="J166" s="172">
        <f t="shared" si="90"/>
        <v>2.9974400000000001</v>
      </c>
      <c r="K166" s="191">
        <f>IFERROR(J166/J167,"")</f>
        <v>6.2781304096941715E-2</v>
      </c>
      <c r="L166" s="191"/>
      <c r="M166" s="191">
        <f t="shared" si="91"/>
        <v>0.30698529411764719</v>
      </c>
      <c r="N166" s="188"/>
      <c r="O166" s="172"/>
      <c r="P166" s="172" cm="1">
        <f t="array" ref="P166">ROUND(IFERROR(INDEX('Detail inputs'!$B$3:$K$196,MATCH($B166&amp;$C166&amp;$E166&amp;$G166&amp;P$5,'Detail inputs'!$B$3:$B$196&amp;'Detail inputs'!$D$3:$D$196&amp;'Detail inputs'!$F$3:$F$196&amp;'Detail inputs'!$G$3:$G$196&amp;'Detail inputs'!$H$3:$H$196,0),MATCH(P$4,'Detail inputs'!$B$3:$K$3,0)),0)*SUM(P160:P165), 2)</f>
        <v>7.11</v>
      </c>
      <c r="Q166" s="172">
        <f t="shared" si="92"/>
        <v>3.9176100000000003</v>
      </c>
      <c r="R166" s="191">
        <f>IFERROR(Q166/Q167,"")</f>
        <v>6.4548343168406727E-2</v>
      </c>
    </row>
    <row r="167" spans="2:18" outlineLevel="1" x14ac:dyDescent="0.25">
      <c r="B167" s="3" t="str">
        <f t="shared" si="93"/>
        <v>Energex</v>
      </c>
      <c r="C167" s="3" t="str">
        <f t="shared" si="88"/>
        <v>Residential</v>
      </c>
      <c r="D167" s="3" t="str">
        <f t="shared" si="89"/>
        <v>with CL</v>
      </c>
      <c r="E167" s="3" t="s">
        <v>16</v>
      </c>
      <c r="F167" s="175">
        <f t="array" ref="F167">IFERROR(INDEX(Usage!$B$5:$P$18,MATCH($B167,Usage!$B$5:$B$18,0),MATCH($C167&amp;$D167&amp;$E167,Usage!$B$5:$S$5&amp;Usage!$B$6:$S$6&amp;Usage!$B$7:$S$7,0)),0)</f>
        <v>551</v>
      </c>
      <c r="G167" s="3" t="s">
        <v>61</v>
      </c>
      <c r="H167" s="172"/>
      <c r="I167" s="172">
        <f t="array" ref="I167">INDEX('Key inputs'!$B$17:$N$41,MATCH($B167&amp;$C167&amp;$E167,'Key inputs'!$B$17:$B$41&amp;'Key inputs'!$C$17:$C$41&amp;'Key inputs'!$D$17:$D$41,0),MATCH($A$2&amp;I$4,'Key inputs'!$B$18:$N$18&amp;'Key inputs'!$B$19:$N$19,0))</f>
        <v>86.65</v>
      </c>
      <c r="J167" s="172">
        <f t="shared" si="90"/>
        <v>47.744150000000005</v>
      </c>
      <c r="K167" s="192"/>
      <c r="L167" s="199"/>
      <c r="M167" s="192">
        <f t="shared" si="91"/>
        <v>0.27120600115406801</v>
      </c>
      <c r="N167" s="197"/>
      <c r="O167" s="172"/>
      <c r="P167" s="172" cm="1">
        <f t="array" ref="P167">INDEX('Key inputs'!$B$17:$N$41,MATCH($B167&amp;$C167&amp;$E167,'Key inputs'!$B$17:$B$41&amp;'Key inputs'!$C$17:$C$41&amp;'Key inputs'!$D$17:$D$41,0),MATCH($A$2&amp;P$4,'Key inputs'!$B$18:$N$18&amp;'Key inputs'!$B$19:$N$19,0))</f>
        <v>110.15</v>
      </c>
      <c r="Q167" s="172">
        <f t="shared" si="92"/>
        <v>60.69265</v>
      </c>
      <c r="R167" s="192"/>
    </row>
    <row r="168" spans="2:18" outlineLevel="1" x14ac:dyDescent="0.25">
      <c r="B168" s="3" t="str">
        <f t="shared" si="93"/>
        <v>Energex</v>
      </c>
      <c r="C168" s="3" t="str">
        <f t="shared" si="88"/>
        <v>Residential</v>
      </c>
      <c r="D168" s="3" t="str">
        <f t="shared" si="89"/>
        <v>with CL</v>
      </c>
      <c r="E168" s="3" t="s">
        <v>17</v>
      </c>
      <c r="F168" s="175">
        <f t="array" ref="F168">IFERROR(INDEX(Usage!$B$5:$P$18,MATCH($B168,Usage!$B$5:$B$18,0),MATCH($C168&amp;$D168&amp;$E168,Usage!$B$5:$S$5&amp;Usage!$B$6:$S$6&amp;Usage!$B$7:$S$7,0)),0)</f>
        <v>1349</v>
      </c>
      <c r="G168" s="3" t="s">
        <v>76</v>
      </c>
      <c r="H168" s="172"/>
      <c r="I168" s="172">
        <f t="array" ref="I168">IFERROR(INDEX('Detail inputs'!$B$3:$K$196,MATCH($B168&amp;$C168&amp;$E168&amp;$G168&amp;I$5,'Detail inputs'!$B$3:$B$196&amp;'Detail inputs'!$D$3:$D$196&amp;'Detail inputs'!$F$3:$F$196&amp;'Detail inputs'!$G$3:$G$196&amp;'Detail inputs'!$H$3:$H$196,0),MATCH(I$4,'Detail inputs'!$B$3:$K$3,0)),0)</f>
        <v>81.459999999999994</v>
      </c>
      <c r="J168" s="172">
        <f t="shared" si="90"/>
        <v>109.88954</v>
      </c>
      <c r="K168" s="192">
        <f>IFERROR(J168/J175,"")</f>
        <v>0.87150957526479078</v>
      </c>
      <c r="L168" s="192"/>
      <c r="M168" s="192">
        <f t="shared" si="91"/>
        <v>0.26479253621409282</v>
      </c>
      <c r="N168" s="189"/>
      <c r="O168" s="172"/>
      <c r="P168" s="172">
        <f t="array" ref="P168">IFERROR(INDEX('Detail inputs'!$B$3:$K$196,MATCH($B168&amp;$C168&amp;$E168&amp;$G168&amp;P$5,'Detail inputs'!$B$3:$B$196&amp;'Detail inputs'!$D$3:$D$196&amp;'Detail inputs'!$F$3:$F$196&amp;'Detail inputs'!$G$3:$G$196&amp;'Detail inputs'!$H$3:$H$196,0),MATCH(P$4,'Detail inputs'!$B$3:$K$3,0)),0)</f>
        <v>103.03</v>
      </c>
      <c r="Q168" s="172">
        <f t="shared" ref="Q168:Q175" si="97">IF(AND(O168="",P168=""),"",O168+P168*$F168/1000)</f>
        <v>138.98747</v>
      </c>
      <c r="R168" s="192">
        <f>IFERROR(Q168/Q175,"")</f>
        <v>0.88688990272875956</v>
      </c>
    </row>
    <row r="169" spans="2:18" outlineLevel="1" x14ac:dyDescent="0.25">
      <c r="B169" s="3" t="str">
        <f t="shared" si="93"/>
        <v>Energex</v>
      </c>
      <c r="C169" s="3" t="str">
        <f t="shared" si="88"/>
        <v>Residential</v>
      </c>
      <c r="D169" s="3" t="str">
        <f t="shared" si="89"/>
        <v>with CL</v>
      </c>
      <c r="E169" s="3" t="s">
        <v>17</v>
      </c>
      <c r="F169" s="175">
        <f t="array" ref="F169">IFERROR(INDEX(Usage!$B$5:$P$18,MATCH($B169,Usage!$B$5:$B$18,0),MATCH($C169&amp;$D169&amp;$E169,Usage!$B$5:$S$5&amp;Usage!$B$6:$S$6&amp;Usage!$B$7:$S$7,0)),0)</f>
        <v>1349</v>
      </c>
      <c r="G169" s="3" t="s">
        <v>77</v>
      </c>
      <c r="H169" s="172"/>
      <c r="I169" s="172">
        <f t="array" ref="I169">IFERROR(INDEX('Detail inputs'!$B$3:$K$196,MATCH($B169&amp;$G169&amp;I$5,'Detail inputs'!$B$3:$B$196&amp;'Detail inputs'!$G$3:$G$196&amp;'Detail inputs'!$H$3:$H$196,0),MATCH(I$4,'Detail inputs'!$B$3:$K$3,0)),0)</f>
        <v>1.42</v>
      </c>
      <c r="J169" s="172">
        <f t="shared" ref="J169:J175" si="98">IF(AND(H169="",I169=""),"",H169+I169*$F169/1000)</f>
        <v>1.9155799999999998</v>
      </c>
      <c r="K169" s="192">
        <f>IFERROR(J169/J175,"")</f>
        <v>1.5192040226810739E-2</v>
      </c>
      <c r="L169" s="192"/>
      <c r="M169" s="192">
        <f t="shared" si="91"/>
        <v>-0.54225352112676051</v>
      </c>
      <c r="N169" s="189"/>
      <c r="O169" s="172"/>
      <c r="P169" s="172">
        <f t="array" ref="P169">IFERROR(INDEX('Detail inputs'!$B$3:$K$196,MATCH($B169&amp;$G169&amp;P$5,'Detail inputs'!$B$3:$B$196&amp;'Detail inputs'!$G$3:$G$196&amp;'Detail inputs'!$H$3:$H$196,0),MATCH(P$4,'Detail inputs'!$B$3:$K$3,0)),0)</f>
        <v>0.65</v>
      </c>
      <c r="Q169" s="172">
        <f t="shared" si="97"/>
        <v>0.87685000000000002</v>
      </c>
      <c r="R169" s="192">
        <f>IFERROR(Q169/Q175,"")</f>
        <v>5.5952483429456829E-3</v>
      </c>
    </row>
    <row r="170" spans="2:18" outlineLevel="1" x14ac:dyDescent="0.25">
      <c r="B170" s="3" t="str">
        <f t="shared" si="93"/>
        <v>Energex</v>
      </c>
      <c r="C170" s="3" t="str">
        <f t="shared" si="88"/>
        <v>Residential</v>
      </c>
      <c r="D170" s="3" t="str">
        <f t="shared" si="89"/>
        <v>with CL</v>
      </c>
      <c r="E170" s="3" t="s">
        <v>17</v>
      </c>
      <c r="F170" s="175">
        <f t="array" ref="F170">IFERROR(INDEX(Usage!$B$5:$P$18,MATCH($B170,Usage!$B$5:$B$18,0),MATCH($C170&amp;$D170&amp;$E170,Usage!$B$5:$S$5&amp;Usage!$B$6:$S$6&amp;Usage!$B$7:$S$7,0)),0)</f>
        <v>1349</v>
      </c>
      <c r="G170" s="3" t="s">
        <v>85</v>
      </c>
      <c r="H170" s="172"/>
      <c r="I170" s="172">
        <f t="array" ref="I170">IFERROR(INDEX('Detail inputs'!$B$3:$K$196,MATCH($B170&amp;$G170&amp;I$5,'Detail inputs'!$B$3:$B$196&amp;'Detail inputs'!$G$3:$G$196&amp;'Detail inputs'!$H$3:$H$196,0),MATCH(I$4,'Detail inputs'!$B$3:$K$3,0)),0)</f>
        <v>1.1000000000000001</v>
      </c>
      <c r="J170" s="172">
        <f t="shared" si="98"/>
        <v>1.4839</v>
      </c>
      <c r="K170" s="192">
        <f>IFERROR(J170/J175,"")</f>
        <v>1.1768481865839306E-2</v>
      </c>
      <c r="L170" s="192"/>
      <c r="M170" s="192">
        <f t="shared" ref="M170:M176" si="99">IF(OR(J170=0,Q170=""),"",Q170/J170-1)</f>
        <v>4.5454545454545414E-2</v>
      </c>
      <c r="N170" s="189"/>
      <c r="O170" s="172"/>
      <c r="P170" s="172">
        <f t="array" ref="P170">IFERROR(INDEX('Detail inputs'!$B$3:$K$196,MATCH($B170&amp;$G170&amp;P$5,'Detail inputs'!$B$3:$B$196&amp;'Detail inputs'!$G$3:$G$196&amp;'Detail inputs'!$H$3:$H$196,0),MATCH(P$4,'Detail inputs'!$B$3:$K$3,0)),0)</f>
        <v>1.1499999999999999</v>
      </c>
      <c r="Q170" s="172">
        <f t="shared" si="97"/>
        <v>1.55135</v>
      </c>
      <c r="R170" s="192">
        <f>IFERROR(Q170/Q175,"")</f>
        <v>9.8992855298269764E-3</v>
      </c>
    </row>
    <row r="171" spans="2:18" outlineLevel="1" x14ac:dyDescent="0.25">
      <c r="B171" s="3" t="str">
        <f t="shared" si="93"/>
        <v>Energex</v>
      </c>
      <c r="C171" s="3" t="str">
        <f t="shared" si="88"/>
        <v>Residential</v>
      </c>
      <c r="D171" s="3" t="str">
        <f t="shared" si="89"/>
        <v>with CL</v>
      </c>
      <c r="E171" s="3" t="s">
        <v>17</v>
      </c>
      <c r="F171" s="175">
        <f t="array" ref="F171">IFERROR(INDEX(Usage!$B$5:$P$18,MATCH($B171,Usage!$B$5:$B$18,0),MATCH($C171&amp;$D171&amp;$E171,Usage!$B$5:$S$5&amp;Usage!$B$6:$S$6&amp;Usage!$B$7:$S$7,0)),0)</f>
        <v>1349</v>
      </c>
      <c r="G171" s="3" t="s">
        <v>78</v>
      </c>
      <c r="H171" s="172"/>
      <c r="I171" s="172">
        <f t="array" ref="I171">IFERROR(INDEX('Detail inputs'!$B$3:$K$196,MATCH($B171&amp;$G171&amp;I$5,'Detail inputs'!$B$3:$B$196&amp;'Detail inputs'!$G$3:$G$196&amp;'Detail inputs'!$H$3:$H$196,0),MATCH(I$4,'Detail inputs'!$B$3:$K$3,0)),0)</f>
        <v>1.01</v>
      </c>
      <c r="J171" s="172">
        <f t="shared" si="98"/>
        <v>1.36249</v>
      </c>
      <c r="K171" s="192">
        <f>IFERROR(J171/J175,"")</f>
        <v>1.0805606076816091E-2</v>
      </c>
      <c r="L171" s="192"/>
      <c r="M171" s="192">
        <f t="shared" si="99"/>
        <v>-0.96039603960396036</v>
      </c>
      <c r="N171" s="189"/>
      <c r="O171" s="172"/>
      <c r="P171" s="172">
        <f t="array" ref="P171">IFERROR(INDEX('Detail inputs'!$B$3:$K$196,MATCH($B171&amp;$G171&amp;P$5,'Detail inputs'!$B$3:$B$196&amp;'Detail inputs'!$G$3:$G$196&amp;'Detail inputs'!$H$3:$H$196,0),MATCH(P$4,'Detail inputs'!$B$3:$K$3,0)),0)</f>
        <v>0.04</v>
      </c>
      <c r="Q171" s="172">
        <f t="shared" si="97"/>
        <v>5.3960000000000001E-2</v>
      </c>
      <c r="R171" s="192">
        <f>IFERROR(Q171/Q175,"")</f>
        <v>3.4432297495050356E-4</v>
      </c>
    </row>
    <row r="172" spans="2:18" outlineLevel="1" x14ac:dyDescent="0.25">
      <c r="B172" s="3" t="str">
        <f t="shared" si="93"/>
        <v>Energex</v>
      </c>
      <c r="C172" s="3" t="str">
        <f t="shared" si="88"/>
        <v>Residential</v>
      </c>
      <c r="D172" s="3" t="str">
        <f t="shared" si="89"/>
        <v>with CL</v>
      </c>
      <c r="E172" s="3" t="s">
        <v>17</v>
      </c>
      <c r="F172" s="175">
        <f t="array" ref="F172">IFERROR(INDEX(Usage!$B$5:$P$18,MATCH($B172,Usage!$B$5:$B$18,0),MATCH($C172&amp;$D172&amp;$E172,Usage!$B$5:$S$5&amp;Usage!$B$6:$S$6&amp;Usage!$B$7:$S$7,0)),0)</f>
        <v>1349</v>
      </c>
      <c r="G172" s="3" t="str">
        <f>+G164</f>
        <v>June 2022 Event Cost</v>
      </c>
      <c r="H172" s="172"/>
      <c r="I172" s="172">
        <f t="array" ref="I172">IFERROR(INDEX('Detail inputs'!$B$3:$K$196,MATCH($B172&amp;$G172&amp;I$5,'Detail inputs'!$B$3:$B$196&amp;'Detail inputs'!$G$3:$G$196&amp;'Detail inputs'!$H$3:$H$196,0),MATCH(I$4,'Detail inputs'!$B$3:$K$3,0)),0)</f>
        <v>0</v>
      </c>
      <c r="J172" s="172">
        <f t="shared" ref="J172" si="100">IF(AND(H172="",I172=""),"",H172+I172*$F172/1000)</f>
        <v>0</v>
      </c>
      <c r="K172" s="192">
        <f>IFERROR(J172/J176,"")</f>
        <v>0</v>
      </c>
      <c r="L172" s="192"/>
      <c r="M172" s="192" t="str">
        <f t="shared" ref="M172" si="101">IF(OR(J172=0,Q172=""),"",Q172/J172-1)</f>
        <v/>
      </c>
      <c r="N172" s="189"/>
      <c r="O172" s="172"/>
      <c r="P172" s="172">
        <f t="array" ref="P172">IFERROR(INDEX('Detail inputs'!$B$3:$K$196,MATCH($B172&amp;$G172&amp;P$5,'Detail inputs'!$B$3:$B$196&amp;'Detail inputs'!$G$3:$G$196&amp;'Detail inputs'!$H$3:$H$196,0),MATCH(P$4,'Detail inputs'!$B$3:$K$3,0)),0)</f>
        <v>0.89</v>
      </c>
      <c r="Q172" s="172">
        <f t="shared" ref="Q172" si="102">IF(AND(O172="",P172=""),"",O172+P172*$F172/1000)</f>
        <v>1.2006100000000002</v>
      </c>
      <c r="R172" s="192">
        <f>IFERROR(Q172/Q176,"")</f>
        <v>1.2719808721774967E-3</v>
      </c>
    </row>
    <row r="173" spans="2:18" outlineLevel="1" x14ac:dyDescent="0.25">
      <c r="B173" s="3" t="str">
        <f t="shared" si="93"/>
        <v>Energex</v>
      </c>
      <c r="C173" s="3" t="str">
        <f t="shared" si="88"/>
        <v>Residential</v>
      </c>
      <c r="D173" s="3" t="str">
        <f t="shared" si="89"/>
        <v>with CL</v>
      </c>
      <c r="E173" s="3" t="s">
        <v>17</v>
      </c>
      <c r="F173" s="175">
        <f t="array" ref="F173">IFERROR(INDEX(Usage!$B$5:$P$18,MATCH($B173,Usage!$B$5:$B$18,0),MATCH($C173&amp;$D173&amp;$E173,Usage!$B$5:$S$5&amp;Usage!$B$6:$S$6&amp;Usage!$B$7:$S$7,0)),0)</f>
        <v>1349</v>
      </c>
      <c r="G173" s="3" t="s">
        <v>155</v>
      </c>
      <c r="H173" s="172"/>
      <c r="I173" s="172">
        <f t="array" ref="I173">IFERROR(INDEX('Detail inputs'!$B$3:$K$196,MATCH($B173&amp;$G173&amp;I$5,'Detail inputs'!$B$3:$B$196&amp;'Detail inputs'!$G$3:$G$196&amp;'Detail inputs'!$H$3:$H$196,0),MATCH(I$4,'Detail inputs'!$B$3:$K$3,0)),0)</f>
        <v>2.61</v>
      </c>
      <c r="J173" s="172">
        <f t="shared" si="98"/>
        <v>3.5208900000000001</v>
      </c>
      <c r="K173" s="192">
        <f>IFERROR(J173/J175,"")</f>
        <v>2.7923397881673265E-2</v>
      </c>
      <c r="L173" s="192"/>
      <c r="M173" s="192">
        <f t="shared" si="99"/>
        <v>0.11494252873563227</v>
      </c>
      <c r="N173" s="189"/>
      <c r="O173" s="172"/>
      <c r="P173" s="172">
        <f t="array" ref="P173">IFERROR(INDEX('Detail inputs'!$B$3:$K$196,MATCH($B173&amp;$G173&amp;P$5,'Detail inputs'!$B$3:$B$196&amp;'Detail inputs'!$G$3:$G$196&amp;'Detail inputs'!$H$3:$H$196,0),MATCH(P$4,'Detail inputs'!$B$3:$K$3,0)),0)</f>
        <v>2.91</v>
      </c>
      <c r="Q173" s="172">
        <f t="shared" si="97"/>
        <v>3.9255900000000001</v>
      </c>
      <c r="R173" s="192">
        <f>IFERROR(Q173/Q175,"")</f>
        <v>2.5049496427649132E-2</v>
      </c>
    </row>
    <row r="174" spans="2:18" outlineLevel="1" x14ac:dyDescent="0.25">
      <c r="B174" s="3" t="str">
        <f t="shared" si="93"/>
        <v>Energex</v>
      </c>
      <c r="C174" s="3" t="str">
        <f t="shared" si="88"/>
        <v>Residential</v>
      </c>
      <c r="D174" s="3" t="str">
        <f t="shared" si="89"/>
        <v>with CL</v>
      </c>
      <c r="E174" s="3" t="s">
        <v>17</v>
      </c>
      <c r="F174" s="175">
        <f t="array" ref="F174">IFERROR(INDEX(Usage!$B$5:$P$18,MATCH($B174,Usage!$B$5:$B$18,0),MATCH($C174&amp;$D174&amp;$E174,Usage!$B$5:$S$5&amp;Usage!$B$6:$S$6&amp;Usage!$B$7:$S$7,0)),0)</f>
        <v>1349</v>
      </c>
      <c r="G174" s="3" t="s">
        <v>79</v>
      </c>
      <c r="H174" s="172"/>
      <c r="I174" s="172" cm="1">
        <f t="array" ref="I174">ROUND(IFERROR(INDEX('Detail inputs'!$B$3:$K$196,MATCH($B174&amp;$C174&amp;$E174&amp;$G174&amp;I$5,'Detail inputs'!$B$3:$B$196&amp;'Detail inputs'!$D$3:$D$196&amp;'Detail inputs'!$F$3:$F$196&amp;'Detail inputs'!$G$3:$G$196&amp;'Detail inputs'!$H$3:$H$196,0),MATCH(I$4,'Detail inputs'!$B$3:$K$3,0)),0)*SUM(I168:I173),2)</f>
        <v>5.87</v>
      </c>
      <c r="J174" s="172">
        <f t="shared" si="98"/>
        <v>7.9186300000000003</v>
      </c>
      <c r="K174" s="192">
        <f>IFERROR(J174/J175,"")</f>
        <v>6.2800898684069753E-2</v>
      </c>
      <c r="L174" s="192"/>
      <c r="M174" s="192">
        <f t="shared" si="99"/>
        <v>0.27768313458262339</v>
      </c>
      <c r="N174" s="189"/>
      <c r="O174" s="172"/>
      <c r="P174" s="172" cm="1">
        <f t="array" ref="P174">ROUND(IFERROR(INDEX('Detail inputs'!$B$3:$K$196,MATCH($B174&amp;$C174&amp;$E174&amp;$G174&amp;P$5,'Detail inputs'!$B$3:$B$196&amp;'Detail inputs'!$D$3:$D$196&amp;'Detail inputs'!$F$3:$F$196&amp;'Detail inputs'!$G$3:$G$196&amp;'Detail inputs'!$H$3:$H$196,0),MATCH(P$4,'Detail inputs'!$B$3:$K$3,0)),0)*SUM(P168:P173), 2)</f>
        <v>7.5</v>
      </c>
      <c r="Q174" s="172">
        <f t="shared" si="97"/>
        <v>10.1175</v>
      </c>
      <c r="R174" s="192">
        <f>IFERROR(Q174/Q175,"")</f>
        <v>6.4560557803219412E-2</v>
      </c>
    </row>
    <row r="175" spans="2:18" outlineLevel="1" x14ac:dyDescent="0.25">
      <c r="B175" s="3" t="str">
        <f t="shared" si="93"/>
        <v>Energex</v>
      </c>
      <c r="C175" s="3" t="str">
        <f t="shared" si="88"/>
        <v>Residential</v>
      </c>
      <c r="D175" s="3" t="str">
        <f t="shared" si="89"/>
        <v>with CL</v>
      </c>
      <c r="E175" s="3" t="s">
        <v>17</v>
      </c>
      <c r="F175" s="175">
        <f t="array" ref="F175">IFERROR(INDEX(Usage!$B$5:$P$18,MATCH($B175,Usage!$B$5:$B$18,0),MATCH($C175&amp;$D175&amp;$E175,Usage!$B$5:$S$5&amp;Usage!$B$6:$S$6&amp;Usage!$B$7:$S$7,0)),0)</f>
        <v>1349</v>
      </c>
      <c r="G175" s="3" t="s">
        <v>61</v>
      </c>
      <c r="H175" s="172"/>
      <c r="I175" s="172">
        <f t="array" ref="I175">INDEX('Key inputs'!$B$17:$N$41,MATCH($B175&amp;$C175&amp;$E175,'Key inputs'!$B$17:$B$41&amp;'Key inputs'!$C$17:$C$41&amp;'Key inputs'!$D$17:$D$41,0),MATCH($A$2&amp;I$4,'Key inputs'!$B$18:$N$18&amp;'Key inputs'!$B$19:$N$19,0))</f>
        <v>93.47</v>
      </c>
      <c r="J175" s="172">
        <f t="shared" si="98"/>
        <v>126.09103</v>
      </c>
      <c r="K175" s="192"/>
      <c r="L175" s="199"/>
      <c r="M175" s="192">
        <f t="shared" si="99"/>
        <v>0.24285867123141114</v>
      </c>
      <c r="N175" s="197"/>
      <c r="O175" s="172"/>
      <c r="P175" s="172" cm="1">
        <f t="array" ref="P175">INDEX('Key inputs'!$B$17:$N$41,MATCH($B175&amp;$C175&amp;$E175,'Key inputs'!$B$17:$B$41&amp;'Key inputs'!$C$17:$C$41&amp;'Key inputs'!$D$17:$D$41,0),MATCH($A$2&amp;P$4,'Key inputs'!$B$18:$N$18&amp;'Key inputs'!$B$19:$N$19,0))</f>
        <v>116.17</v>
      </c>
      <c r="Q175" s="172">
        <f t="shared" si="97"/>
        <v>156.71333000000001</v>
      </c>
      <c r="R175" s="192"/>
    </row>
    <row r="176" spans="2:18" x14ac:dyDescent="0.25">
      <c r="B176" s="3" t="str">
        <f t="shared" si="93"/>
        <v>Energex</v>
      </c>
      <c r="C176" s="3" t="str">
        <f t="shared" si="88"/>
        <v>Residential</v>
      </c>
      <c r="D176" s="3" t="str">
        <f t="shared" si="89"/>
        <v>with CL</v>
      </c>
      <c r="E176" s="3" t="s">
        <v>61</v>
      </c>
      <c r="F176" s="175">
        <f t="array" ref="F176">IFERROR(INDEX(Usage!$B$5:$P$18,MATCH($B176,Usage!$B$5:$B$18,0),MATCH($C176&amp;$D176&amp;$E176,Usage!$B$5:$S$5&amp;Usage!$B$6:$S$6&amp;Usage!$B$7:$S$7,0)),0)</f>
        <v>6300</v>
      </c>
      <c r="G176" s="3" t="s">
        <v>61</v>
      </c>
      <c r="H176" s="172"/>
      <c r="I176" s="172">
        <f>I159+I167+I175</f>
        <v>290.64999999999998</v>
      </c>
      <c r="J176" s="172">
        <f>J159+J167+J175</f>
        <v>660.16718000000003</v>
      </c>
      <c r="K176" s="192"/>
      <c r="L176" s="199"/>
      <c r="M176" s="192">
        <f t="shared" si="99"/>
        <v>0.42977416720413175</v>
      </c>
      <c r="N176" s="197"/>
      <c r="O176" s="172"/>
      <c r="P176" s="172">
        <f>P159+P167+P175</f>
        <v>391.43</v>
      </c>
      <c r="Q176" s="172">
        <f>Q159+Q167+Q175</f>
        <v>943.88998000000015</v>
      </c>
      <c r="R176" s="192"/>
    </row>
    <row r="177" spans="2:19" outlineLevel="1" x14ac:dyDescent="0.25">
      <c r="B177" s="3" t="str">
        <f t="shared" si="93"/>
        <v>Energex</v>
      </c>
      <c r="C177" s="3" t="str">
        <f t="shared" si="88"/>
        <v>Residential</v>
      </c>
      <c r="D177" s="3" t="str">
        <f t="shared" si="89"/>
        <v>with CL</v>
      </c>
      <c r="F177" s="175"/>
      <c r="G177" s="3" t="s">
        <v>41</v>
      </c>
      <c r="H177" s="172"/>
      <c r="I177" s="172"/>
      <c r="J177" s="172">
        <f>J176*GST</f>
        <v>66.016718000000012</v>
      </c>
      <c r="K177" s="192"/>
      <c r="L177" s="199"/>
      <c r="M177" s="192"/>
      <c r="N177" s="197"/>
      <c r="O177" s="172"/>
      <c r="P177" s="172"/>
      <c r="Q177" s="172">
        <f>Q176*GST</f>
        <v>94.388998000000015</v>
      </c>
      <c r="R177" s="193"/>
    </row>
    <row r="178" spans="2:19" x14ac:dyDescent="0.25">
      <c r="B178" s="3" t="str">
        <f t="shared" si="93"/>
        <v>Energex</v>
      </c>
      <c r="C178" s="3" t="str">
        <f t="shared" si="88"/>
        <v>Residential</v>
      </c>
      <c r="D178" s="3" t="str">
        <f t="shared" si="89"/>
        <v>with CL</v>
      </c>
      <c r="F178" s="175"/>
      <c r="G178" s="5" t="s">
        <v>87</v>
      </c>
      <c r="H178" s="174"/>
      <c r="I178" s="174"/>
      <c r="J178" s="174">
        <f>SUM(J176:J177)</f>
        <v>726.183898</v>
      </c>
      <c r="K178" s="193"/>
      <c r="L178" s="200"/>
      <c r="M178" s="193">
        <f>IF(OR(J178=0,Q178=""),"",Q178/J178-1)</f>
        <v>0.42977416720413197</v>
      </c>
      <c r="N178" s="198"/>
      <c r="O178" s="174"/>
      <c r="P178" s="174"/>
      <c r="Q178" s="174">
        <f>SUM(Q176:Q177)</f>
        <v>1038.2789780000003</v>
      </c>
      <c r="R178" s="193"/>
    </row>
    <row r="179" spans="2:19" x14ac:dyDescent="0.25">
      <c r="F179" s="175"/>
      <c r="H179" s="172"/>
      <c r="I179" s="172"/>
      <c r="J179" s="172"/>
      <c r="K179" s="191"/>
      <c r="L179" s="199"/>
      <c r="M179" s="191"/>
      <c r="N179" s="197"/>
      <c r="O179" s="172"/>
      <c r="P179" s="172"/>
      <c r="Q179" s="172"/>
      <c r="R179" s="191"/>
    </row>
    <row r="180" spans="2:19" x14ac:dyDescent="0.25">
      <c r="B180" s="5" t="s">
        <v>0</v>
      </c>
      <c r="C180" s="5" t="s">
        <v>15</v>
      </c>
      <c r="D180" s="5" t="s">
        <v>146</v>
      </c>
      <c r="F180" s="175"/>
      <c r="H180" s="172"/>
      <c r="I180" s="172"/>
      <c r="J180" s="172"/>
      <c r="K180" s="191"/>
      <c r="L180" s="199"/>
      <c r="M180" s="191"/>
      <c r="N180" s="197"/>
      <c r="O180" s="172"/>
      <c r="P180" s="172"/>
      <c r="Q180" s="172"/>
      <c r="R180" s="191"/>
    </row>
    <row r="181" spans="2:19" outlineLevel="1" x14ac:dyDescent="0.25">
      <c r="B181" s="3" t="str">
        <f>B180</f>
        <v>Energex</v>
      </c>
      <c r="C181" s="3" t="str">
        <f t="shared" ref="C181:C190" si="103">C180</f>
        <v>Small business</v>
      </c>
      <c r="D181" s="3" t="str">
        <f t="shared" ref="D181:D190" si="104">D180</f>
        <v>without CL</v>
      </c>
      <c r="E181" s="3" t="s">
        <v>22</v>
      </c>
      <c r="F181" s="175">
        <f t="array" ref="F181">IFERROR(INDEX(Usage!$B$5:$P$18,MATCH($B181,Usage!$B$5:$B$18,0),MATCH($C181&amp;$D181&amp;$E181,Usage!$B$5:$S$5&amp;Usage!$B$6:$S$6&amp;Usage!$B$7:$S$7,0)),0)</f>
        <v>10000</v>
      </c>
      <c r="G181" s="3" t="s">
        <v>76</v>
      </c>
      <c r="H181" s="172"/>
      <c r="I181" s="172">
        <f t="array" ref="I181">IFERROR(INDEX('Detail inputs'!$B$3:$K$196,MATCH($B181&amp;$C181&amp;$E181&amp;$G181&amp;I$5,'Detail inputs'!$B$3:$B$196&amp;'Detail inputs'!$D$3:$D$196&amp;'Detail inputs'!$F$3:$F$196&amp;'Detail inputs'!$G$3:$G$196&amp;'Detail inputs'!$H$3:$H$196,0),MATCH(I$4,'Detail inputs'!$B$3:$K$3,0)),0)</f>
        <v>97.45</v>
      </c>
      <c r="J181" s="172">
        <f>IF(AND(H181="",I181=""),"",H181+I181*$F181/1000)</f>
        <v>974.5</v>
      </c>
      <c r="K181" s="191">
        <f>IFERROR(J181/J188,"")</f>
        <v>0.88166108748756</v>
      </c>
      <c r="L181" s="191"/>
      <c r="M181" s="191">
        <f t="shared" ref="M181:M188" si="105">IF(OR(J181=0,Q181=""),"",Q181/J181-1)</f>
        <v>0.52703950743971251</v>
      </c>
      <c r="N181" s="188"/>
      <c r="O181" s="172"/>
      <c r="P181" s="172">
        <f t="array" ref="P181">IFERROR(INDEX('Detail inputs'!$B$3:$K$196,MATCH($B181&amp;$C181&amp;$E181&amp;$G181&amp;P$5,'Detail inputs'!$B$3:$B$196&amp;'Detail inputs'!$D$3:$D$196&amp;'Detail inputs'!$F$3:$F$196&amp;'Detail inputs'!$G$3:$G$196&amp;'Detail inputs'!$H$3:$H$196,0),MATCH(P$4,'Detail inputs'!$B$3:$K$3,0)),0)</f>
        <v>148.81</v>
      </c>
      <c r="Q181" s="172">
        <f>IF(AND(O181="",P181=""),"",O181+P181*$F181/1000)</f>
        <v>1488.1</v>
      </c>
      <c r="R181" s="191">
        <f>IFERROR(Q181/Q188,"")</f>
        <v>0.90127793592150673</v>
      </c>
    </row>
    <row r="182" spans="2:19" outlineLevel="1" x14ac:dyDescent="0.25">
      <c r="B182" s="3" t="str">
        <f t="shared" ref="B182:B190" si="106">B181</f>
        <v>Energex</v>
      </c>
      <c r="C182" s="3" t="str">
        <f t="shared" si="103"/>
        <v>Small business</v>
      </c>
      <c r="D182" s="3" t="str">
        <f t="shared" si="104"/>
        <v>without CL</v>
      </c>
      <c r="E182" s="3" t="s">
        <v>22</v>
      </c>
      <c r="F182" s="175">
        <f t="array" ref="F182">IFERROR(INDEX(Usage!$B$5:$P$18,MATCH($B182,Usage!$B$5:$B$18,0),MATCH($C182&amp;$D182&amp;$E182,Usage!$B$5:$S$5&amp;Usage!$B$6:$S$6&amp;Usage!$B$7:$S$7,0)),0)</f>
        <v>10000</v>
      </c>
      <c r="G182" s="3" t="s">
        <v>77</v>
      </c>
      <c r="H182" s="172"/>
      <c r="I182" s="172">
        <f t="array" ref="I182">IFERROR(INDEX('Detail inputs'!$B$3:$K$196,MATCH($B182&amp;$G182&amp;I$5,'Detail inputs'!$B$3:$B$196&amp;'Detail inputs'!$G$3:$G$196&amp;'Detail inputs'!$H$3:$H$196,0),MATCH(I$4,'Detail inputs'!$B$3:$K$3,0)),0)</f>
        <v>1.42</v>
      </c>
      <c r="J182" s="172">
        <f t="shared" ref="J182:J188" si="107">IF(AND(H182="",I182=""),"",H182+I182*$F182/1000)</f>
        <v>14.2</v>
      </c>
      <c r="K182" s="191">
        <f>IFERROR(J182/J188,"")</f>
        <v>1.284719080792545E-2</v>
      </c>
      <c r="L182" s="191"/>
      <c r="M182" s="191">
        <f t="shared" si="105"/>
        <v>-0.54225352112676051</v>
      </c>
      <c r="N182" s="188"/>
      <c r="O182" s="172"/>
      <c r="P182" s="172">
        <f t="array" ref="P182">IFERROR(INDEX('Detail inputs'!$B$3:$K$196,MATCH($B182&amp;$G182&amp;P$5,'Detail inputs'!$B$3:$B$196&amp;'Detail inputs'!$G$3:$G$196&amp;'Detail inputs'!$H$3:$H$196,0),MATCH(P$4,'Detail inputs'!$B$3:$K$3,0)),0)</f>
        <v>0.65</v>
      </c>
      <c r="Q182" s="172">
        <f t="shared" ref="Q182:Q188" si="108">IF(AND(O182="",P182=""),"",O182+P182*$F182/1000)</f>
        <v>6.5</v>
      </c>
      <c r="R182" s="191">
        <f>IFERROR(Q182/Q188,"")</f>
        <v>3.936769426442977E-3</v>
      </c>
    </row>
    <row r="183" spans="2:19" outlineLevel="1" x14ac:dyDescent="0.25">
      <c r="B183" s="3" t="str">
        <f t="shared" si="106"/>
        <v>Energex</v>
      </c>
      <c r="C183" s="3" t="str">
        <f t="shared" si="103"/>
        <v>Small business</v>
      </c>
      <c r="D183" s="3" t="str">
        <f t="shared" si="104"/>
        <v>without CL</v>
      </c>
      <c r="E183" s="3" t="s">
        <v>22</v>
      </c>
      <c r="F183" s="175">
        <f t="array" ref="F183">IFERROR(INDEX(Usage!$B$5:$P$18,MATCH($B183,Usage!$B$5:$B$18,0),MATCH($C183&amp;$D183&amp;$E183,Usage!$B$5:$S$5&amp;Usage!$B$6:$S$6&amp;Usage!$B$7:$S$7,0)),0)</f>
        <v>10000</v>
      </c>
      <c r="G183" s="3" t="s">
        <v>85</v>
      </c>
      <c r="H183" s="172"/>
      <c r="I183" s="172">
        <f t="array" ref="I183">IFERROR(INDEX('Detail inputs'!$B$3:$K$196,MATCH($B183&amp;$G183&amp;I$5,'Detail inputs'!$B$3:$B$196&amp;'Detail inputs'!$G$3:$G$196&amp;'Detail inputs'!$H$3:$H$196,0),MATCH(I$4,'Detail inputs'!$B$3:$K$3,0)),0)</f>
        <v>1.1000000000000001</v>
      </c>
      <c r="J183" s="172">
        <f t="shared" si="107"/>
        <v>11</v>
      </c>
      <c r="K183" s="191">
        <f>IFERROR(J183/J188,"")</f>
        <v>9.9520492174070396E-3</v>
      </c>
      <c r="L183" s="191"/>
      <c r="M183" s="191">
        <f t="shared" si="105"/>
        <v>4.5454545454545414E-2</v>
      </c>
      <c r="N183" s="188"/>
      <c r="O183" s="172"/>
      <c r="P183" s="172">
        <f t="array" ref="P183">IFERROR(INDEX('Detail inputs'!$B$3:$K$196,MATCH($B183&amp;$G183&amp;P$5,'Detail inputs'!$B$3:$B$196&amp;'Detail inputs'!$G$3:$G$196&amp;'Detail inputs'!$H$3:$H$196,0),MATCH(P$4,'Detail inputs'!$B$3:$K$3,0)),0)</f>
        <v>1.1499999999999999</v>
      </c>
      <c r="Q183" s="172">
        <f t="shared" si="108"/>
        <v>11.5</v>
      </c>
      <c r="R183" s="191">
        <f>IFERROR(Q183/Q188,"")</f>
        <v>6.9650536006298823E-3</v>
      </c>
    </row>
    <row r="184" spans="2:19" outlineLevel="1" x14ac:dyDescent="0.25">
      <c r="B184" s="3" t="str">
        <f t="shared" si="106"/>
        <v>Energex</v>
      </c>
      <c r="C184" s="3" t="str">
        <f t="shared" si="103"/>
        <v>Small business</v>
      </c>
      <c r="D184" s="3" t="str">
        <f t="shared" si="104"/>
        <v>without CL</v>
      </c>
      <c r="E184" s="3" t="s">
        <v>22</v>
      </c>
      <c r="F184" s="175">
        <f t="array" ref="F184">IFERROR(INDEX(Usage!$B$5:$P$18,MATCH($B184,Usage!$B$5:$B$18,0),MATCH($C184&amp;$D184&amp;$E184,Usage!$B$5:$S$5&amp;Usage!$B$6:$S$6&amp;Usage!$B$7:$S$7,0)),0)</f>
        <v>10000</v>
      </c>
      <c r="G184" s="3" t="s">
        <v>78</v>
      </c>
      <c r="H184" s="172"/>
      <c r="I184" s="172">
        <f t="array" ref="I184">IFERROR(INDEX('Detail inputs'!$B$3:$K$196,MATCH($B184&amp;$G184&amp;I$5,'Detail inputs'!$B$3:$B$196&amp;'Detail inputs'!$G$3:$G$196&amp;'Detail inputs'!$H$3:$H$196,0),MATCH(I$4,'Detail inputs'!$B$3:$K$3,0)),0)</f>
        <v>1.01</v>
      </c>
      <c r="J184" s="172">
        <f t="shared" si="107"/>
        <v>10.1</v>
      </c>
      <c r="K184" s="191">
        <f>IFERROR(J184/J188,"")</f>
        <v>9.1377906450737355E-3</v>
      </c>
      <c r="L184" s="191"/>
      <c r="M184" s="191">
        <f t="shared" si="105"/>
        <v>-0.96039603960396036</v>
      </c>
      <c r="N184" s="188"/>
      <c r="O184" s="172"/>
      <c r="P184" s="172">
        <f t="array" ref="P184">IFERROR(INDEX('Detail inputs'!$B$3:$K$196,MATCH($B184&amp;$G184&amp;P$5,'Detail inputs'!$B$3:$B$196&amp;'Detail inputs'!$G$3:$G$196&amp;'Detail inputs'!$H$3:$H$196,0),MATCH(P$4,'Detail inputs'!$B$3:$K$3,0)),0)</f>
        <v>0.04</v>
      </c>
      <c r="Q184" s="172">
        <f t="shared" si="108"/>
        <v>0.4</v>
      </c>
      <c r="R184" s="191">
        <f>IFERROR(Q184/Q188,"")</f>
        <v>2.4226273393495245E-4</v>
      </c>
    </row>
    <row r="185" spans="2:19" outlineLevel="1" x14ac:dyDescent="0.25">
      <c r="B185" s="3" t="str">
        <f t="shared" si="106"/>
        <v>Energex</v>
      </c>
      <c r="C185" s="3" t="str">
        <f t="shared" si="103"/>
        <v>Small business</v>
      </c>
      <c r="D185" s="3" t="str">
        <f t="shared" si="104"/>
        <v>without CL</v>
      </c>
      <c r="E185" s="3" t="s">
        <v>22</v>
      </c>
      <c r="F185" s="175">
        <f t="array" ref="F185">IFERROR(INDEX(Usage!$B$5:$P$18,MATCH($B185,Usage!$B$5:$B$18,0),MATCH($C185&amp;$D185&amp;$E185,Usage!$B$5:$S$5&amp;Usage!$B$6:$S$6&amp;Usage!$B$7:$S$7,0)),0)</f>
        <v>10000</v>
      </c>
      <c r="G185" s="3" t="str">
        <f>+G172</f>
        <v>June 2022 Event Cost</v>
      </c>
      <c r="H185" s="172"/>
      <c r="I185" s="172">
        <f t="array" ref="I185">IFERROR(INDEX('Detail inputs'!$B$3:$K$196,MATCH($B185&amp;$G185&amp;I$5,'Detail inputs'!$B$3:$B$196&amp;'Detail inputs'!$G$3:$G$196&amp;'Detail inputs'!$H$3:$H$196,0),MATCH(I$4,'Detail inputs'!$B$3:$K$3,0)),0)</f>
        <v>0</v>
      </c>
      <c r="J185" s="172">
        <f t="shared" ref="J185" si="109">IF(AND(H185="",I185=""),"",H185+I185*$F185/1000)</f>
        <v>0</v>
      </c>
      <c r="K185" s="191">
        <f>IFERROR(J185/J189,"")</f>
        <v>0</v>
      </c>
      <c r="L185" s="191"/>
      <c r="M185" s="191" t="str">
        <f t="shared" ref="M185" si="110">IF(OR(J185=0,Q185=""),"",Q185/J185-1)</f>
        <v/>
      </c>
      <c r="N185" s="188"/>
      <c r="O185" s="172"/>
      <c r="P185" s="172">
        <f t="array" ref="P185">IFERROR(INDEX('Detail inputs'!$B$3:$K$196,MATCH($B185&amp;$G185&amp;P$5,'Detail inputs'!$B$3:$B$196&amp;'Detail inputs'!$G$3:$G$196&amp;'Detail inputs'!$H$3:$H$196,0),MATCH(P$4,'Detail inputs'!$B$3:$K$3,0)),0)</f>
        <v>0.89</v>
      </c>
      <c r="Q185" s="172">
        <f t="shared" ref="Q185" si="111">IF(AND(O185="",P185=""),"",O185+P185*$F185/1000)</f>
        <v>8.9</v>
      </c>
      <c r="R185" s="191">
        <f>IFERROR(Q185/Q189,"")</f>
        <v>5.3903458300526917E-2</v>
      </c>
    </row>
    <row r="186" spans="2:19" outlineLevel="1" x14ac:dyDescent="0.25">
      <c r="B186" s="3" t="str">
        <f>B184</f>
        <v>Energex</v>
      </c>
      <c r="C186" s="3" t="str">
        <f>C184</f>
        <v>Small business</v>
      </c>
      <c r="D186" s="3" t="str">
        <f>D184</f>
        <v>without CL</v>
      </c>
      <c r="E186" s="3" t="s">
        <v>22</v>
      </c>
      <c r="F186" s="175">
        <f t="array" ref="F186">IFERROR(INDEX(Usage!$B$5:$P$18,MATCH($B186,Usage!$B$5:$B$18,0),MATCH($C186&amp;$D186&amp;$E186,Usage!$B$5:$S$5&amp;Usage!$B$6:$S$6&amp;Usage!$B$7:$S$7,0)),0)</f>
        <v>10000</v>
      </c>
      <c r="G186" s="3" t="s">
        <v>155</v>
      </c>
      <c r="H186" s="172"/>
      <c r="I186" s="172">
        <f t="array" ref="I186">IFERROR(INDEX('Detail inputs'!$B$3:$K$196,MATCH($B186&amp;$G186&amp;I$5,'Detail inputs'!$B$3:$B$196&amp;'Detail inputs'!$G$3:$G$196&amp;'Detail inputs'!$H$3:$H$196,0),MATCH(I$4,'Detail inputs'!$B$3:$K$3,0)),0)</f>
        <v>2.61</v>
      </c>
      <c r="J186" s="172">
        <f t="shared" si="107"/>
        <v>26.1</v>
      </c>
      <c r="K186" s="191">
        <f>IFERROR(J186/J188,"")</f>
        <v>2.3613498597665795E-2</v>
      </c>
      <c r="L186" s="191"/>
      <c r="M186" s="191">
        <f t="shared" si="105"/>
        <v>0.11494252873563227</v>
      </c>
      <c r="N186" s="188"/>
      <c r="O186" s="172"/>
      <c r="P186" s="172">
        <f t="array" ref="P186">IFERROR(INDEX('Detail inputs'!$B$3:$K$196,MATCH($B186&amp;$G186&amp;P$5,'Detail inputs'!$B$3:$B$196&amp;'Detail inputs'!$G$3:$G$196&amp;'Detail inputs'!$H$3:$H$196,0),MATCH(P$4,'Detail inputs'!$B$3:$K$3,0)),0)</f>
        <v>2.91</v>
      </c>
      <c r="Q186" s="172">
        <f t="shared" si="108"/>
        <v>29.1</v>
      </c>
      <c r="R186" s="191">
        <f>IFERROR(Q186/Q188,"")</f>
        <v>1.762461389376779E-2</v>
      </c>
    </row>
    <row r="187" spans="2:19" outlineLevel="1" x14ac:dyDescent="0.25">
      <c r="B187" s="3" t="str">
        <f t="shared" si="106"/>
        <v>Energex</v>
      </c>
      <c r="C187" s="3" t="str">
        <f t="shared" si="103"/>
        <v>Small business</v>
      </c>
      <c r="D187" s="3" t="str">
        <f t="shared" si="104"/>
        <v>without CL</v>
      </c>
      <c r="E187" s="3" t="s">
        <v>22</v>
      </c>
      <c r="F187" s="175">
        <f t="array" ref="F187">IFERROR(INDEX(Usage!$B$5:$P$18,MATCH($B187,Usage!$B$5:$B$18,0),MATCH($C187&amp;$D187&amp;$E187,Usage!$B$5:$S$5&amp;Usage!$B$6:$S$6&amp;Usage!$B$7:$S$7,0)),0)</f>
        <v>10000</v>
      </c>
      <c r="G187" s="3" t="s">
        <v>79</v>
      </c>
      <c r="H187" s="172"/>
      <c r="I187" s="172" cm="1">
        <f t="array" ref="I187">ROUND(IFERROR(INDEX('Detail inputs'!$B$3:$K$196,MATCH($B187&amp;$C187&amp;$E187&amp;$G187&amp;I$5,'Detail inputs'!$B$3:$B$196&amp;'Detail inputs'!$D$3:$D$196&amp;'Detail inputs'!$F$3:$F$196&amp;'Detail inputs'!$G$3:$G$196&amp;'Detail inputs'!$H$3:$H$196,0),MATCH(I$4,'Detail inputs'!$B$3:$K$3,0)),0)*SUM(I181:I186), 2)</f>
        <v>6.94</v>
      </c>
      <c r="J187" s="172">
        <f t="shared" si="107"/>
        <v>69.400000000000006</v>
      </c>
      <c r="K187" s="191">
        <f>IFERROR(J187/J188,"")</f>
        <v>6.2788383244368057E-2</v>
      </c>
      <c r="L187" s="191"/>
      <c r="M187" s="191">
        <f t="shared" si="105"/>
        <v>0.53602305475504308</v>
      </c>
      <c r="N187" s="188"/>
      <c r="O187" s="172"/>
      <c r="P187" s="172" cm="1">
        <f t="array" ref="P187">ROUND(IFERROR(INDEX('Detail inputs'!$B$3:$K$196,MATCH($B187&amp;$C187&amp;$E187&amp;$G187&amp;P$5,'Detail inputs'!$B$3:$B$196&amp;'Detail inputs'!$D$3:$D$196&amp;'Detail inputs'!$F$3:$F$196&amp;'Detail inputs'!$G$3:$G$196&amp;'Detail inputs'!$H$3:$H$196,0),MATCH(P$4,'Detail inputs'!$B$3:$K$3,0)),0)*SUM(P181:P186), 2)</f>
        <v>10.66</v>
      </c>
      <c r="Q187" s="172">
        <f t="shared" si="108"/>
        <v>106.6</v>
      </c>
      <c r="R187" s="191">
        <f>IFERROR(Q187/Q188,"")</f>
        <v>6.4563018593664825E-2</v>
      </c>
      <c r="S187" s="90"/>
    </row>
    <row r="188" spans="2:19" x14ac:dyDescent="0.25">
      <c r="B188" s="3" t="str">
        <f t="shared" si="106"/>
        <v>Energex</v>
      </c>
      <c r="C188" s="3" t="str">
        <f t="shared" si="103"/>
        <v>Small business</v>
      </c>
      <c r="D188" s="3" t="str">
        <f t="shared" si="104"/>
        <v>without CL</v>
      </c>
      <c r="E188" s="3" t="s">
        <v>22</v>
      </c>
      <c r="F188" s="175">
        <f t="array" ref="F188">IFERROR(INDEX(Usage!$B$5:$P$18,MATCH($B188,Usage!$B$5:$B$18,0),MATCH($C188&amp;$D188&amp;$E188,Usage!$B$5:$S$5&amp;Usage!$B$6:$S$6&amp;Usage!$B$7:$S$7,0)),0)</f>
        <v>10000</v>
      </c>
      <c r="G188" s="3" t="s">
        <v>61</v>
      </c>
      <c r="H188" s="172"/>
      <c r="I188" s="172">
        <f t="array" ref="I188">INDEX('Key inputs'!$B$17:$N$41,MATCH($B188&amp;$C188&amp;$E188,'Key inputs'!$B$17:$B$41&amp;'Key inputs'!$C$17:$C$41&amp;'Key inputs'!$D$17:$D$41,0),MATCH($A$2&amp;I$4,'Key inputs'!$B$18:$N$18&amp;'Key inputs'!$B$19:$N$19,0))</f>
        <v>110.53</v>
      </c>
      <c r="J188" s="172">
        <f t="shared" si="107"/>
        <v>1105.3</v>
      </c>
      <c r="K188" s="192"/>
      <c r="L188" s="199"/>
      <c r="M188" s="192">
        <f t="shared" si="105"/>
        <v>0.49380258753279671</v>
      </c>
      <c r="N188" s="197"/>
      <c r="O188" s="172"/>
      <c r="P188" s="172">
        <f t="array" ref="P188">INDEX('Key inputs'!$B$17:$N$41,MATCH($B188&amp;$C188&amp;$E188,'Key inputs'!$B$17:$B$41&amp;'Key inputs'!$C$17:$C$41&amp;'Key inputs'!$D$17:$D$41,0),MATCH($A$2&amp;P$4,'Key inputs'!$B$18:$N$18&amp;'Key inputs'!$B$19:$N$19,0))</f>
        <v>165.11</v>
      </c>
      <c r="Q188" s="172">
        <f t="shared" si="108"/>
        <v>1651.1000000000001</v>
      </c>
      <c r="R188" s="192"/>
    </row>
    <row r="189" spans="2:19" outlineLevel="1" x14ac:dyDescent="0.25">
      <c r="B189" s="3" t="str">
        <f t="shared" si="106"/>
        <v>Energex</v>
      </c>
      <c r="C189" s="3" t="str">
        <f t="shared" si="103"/>
        <v>Small business</v>
      </c>
      <c r="D189" s="3" t="str">
        <f t="shared" si="104"/>
        <v>without CL</v>
      </c>
      <c r="F189" s="175"/>
      <c r="G189" s="3" t="s">
        <v>41</v>
      </c>
      <c r="H189" s="172"/>
      <c r="I189" s="172"/>
      <c r="J189" s="172">
        <f>J188*GST</f>
        <v>110.53</v>
      </c>
      <c r="K189" s="192"/>
      <c r="L189" s="199"/>
      <c r="M189" s="192"/>
      <c r="N189" s="197"/>
      <c r="O189" s="172"/>
      <c r="P189" s="172"/>
      <c r="Q189" s="172">
        <f>Q188*GST</f>
        <v>165.11</v>
      </c>
      <c r="R189" s="193"/>
    </row>
    <row r="190" spans="2:19" x14ac:dyDescent="0.25">
      <c r="B190" s="3" t="str">
        <f t="shared" si="106"/>
        <v>Energex</v>
      </c>
      <c r="C190" s="3" t="str">
        <f t="shared" si="103"/>
        <v>Small business</v>
      </c>
      <c r="D190" s="3" t="str">
        <f t="shared" si="104"/>
        <v>without CL</v>
      </c>
      <c r="F190" s="175"/>
      <c r="G190" s="5" t="s">
        <v>87</v>
      </c>
      <c r="H190" s="174"/>
      <c r="I190" s="174"/>
      <c r="J190" s="174">
        <f>SUM(J188:J189)</f>
        <v>1215.83</v>
      </c>
      <c r="K190" s="193"/>
      <c r="L190" s="200"/>
      <c r="M190" s="193">
        <f>IF(OR(J190=0,Q190=""),"",Q190/J190-1)</f>
        <v>0.49380258753279671</v>
      </c>
      <c r="N190" s="198"/>
      <c r="O190" s="174"/>
      <c r="P190" s="174"/>
      <c r="Q190" s="174">
        <f>SUM(Q188:Q189)</f>
        <v>1816.21</v>
      </c>
      <c r="R190" s="193"/>
    </row>
    <row r="191" spans="2:19" x14ac:dyDescent="0.25">
      <c r="F191" s="175"/>
      <c r="H191" s="172"/>
      <c r="I191" s="172"/>
      <c r="J191" s="172"/>
      <c r="K191" s="191"/>
      <c r="L191" s="199"/>
      <c r="M191" s="191"/>
      <c r="N191" s="197"/>
      <c r="O191" s="172"/>
      <c r="P191" s="172"/>
      <c r="Q191" s="172"/>
      <c r="R191" s="191"/>
    </row>
    <row r="192" spans="2:19" x14ac:dyDescent="0.25">
      <c r="B192" s="5" t="s">
        <v>5</v>
      </c>
      <c r="C192" s="5" t="s">
        <v>6</v>
      </c>
      <c r="D192" s="5" t="s">
        <v>146</v>
      </c>
      <c r="F192" s="175"/>
      <c r="H192" s="172"/>
      <c r="I192" s="172"/>
      <c r="J192" s="172"/>
      <c r="K192" s="191"/>
      <c r="L192" s="199"/>
      <c r="M192" s="191"/>
      <c r="N192" s="197"/>
      <c r="O192" s="172"/>
      <c r="P192" s="172"/>
      <c r="Q192" s="172"/>
      <c r="R192" s="191"/>
    </row>
    <row r="193" spans="2:19" outlineLevel="1" x14ac:dyDescent="0.25">
      <c r="B193" s="3" t="str">
        <f>B192</f>
        <v>SAPN</v>
      </c>
      <c r="C193" s="3" t="str">
        <f t="shared" ref="C193:C203" si="112">C192</f>
        <v>Residential</v>
      </c>
      <c r="D193" s="3" t="str">
        <f t="shared" ref="D193:D203" si="113">D192</f>
        <v>without CL</v>
      </c>
      <c r="E193" s="3" t="s">
        <v>22</v>
      </c>
      <c r="F193" s="175">
        <f t="array" ref="F193">IFERROR(INDEX(Usage!$B$5:$P$18,MATCH($B193,Usage!$B$5:$B$18,0),MATCH($C193&amp;$D193&amp;$E193&amp;"Total",Usage!$B$5:$S$5&amp;Usage!$B$6:$S$6&amp;Usage!$B$7:$S$7&amp;Usage!$B$13:$S$13,0)),0)</f>
        <v>4000</v>
      </c>
      <c r="G193" s="3" t="s">
        <v>76</v>
      </c>
      <c r="H193" s="172"/>
      <c r="I193" s="172">
        <f t="array" ref="I193">IFERROR(INDEX('Detail inputs'!$B$3:$K$196,MATCH($B193&amp;$C193&amp;$E193&amp;$G193&amp;I$5,'Detail inputs'!$B$3:$B$196&amp;'Detail inputs'!$D$3:$D$196&amp;'Detail inputs'!$F$3:$F$196&amp;'Detail inputs'!$G$3:$G$196&amp;'Detail inputs'!$H$3:$H$196,0),MATCH(I$4,'Detail inputs'!$B$3:$K$3,0)),0)</f>
        <v>109.46</v>
      </c>
      <c r="J193" s="172">
        <f>IF(AND(H193="",I193=""),"",H193+I193*$F193/1000)</f>
        <v>437.84</v>
      </c>
      <c r="K193" s="191">
        <f>IFERROR(J193/J201,"")</f>
        <v>0.81364751356574738</v>
      </c>
      <c r="L193" s="191"/>
      <c r="M193" s="191">
        <f t="shared" ref="M193:M201" si="114">IF(OR(J193=0,Q193=""),"",Q193/J193-1)</f>
        <v>0.72921615201900258</v>
      </c>
      <c r="N193" s="188"/>
      <c r="O193" s="172"/>
      <c r="P193" s="172">
        <f t="array" ref="P193">IFERROR(INDEX('Detail inputs'!$B$3:$K$196,MATCH($B193&amp;$C193&amp;$E193&amp;$G193&amp;P$5,'Detail inputs'!$B$3:$B$196&amp;'Detail inputs'!$D$3:$D$196&amp;'Detail inputs'!$F$3:$F$196&amp;'Detail inputs'!$G$3:$G$196&amp;'Detail inputs'!$H$3:$H$196,0),MATCH(P$4,'Detail inputs'!$B$3:$K$3,0)),0)</f>
        <v>189.28</v>
      </c>
      <c r="Q193" s="172">
        <f>IF(AND(O193="",P193=""),"",O193+P193*$F193/1000)</f>
        <v>757.12</v>
      </c>
      <c r="R193" s="191">
        <f>IFERROR(Q193/Q201,"")</f>
        <v>0.84757298943220494</v>
      </c>
    </row>
    <row r="194" spans="2:19" outlineLevel="1" x14ac:dyDescent="0.25">
      <c r="B194" s="3" t="str">
        <f t="shared" ref="B194:B203" si="115">B193</f>
        <v>SAPN</v>
      </c>
      <c r="C194" s="3" t="str">
        <f t="shared" si="112"/>
        <v>Residential</v>
      </c>
      <c r="D194" s="3" t="str">
        <f t="shared" si="113"/>
        <v>without CL</v>
      </c>
      <c r="E194" s="3" t="s">
        <v>22</v>
      </c>
      <c r="F194" s="175">
        <f t="array" ref="F194">IFERROR(INDEX(Usage!$B$5:$P$18,MATCH($B194,Usage!$B$5:$B$18,0),MATCH($C194&amp;$D194&amp;$E194&amp;"Total",Usage!$B$5:$S$5&amp;Usage!$B$6:$S$6&amp;Usage!$B$7:$S$7&amp;Usage!$B$13:$S$13,0)),0)</f>
        <v>4000</v>
      </c>
      <c r="G194" s="3" t="s">
        <v>77</v>
      </c>
      <c r="H194" s="172"/>
      <c r="I194" s="172">
        <f t="array" ref="I194">IFERROR(INDEX('Detail inputs'!$B$3:$K$196,MATCH($B194&amp;$G194&amp;I$5,'Detail inputs'!$B$3:$B$196&amp;'Detail inputs'!$G$3:$G$196&amp;'Detail inputs'!$H$3:$H$196,0),MATCH(I$4,'Detail inputs'!$B$3:$K$3,0)),0)</f>
        <v>0.48</v>
      </c>
      <c r="J194" s="172">
        <f t="shared" ref="J194:J201" si="116">IF(AND(H194="",I194=""),"",H194+I194*$F194/1000)</f>
        <v>1.92</v>
      </c>
      <c r="K194" s="191">
        <f>IFERROR(J194/J201,"")</f>
        <v>3.567977402809782E-3</v>
      </c>
      <c r="L194" s="191"/>
      <c r="M194" s="191">
        <f t="shared" si="114"/>
        <v>3.25</v>
      </c>
      <c r="N194" s="188"/>
      <c r="O194" s="172"/>
      <c r="P194" s="172">
        <f t="array" ref="P194">IFERROR(INDEX('Detail inputs'!$B$3:$K$196,MATCH($B194&amp;$G194&amp;P$5,'Detail inputs'!$B$3:$B$196&amp;'Detail inputs'!$G$3:$G$196&amp;'Detail inputs'!$H$3:$H$196,0),MATCH(P$4,'Detail inputs'!$B$3:$K$3,0)),0)</f>
        <v>2.04</v>
      </c>
      <c r="Q194" s="172">
        <f t="shared" ref="Q194:Q201" si="117">IF(AND(O194="",P194=""),"",O194+P194*$F194/1000)</f>
        <v>8.16</v>
      </c>
      <c r="R194" s="191">
        <f>IFERROR(Q194/Q201,"")</f>
        <v>9.134873723804407E-3</v>
      </c>
    </row>
    <row r="195" spans="2:19" outlineLevel="1" x14ac:dyDescent="0.25">
      <c r="B195" s="3" t="str">
        <f t="shared" si="115"/>
        <v>SAPN</v>
      </c>
      <c r="C195" s="3" t="str">
        <f t="shared" si="112"/>
        <v>Residential</v>
      </c>
      <c r="D195" s="3" t="str">
        <f t="shared" si="113"/>
        <v>without CL</v>
      </c>
      <c r="E195" s="3" t="s">
        <v>22</v>
      </c>
      <c r="F195" s="175">
        <f t="array" ref="F195">IFERROR(INDEX(Usage!$B$5:$P$18,MATCH($B195,Usage!$B$5:$B$18,0),MATCH($C195&amp;$D195&amp;$E195&amp;"Total",Usage!$B$5:$S$5&amp;Usage!$B$6:$S$6&amp;Usage!$B$7:$S$7&amp;Usage!$B$13:$S$13,0)),0)</f>
        <v>4000</v>
      </c>
      <c r="G195" s="3" t="s">
        <v>85</v>
      </c>
      <c r="H195" s="172"/>
      <c r="I195" s="172">
        <f t="array" ref="I195">IFERROR(INDEX('Detail inputs'!$B$3:$K$196,MATCH($B195&amp;$G195&amp;I$5,'Detail inputs'!$B$3:$B$196&amp;'Detail inputs'!$G$3:$G$196&amp;'Detail inputs'!$H$3:$H$196,0),MATCH(I$4,'Detail inputs'!$B$3:$K$3,0)),0)</f>
        <v>1.1000000000000001</v>
      </c>
      <c r="J195" s="172">
        <f t="shared" si="116"/>
        <v>4.4000000000000004</v>
      </c>
      <c r="K195" s="191">
        <f>IFERROR(J195/J201,"")</f>
        <v>8.1766148814390854E-3</v>
      </c>
      <c r="L195" s="191"/>
      <c r="M195" s="191">
        <f t="shared" si="114"/>
        <v>4.5454545454545192E-2</v>
      </c>
      <c r="N195" s="188"/>
      <c r="O195" s="172"/>
      <c r="P195" s="172">
        <f t="array" ref="P195">IFERROR(INDEX('Detail inputs'!$B$3:$K$196,MATCH($B195&amp;$G195&amp;P$5,'Detail inputs'!$B$3:$B$196&amp;'Detail inputs'!$G$3:$G$196&amp;'Detail inputs'!$H$3:$H$196,0),MATCH(P$4,'Detail inputs'!$B$3:$K$3,0)),0)</f>
        <v>1.1499999999999999</v>
      </c>
      <c r="Q195" s="172">
        <f t="shared" si="117"/>
        <v>4.5999999999999996</v>
      </c>
      <c r="R195" s="191">
        <f>IFERROR(Q195/Q201,"")</f>
        <v>5.1495611678309154E-3</v>
      </c>
    </row>
    <row r="196" spans="2:19" outlineLevel="1" x14ac:dyDescent="0.25">
      <c r="B196" s="3" t="str">
        <f t="shared" si="115"/>
        <v>SAPN</v>
      </c>
      <c r="C196" s="3" t="str">
        <f t="shared" si="112"/>
        <v>Residential</v>
      </c>
      <c r="D196" s="3" t="str">
        <f t="shared" si="113"/>
        <v>without CL</v>
      </c>
      <c r="E196" s="3" t="s">
        <v>22</v>
      </c>
      <c r="F196" s="175">
        <f t="array" ref="F196">IFERROR(INDEX(Usage!$B$5:$P$18,MATCH($B196,Usage!$B$5:$B$18,0),MATCH($C196&amp;$D196&amp;$E196&amp;"Total",Usage!$B$5:$S$5&amp;Usage!$B$6:$S$6&amp;Usage!$B$7:$S$7&amp;Usage!$B$13:$S$13,0)),0)</f>
        <v>4000</v>
      </c>
      <c r="G196" s="3" t="s">
        <v>78</v>
      </c>
      <c r="H196" s="172"/>
      <c r="I196" s="172">
        <f t="array" ref="I196">IFERROR(INDEX('Detail inputs'!$B$3:$K$196,MATCH($B196&amp;$G196&amp;I$5,'Detail inputs'!$B$3:$B$196&amp;'Detail inputs'!$G$3:$G$196&amp;'Detail inputs'!$H$3:$H$196,0),MATCH(I$4,'Detail inputs'!$B$3:$K$3,0)),0)</f>
        <v>0</v>
      </c>
      <c r="J196" s="172">
        <f t="shared" si="116"/>
        <v>0</v>
      </c>
      <c r="K196" s="191">
        <f>IFERROR(J196/J201,"")</f>
        <v>0</v>
      </c>
      <c r="L196" s="191"/>
      <c r="M196" s="191" t="str">
        <f t="shared" si="114"/>
        <v/>
      </c>
      <c r="N196" s="188"/>
      <c r="O196" s="172"/>
      <c r="P196" s="172">
        <f t="array" ref="P196">IFERROR(INDEX('Detail inputs'!$B$3:$K$196,MATCH($B196&amp;$G196&amp;P$5,'Detail inputs'!$B$3:$B$196&amp;'Detail inputs'!$G$3:$G$196&amp;'Detail inputs'!$H$3:$H$196,0),MATCH(P$4,'Detail inputs'!$B$3:$K$3,0)),0)</f>
        <v>0</v>
      </c>
      <c r="Q196" s="172">
        <f t="shared" si="117"/>
        <v>0</v>
      </c>
      <c r="R196" s="191">
        <f>IFERROR(Q196/Q201,"")</f>
        <v>0</v>
      </c>
    </row>
    <row r="197" spans="2:19" outlineLevel="1" x14ac:dyDescent="0.25">
      <c r="B197" s="3" t="str">
        <f t="shared" si="115"/>
        <v>SAPN</v>
      </c>
      <c r="C197" s="3" t="str">
        <f t="shared" si="112"/>
        <v>Residential</v>
      </c>
      <c r="D197" s="3" t="str">
        <f t="shared" si="113"/>
        <v>without CL</v>
      </c>
      <c r="E197" s="3" t="s">
        <v>22</v>
      </c>
      <c r="F197" s="175">
        <f t="array" ref="F197">IFERROR(INDEX(Usage!$B$5:$P$18,MATCH($B197,Usage!$B$5:$B$18,0),MATCH($C197&amp;$D197&amp;$E197&amp;"Total",Usage!$B$5:$S$5&amp;Usage!$B$6:$S$6&amp;Usage!$B$7:$S$7&amp;Usage!$B$13:$S$13,0)),0)</f>
        <v>4000</v>
      </c>
      <c r="G197" s="3" t="str">
        <f>+G185</f>
        <v>June 2022 Event Cost</v>
      </c>
      <c r="H197" s="172"/>
      <c r="I197" s="172">
        <f t="array" ref="I197">IFERROR(INDEX('Detail inputs'!$B$3:$K$196,MATCH($B197&amp;$G197&amp;I$5,'Detail inputs'!$B$3:$B$196&amp;'Detail inputs'!$G$3:$G$196&amp;'Detail inputs'!$H$3:$H$196,0),MATCH(I$4,'Detail inputs'!$B$3:$K$3,0)),0)</f>
        <v>0</v>
      </c>
      <c r="J197" s="172">
        <f t="shared" ref="J197" si="118">IF(AND(H197="",I197=""),"",H197+I197*$F197/1000)</f>
        <v>0</v>
      </c>
      <c r="K197" s="191">
        <f>IFERROR(J197/J202,"")</f>
        <v>0</v>
      </c>
      <c r="L197" s="191"/>
      <c r="M197" s="191" t="str">
        <f t="shared" ref="M197" si="119">IF(OR(J197=0,Q197=""),"",Q197/J197-1)</f>
        <v/>
      </c>
      <c r="N197" s="188"/>
      <c r="O197" s="172"/>
      <c r="P197" s="172">
        <f t="array" ref="P197">IFERROR(INDEX('Detail inputs'!$B$3:$K$196,MATCH($B197&amp;$G197&amp;P$5,'Detail inputs'!$B$3:$B$196&amp;'Detail inputs'!$G$3:$G$196&amp;'Detail inputs'!$H$3:$H$196,0),MATCH(P$4,'Detail inputs'!$B$3:$K$3,0)),0)</f>
        <v>0.67</v>
      </c>
      <c r="Q197" s="172">
        <f t="shared" ref="Q197" si="120">IF(AND(O197="",P197=""),"",O197+P197*$F197/1000)</f>
        <v>2.68</v>
      </c>
      <c r="R197" s="191">
        <f>IFERROR(Q197/Q202,"")</f>
        <v>3.000179115171055E-2</v>
      </c>
    </row>
    <row r="198" spans="2:19" outlineLevel="1" x14ac:dyDescent="0.25">
      <c r="B198" s="3" t="str">
        <f>B196</f>
        <v>SAPN</v>
      </c>
      <c r="C198" s="3" t="str">
        <f>C196</f>
        <v>Residential</v>
      </c>
      <c r="D198" s="3" t="str">
        <f>D196</f>
        <v>without CL</v>
      </c>
      <c r="E198" s="3" t="s">
        <v>22</v>
      </c>
      <c r="F198" s="175">
        <f t="array" ref="F198">IFERROR(INDEX(Usage!$B$5:$P$18,MATCH($B198,Usage!$B$5:$B$18,0),MATCH($C198&amp;$D198&amp;$E198&amp;"Total",Usage!$B$5:$S$5&amp;Usage!$B$6:$S$6&amp;Usage!$B$7:$S$7&amp;Usage!$B$13:$S$13,0)),0)</f>
        <v>4000</v>
      </c>
      <c r="G198" s="3" t="s">
        <v>155</v>
      </c>
      <c r="H198" s="172"/>
      <c r="I198" s="172">
        <f t="array" ref="I198">IFERROR(INDEX('Detail inputs'!$B$3:$K$196,MATCH($B198&amp;$G198&amp;I$5,'Detail inputs'!$B$3:$B$196&amp;'Detail inputs'!$G$3:$G$196&amp;'Detail inputs'!$H$3:$H$196,0),MATCH(I$4,'Detail inputs'!$B$3:$K$3,0)),0)</f>
        <v>4.2300000000000004</v>
      </c>
      <c r="J198" s="172">
        <f t="shared" si="116"/>
        <v>16.920000000000002</v>
      </c>
      <c r="K198" s="191">
        <f>IFERROR(J198/J201,"")</f>
        <v>3.1442800862261207E-2</v>
      </c>
      <c r="L198" s="191"/>
      <c r="M198" s="191">
        <f t="shared" si="114"/>
        <v>3.3096926713947816E-2</v>
      </c>
      <c r="N198" s="188"/>
      <c r="O198" s="172"/>
      <c r="P198" s="172">
        <f t="array" ref="P198">IFERROR(INDEX('Detail inputs'!$B$3:$K$196,MATCH($B198&amp;$G198&amp;P$5,'Detail inputs'!$B$3:$B$196&amp;'Detail inputs'!$G$3:$G$196&amp;'Detail inputs'!$H$3:$H$196,0),MATCH(P$4,'Detail inputs'!$B$3:$K$3,0)),0)</f>
        <v>4.37</v>
      </c>
      <c r="Q198" s="172">
        <f t="shared" si="117"/>
        <v>17.48</v>
      </c>
      <c r="R198" s="191">
        <f>IFERROR(Q198/Q201,"")</f>
        <v>1.956833243775748E-2</v>
      </c>
    </row>
    <row r="199" spans="2:19" outlineLevel="1" x14ac:dyDescent="0.25">
      <c r="B199" s="3" t="str">
        <f t="shared" si="115"/>
        <v>SAPN</v>
      </c>
      <c r="C199" s="3" t="str">
        <f t="shared" si="112"/>
        <v>Residential</v>
      </c>
      <c r="D199" s="3" t="str">
        <f t="shared" si="113"/>
        <v>without CL</v>
      </c>
      <c r="E199" s="3" t="s">
        <v>22</v>
      </c>
      <c r="F199" s="175">
        <f t="array" ref="F199">IFERROR(INDEX(Usage!$B$5:$P$18,MATCH($B199,Usage!$B$5:$B$18,0),MATCH($C199&amp;$D199&amp;$E199&amp;"Total",Usage!$B$5:$S$5&amp;Usage!$B$6:$S$6&amp;Usage!$B$7:$S$7&amp;Usage!$B$13:$S$13,0)),0)</f>
        <v>4000</v>
      </c>
      <c r="G199" s="3" t="s">
        <v>200</v>
      </c>
      <c r="H199" s="172"/>
      <c r="I199" s="172">
        <f t="array" ref="I199">IFERROR(INDEX('Detail inputs'!$B$3:$K$196,MATCH($B199&amp;$G199&amp;I$5,'Detail inputs'!$B$3:$B$196&amp;'Detail inputs'!$G$3:$G$196&amp;'Detail inputs'!$H$3:$H$196,0),MATCH(I$4,'Detail inputs'!$B$3:$K$3,0)),0)</f>
        <v>7.03</v>
      </c>
      <c r="J199" s="172">
        <f t="shared" ref="J199" si="121">IF(AND(H199="",I199=""),"",H199+I199*$F199/1000)</f>
        <v>28.12</v>
      </c>
      <c r="K199" s="191">
        <f>IFERROR(J199/J201,"")</f>
        <v>5.2256002378651606E-2</v>
      </c>
      <c r="L199" s="191"/>
      <c r="M199" s="191">
        <f t="shared" ref="M199" si="122">IF(OR(J199=0,Q199=""),"",Q199/J199-1)</f>
        <v>-0.19061166429587484</v>
      </c>
      <c r="N199" s="188"/>
      <c r="O199" s="172"/>
      <c r="P199" s="172" cm="1">
        <f t="array" ref="P199">IFERROR(INDEX('Detail inputs'!$B$3:$K$196,MATCH($B199&amp;$G199&amp;P$5,'Detail inputs'!$B$3:$B$196&amp;'Detail inputs'!$G$3:$G$196&amp;'Detail inputs'!$H$3:$H$196,0),MATCH(P$4,'Detail inputs'!$B$3:$K$3,0)),0)</f>
        <v>5.69</v>
      </c>
      <c r="Q199" s="172">
        <f>IF(AND(O199="",P199=""),"",O199+P199*$F199/1000)</f>
        <v>22.76</v>
      </c>
      <c r="R199" s="191">
        <f>IFERROR(Q199/Q201,"")</f>
        <v>2.5479133082572096E-2</v>
      </c>
    </row>
    <row r="200" spans="2:19" outlineLevel="1" x14ac:dyDescent="0.25">
      <c r="B200" s="3" t="str">
        <f t="shared" si="115"/>
        <v>SAPN</v>
      </c>
      <c r="C200" s="3" t="str">
        <f t="shared" si="112"/>
        <v>Residential</v>
      </c>
      <c r="D200" s="3" t="str">
        <f t="shared" si="113"/>
        <v>without CL</v>
      </c>
      <c r="E200" s="3" t="s">
        <v>22</v>
      </c>
      <c r="F200" s="175">
        <f t="array" ref="F200">IFERROR(INDEX(Usage!$B$5:$P$18,MATCH($B200,Usage!$B$5:$B$18,0),MATCH($C200&amp;$D200&amp;$E200&amp;"Total",Usage!$B$5:$S$5&amp;Usage!$B$6:$S$6&amp;Usage!$B$7:$S$7&amp;Usage!$B$13:$S$13,0)),0)</f>
        <v>4000</v>
      </c>
      <c r="G200" s="3" t="s">
        <v>79</v>
      </c>
      <c r="H200" s="172"/>
      <c r="I200" s="172" cm="1">
        <f t="array" ref="I200">ROUND(IFERROR(INDEX('Detail inputs'!$B$3:$K$196,MATCH($B200&amp;$C200&amp;$E200&amp;$G200&amp;I$5,'Detail inputs'!$B$3:$B$196&amp;'Detail inputs'!$D$3:$D$196&amp;'Detail inputs'!$F$3:$F$196&amp;'Detail inputs'!$G$3:$G$196&amp;'Detail inputs'!$H$3:$H$196,0),MATCH(I$4,'Detail inputs'!$B$3:$K$3,0)),0)*SUM(I193:I199), 2)</f>
        <v>12.23</v>
      </c>
      <c r="J200" s="172">
        <f t="shared" si="116"/>
        <v>48.92</v>
      </c>
      <c r="K200" s="191">
        <f>IFERROR(J200/J201,"")</f>
        <v>9.0909090909090912E-2</v>
      </c>
      <c r="L200" s="191"/>
      <c r="M200" s="191">
        <f t="shared" si="114"/>
        <v>0.6451349141455438</v>
      </c>
      <c r="N200" s="188"/>
      <c r="O200" s="172"/>
      <c r="P200" s="172" cm="1">
        <f t="array" ref="P200">ROUND(IFERROR(INDEX('Detail inputs'!$B$3:$K$196,MATCH($B200&amp;$C200&amp;$E200&amp;$G200&amp;P$5,'Detail inputs'!$B$3:$B$196&amp;'Detail inputs'!$D$3:$D$196&amp;'Detail inputs'!$F$3:$F$196&amp;'Detail inputs'!$G$3:$G$196&amp;'Detail inputs'!$H$3:$H$196,0),MATCH(P$4,'Detail inputs'!$B$3:$K$3,0)),0)*SUM(P193:P199), 2)</f>
        <v>20.12</v>
      </c>
      <c r="Q200" s="172">
        <f t="shared" si="117"/>
        <v>80.48</v>
      </c>
      <c r="R200" s="191">
        <f>IFERROR(Q200/Q201,"")</f>
        <v>9.0094931040659146E-2</v>
      </c>
      <c r="S200" s="90"/>
    </row>
    <row r="201" spans="2:19" x14ac:dyDescent="0.25">
      <c r="B201" s="3" t="str">
        <f t="shared" si="115"/>
        <v>SAPN</v>
      </c>
      <c r="C201" s="3" t="str">
        <f t="shared" si="112"/>
        <v>Residential</v>
      </c>
      <c r="D201" s="3" t="str">
        <f t="shared" si="113"/>
        <v>without CL</v>
      </c>
      <c r="E201" s="3" t="s">
        <v>22</v>
      </c>
      <c r="F201" s="175">
        <f t="array" ref="F201">IFERROR(INDEX(Usage!$B$5:$P$18,MATCH($B201,Usage!$B$5:$B$18,0),MATCH($C201&amp;$D201&amp;$E201&amp;"Total",Usage!$B$5:$S$5&amp;Usage!$B$6:$S$6&amp;Usage!$B$7:$S$7&amp;Usage!$B$13:$S$13,0)),0)</f>
        <v>4000</v>
      </c>
      <c r="G201" s="3" t="s">
        <v>61</v>
      </c>
      <c r="H201" s="172"/>
      <c r="I201" s="172">
        <f t="array" ref="I201">INDEX('Key inputs'!$B$17:$N$41,MATCH($B201&amp;$C201&amp;$E201,'Key inputs'!$B$17:$B$41&amp;'Key inputs'!$C$17:$C$41&amp;'Key inputs'!$D$17:$D$41,0),MATCH($A$2&amp;I$4,'Key inputs'!$B$18:$N$18&amp;'Key inputs'!$B$19:$N$19,0))</f>
        <v>134.53</v>
      </c>
      <c r="J201" s="172">
        <f t="shared" si="116"/>
        <v>538.12</v>
      </c>
      <c r="K201" s="192"/>
      <c r="L201" s="199"/>
      <c r="M201" s="192">
        <f t="shared" si="114"/>
        <v>0.660001486657251</v>
      </c>
      <c r="N201" s="197"/>
      <c r="O201" s="172"/>
      <c r="P201" s="172">
        <f t="array" ref="P201">INDEX('Key inputs'!$B$17:$N$41,MATCH($B201&amp;$C201&amp;$E201,'Key inputs'!$B$17:$B$41&amp;'Key inputs'!$C$17:$C$41&amp;'Key inputs'!$D$17:$D$41,0),MATCH($A$2&amp;P$4,'Key inputs'!$B$18:$N$18&amp;'Key inputs'!$B$19:$N$19,0))</f>
        <v>223.32</v>
      </c>
      <c r="Q201" s="172">
        <f t="shared" si="117"/>
        <v>893.28</v>
      </c>
      <c r="R201" s="192"/>
    </row>
    <row r="202" spans="2:19" outlineLevel="1" x14ac:dyDescent="0.25">
      <c r="B202" s="3" t="str">
        <f t="shared" si="115"/>
        <v>SAPN</v>
      </c>
      <c r="C202" s="3" t="str">
        <f t="shared" si="112"/>
        <v>Residential</v>
      </c>
      <c r="D202" s="3" t="str">
        <f t="shared" si="113"/>
        <v>without CL</v>
      </c>
      <c r="F202" s="175"/>
      <c r="G202" s="3" t="s">
        <v>41</v>
      </c>
      <c r="H202" s="172"/>
      <c r="I202" s="172"/>
      <c r="J202" s="172">
        <f>J201*GST</f>
        <v>53.812000000000005</v>
      </c>
      <c r="K202" s="192"/>
      <c r="L202" s="199"/>
      <c r="M202" s="192"/>
      <c r="N202" s="197"/>
      <c r="O202" s="172"/>
      <c r="P202" s="172"/>
      <c r="Q202" s="172">
        <f>Q201*GST</f>
        <v>89.328000000000003</v>
      </c>
      <c r="R202" s="193"/>
    </row>
    <row r="203" spans="2:19" x14ac:dyDescent="0.25">
      <c r="B203" s="3" t="str">
        <f t="shared" si="115"/>
        <v>SAPN</v>
      </c>
      <c r="C203" s="3" t="str">
        <f t="shared" si="112"/>
        <v>Residential</v>
      </c>
      <c r="D203" s="3" t="str">
        <f t="shared" si="113"/>
        <v>without CL</v>
      </c>
      <c r="F203" s="175"/>
      <c r="G203" s="5" t="s">
        <v>87</v>
      </c>
      <c r="H203" s="174"/>
      <c r="I203" s="174"/>
      <c r="J203" s="174">
        <f>SUM(J201:J202)</f>
        <v>591.93200000000002</v>
      </c>
      <c r="K203" s="193"/>
      <c r="L203" s="200"/>
      <c r="M203" s="193">
        <f>IF(OR(J203=0,Q203=""),"",Q203/J203-1)</f>
        <v>0.660001486657251</v>
      </c>
      <c r="N203" s="198"/>
      <c r="O203" s="174"/>
      <c r="P203" s="174"/>
      <c r="Q203" s="174">
        <f>SUM(Q201:Q202)</f>
        <v>982.60799999999995</v>
      </c>
      <c r="R203" s="193"/>
    </row>
    <row r="204" spans="2:19" x14ac:dyDescent="0.25">
      <c r="F204" s="175"/>
      <c r="H204" s="172"/>
      <c r="I204" s="172"/>
      <c r="J204" s="172"/>
      <c r="K204" s="191"/>
      <c r="L204" s="199"/>
      <c r="M204" s="191"/>
      <c r="N204" s="197"/>
      <c r="O204" s="172"/>
      <c r="P204" s="172"/>
      <c r="Q204" s="172"/>
      <c r="R204" s="191"/>
    </row>
    <row r="205" spans="2:19" x14ac:dyDescent="0.25">
      <c r="B205" s="5" t="s">
        <v>5</v>
      </c>
      <c r="C205" s="5" t="s">
        <v>6</v>
      </c>
      <c r="D205" s="5" t="s">
        <v>147</v>
      </c>
      <c r="F205" s="175"/>
      <c r="H205" s="172"/>
      <c r="I205" s="172"/>
      <c r="J205" s="172"/>
      <c r="K205" s="191"/>
      <c r="L205" s="199"/>
      <c r="M205" s="191"/>
      <c r="N205" s="197"/>
      <c r="O205" s="172"/>
      <c r="P205" s="172"/>
      <c r="Q205" s="172"/>
      <c r="R205" s="191"/>
    </row>
    <row r="206" spans="2:19" outlineLevel="1" x14ac:dyDescent="0.25">
      <c r="B206" s="3" t="str">
        <f>B205</f>
        <v>SAPN</v>
      </c>
      <c r="C206" s="3" t="str">
        <f t="shared" ref="C206:C218" si="123">C205</f>
        <v>Residential</v>
      </c>
      <c r="D206" s="3" t="str">
        <f t="shared" ref="D206:D218" si="124">D205</f>
        <v>with CL</v>
      </c>
      <c r="E206" s="3" t="s">
        <v>22</v>
      </c>
      <c r="F206" s="175">
        <f t="array" ref="F206">IFERROR(INDEX(Usage!$B$5:$P$18,MATCH($B206,Usage!$B$5:$B$18,0),MATCH($C206&amp;$D206&amp;$E206&amp;"Total",Usage!$B$5:$S$5&amp;Usage!$B$6:$S$6&amp;Usage!$B$7:$S$7&amp;Usage!$B$13:$S$13,0)),0)</f>
        <v>4200</v>
      </c>
      <c r="G206" s="3" t="s">
        <v>61</v>
      </c>
      <c r="H206" s="172"/>
      <c r="I206" s="172">
        <f t="array" ref="I206">INDEX('Key inputs'!$B$17:$N$41,MATCH($B206&amp;$C206&amp;$E206,'Key inputs'!$B$17:$B$41&amp;'Key inputs'!$C$17:$C$41&amp;'Key inputs'!$D$17:$D$41,0),MATCH($A$2&amp;I$4,'Key inputs'!$B$18:$N$18&amp;'Key inputs'!$B$19:$N$19,0))</f>
        <v>134.53</v>
      </c>
      <c r="J206" s="172">
        <f>IF(AND(H206="",I206=""),"",H206+I206*$F206/1000)</f>
        <v>565.02599999999995</v>
      </c>
      <c r="K206" s="191"/>
      <c r="L206" s="199"/>
      <c r="M206" s="191">
        <f>IF(OR(J206=0,Q206=""),"",Q206/J206-1)</f>
        <v>0.66000148665725122</v>
      </c>
      <c r="N206" s="197"/>
      <c r="O206" s="172"/>
      <c r="P206" s="172">
        <f t="array" ref="P206">INDEX('Key inputs'!$B$17:$N$41,MATCH($B206&amp;$C206&amp;$E206,'Key inputs'!$B$17:$B$41&amp;'Key inputs'!$C$17:$C$41&amp;'Key inputs'!$D$17:$D$41,0),MATCH($A$2&amp;P$4,'Key inputs'!$B$18:$N$18&amp;'Key inputs'!$B$19:$N$19,0))</f>
        <v>223.32</v>
      </c>
      <c r="Q206" s="172">
        <f>IF(AND(O206="",P206=""),"",O206+P206*$F206/1000)</f>
        <v>937.94399999999996</v>
      </c>
      <c r="R206" s="191"/>
    </row>
    <row r="207" spans="2:19" outlineLevel="1" x14ac:dyDescent="0.25">
      <c r="B207" s="3" t="str">
        <f t="shared" ref="B207:B218" si="125">B206</f>
        <v>SAPN</v>
      </c>
      <c r="C207" s="3" t="str">
        <f t="shared" si="123"/>
        <v>Residential</v>
      </c>
      <c r="D207" s="3" t="str">
        <f t="shared" si="124"/>
        <v>with CL</v>
      </c>
      <c r="E207" s="3" t="s">
        <v>16</v>
      </c>
      <c r="F207" s="175">
        <f t="array" ref="F207">IFERROR(INDEX(Usage!$B$5:$P$18,MATCH($B207,Usage!$B$5:$B$18,0),MATCH($C207&amp;$D207&amp;$E207,Usage!$B$5:$S$5&amp;Usage!$B$6:$S$6&amp;Usage!$B$7:$S$7,0)),0)</f>
        <v>1800</v>
      </c>
      <c r="G207" s="3" t="s">
        <v>76</v>
      </c>
      <c r="H207" s="172"/>
      <c r="I207" s="172">
        <f t="array" ref="I207">IFERROR(INDEX('Detail inputs'!$B$3:$K$196,MATCH($B207&amp;$C207&amp;$E207&amp;$G207&amp;I$5,'Detail inputs'!$B$3:$B$196&amp;'Detail inputs'!$D$3:$D$196&amp;'Detail inputs'!$F$3:$F$196&amp;'Detail inputs'!$G$3:$G$196&amp;'Detail inputs'!$H$3:$H$196,0),MATCH(I$4,'Detail inputs'!$B$3:$K$3,0)),0)</f>
        <v>54</v>
      </c>
      <c r="J207" s="172">
        <f>IF(AND(H207="",I207=""),"",H207+I207*$F207/1000)</f>
        <v>97.2</v>
      </c>
      <c r="K207" s="191">
        <f>IFERROR(J207/J215,"")</f>
        <v>0.73449401523394986</v>
      </c>
      <c r="L207" s="191"/>
      <c r="M207" s="191">
        <f t="shared" ref="M207:M216" si="126">IF(OR(J207=0,Q207=""),"",Q207/J207-1)</f>
        <v>0.51796296296296274</v>
      </c>
      <c r="N207" s="188"/>
      <c r="O207" s="172"/>
      <c r="P207" s="172">
        <f t="array" ref="P207">IFERROR(INDEX('Detail inputs'!$B$3:$K$196,MATCH($B207&amp;$C207&amp;$E207&amp;$G207&amp;P$5,'Detail inputs'!$B$3:$B$196&amp;'Detail inputs'!$D$3:$D$196&amp;'Detail inputs'!$F$3:$F$196&amp;'Detail inputs'!$G$3:$G$196&amp;'Detail inputs'!$H$3:$H$196,0),MATCH(P$4,'Detail inputs'!$B$3:$K$3,0)),0)</f>
        <v>81.97</v>
      </c>
      <c r="Q207" s="172">
        <f>IF(AND(O207="",P207=""),"",O207+P207*$F207/1000)</f>
        <v>147.54599999999999</v>
      </c>
      <c r="R207" s="191">
        <f>IFERROR(Q207/Q215,"")</f>
        <v>0.77785158474093752</v>
      </c>
    </row>
    <row r="208" spans="2:19" outlineLevel="1" x14ac:dyDescent="0.25">
      <c r="B208" s="3" t="str">
        <f t="shared" si="125"/>
        <v>SAPN</v>
      </c>
      <c r="C208" s="3" t="str">
        <f t="shared" si="123"/>
        <v>Residential</v>
      </c>
      <c r="D208" s="3" t="str">
        <f t="shared" si="124"/>
        <v>with CL</v>
      </c>
      <c r="E208" s="3" t="s">
        <v>16</v>
      </c>
      <c r="F208" s="175">
        <f t="array" ref="F208">IFERROR(INDEX(Usage!$B$5:$P$18,MATCH($B208,Usage!$B$5:$B$18,0),MATCH($C208&amp;$D208&amp;$E208,Usage!$B$5:$S$5&amp;Usage!$B$6:$S$6&amp;Usage!$B$7:$S$7,0)),0)</f>
        <v>1800</v>
      </c>
      <c r="G208" s="3" t="s">
        <v>77</v>
      </c>
      <c r="H208" s="172"/>
      <c r="I208" s="172">
        <f t="array" ref="I208">IFERROR(INDEX('Detail inputs'!$B$3:$K$196,MATCH($B208&amp;$G208&amp;I$5,'Detail inputs'!$B$3:$B$196&amp;'Detail inputs'!$G$3:$G$196&amp;'Detail inputs'!$H$3:$H$196,0),MATCH(I$4,'Detail inputs'!$B$3:$K$3,0)),0)</f>
        <v>0.48</v>
      </c>
      <c r="J208" s="172">
        <f t="shared" ref="J208:J215" si="127">IF(AND(H208="",I208=""),"",H208+I208*$F208/1000)</f>
        <v>0.86399999999999999</v>
      </c>
      <c r="K208" s="191">
        <f>IFERROR(J208/J215,"")</f>
        <v>6.5288356909684432E-3</v>
      </c>
      <c r="L208" s="191"/>
      <c r="M208" s="191">
        <f t="shared" si="126"/>
        <v>3.25</v>
      </c>
      <c r="N208" s="188"/>
      <c r="O208" s="172"/>
      <c r="P208" s="172">
        <f t="array" ref="P208">IFERROR(INDEX('Detail inputs'!$B$3:$K$196,MATCH($B208&amp;$G208&amp;P$5,'Detail inputs'!$B$3:$B$196&amp;'Detail inputs'!$G$3:$G$196&amp;'Detail inputs'!$H$3:$H$196,0),MATCH(P$4,'Detail inputs'!$B$3:$K$3,0)),0)</f>
        <v>2.04</v>
      </c>
      <c r="Q208" s="172">
        <f t="shared" ref="Q208:Q215" si="128">IF(AND(O208="",P208=""),"",O208+P208*$F208/1000)</f>
        <v>3.6720000000000002</v>
      </c>
      <c r="R208" s="191">
        <f>IFERROR(Q208/Q215,"")</f>
        <v>1.9358512051622701E-2</v>
      </c>
    </row>
    <row r="209" spans="2:18" outlineLevel="1" x14ac:dyDescent="0.25">
      <c r="B209" s="3" t="str">
        <f t="shared" si="125"/>
        <v>SAPN</v>
      </c>
      <c r="C209" s="3" t="str">
        <f t="shared" si="123"/>
        <v>Residential</v>
      </c>
      <c r="D209" s="3" t="str">
        <f t="shared" si="124"/>
        <v>with CL</v>
      </c>
      <c r="E209" s="3" t="s">
        <v>16</v>
      </c>
      <c r="F209" s="175">
        <f t="array" ref="F209">IFERROR(INDEX(Usage!$B$5:$P$18,MATCH($B209,Usage!$B$5:$B$18,0),MATCH($C209&amp;$D209&amp;$E209,Usage!$B$5:$S$5&amp;Usage!$B$6:$S$6&amp;Usage!$B$7:$S$7,0)),0)</f>
        <v>1800</v>
      </c>
      <c r="G209" s="3" t="s">
        <v>85</v>
      </c>
      <c r="H209" s="172"/>
      <c r="I209" s="172">
        <f t="array" ref="I209">IFERROR(INDEX('Detail inputs'!$B$3:$K$196,MATCH($B209&amp;$G209&amp;I$5,'Detail inputs'!$B$3:$B$196&amp;'Detail inputs'!$G$3:$G$196&amp;'Detail inputs'!$H$3:$H$196,0),MATCH(I$4,'Detail inputs'!$B$3:$K$3,0)),0)</f>
        <v>1.1000000000000001</v>
      </c>
      <c r="J209" s="172">
        <f t="shared" si="127"/>
        <v>1.9800000000000002</v>
      </c>
      <c r="K209" s="191">
        <f>IFERROR(J209/J215,"")</f>
        <v>1.4961915125136017E-2</v>
      </c>
      <c r="L209" s="191"/>
      <c r="M209" s="191">
        <f t="shared" si="126"/>
        <v>4.5454545454545192E-2</v>
      </c>
      <c r="N209" s="188"/>
      <c r="O209" s="172"/>
      <c r="P209" s="172">
        <f t="array" ref="P209">IFERROR(INDEX('Detail inputs'!$B$3:$K$196,MATCH($B209&amp;$G209&amp;P$5,'Detail inputs'!$B$3:$B$196&amp;'Detail inputs'!$G$3:$G$196&amp;'Detail inputs'!$H$3:$H$196,0),MATCH(P$4,'Detail inputs'!$B$3:$K$3,0)),0)</f>
        <v>1.1499999999999999</v>
      </c>
      <c r="Q209" s="172">
        <f t="shared" si="128"/>
        <v>2.0699999999999998</v>
      </c>
      <c r="R209" s="191">
        <f>IFERROR(Q209/Q215,"")</f>
        <v>1.0912886695767697E-2</v>
      </c>
    </row>
    <row r="210" spans="2:18" outlineLevel="1" x14ac:dyDescent="0.25">
      <c r="B210" s="3" t="str">
        <f t="shared" si="125"/>
        <v>SAPN</v>
      </c>
      <c r="C210" s="3" t="str">
        <f t="shared" si="123"/>
        <v>Residential</v>
      </c>
      <c r="D210" s="3" t="str">
        <f t="shared" si="124"/>
        <v>with CL</v>
      </c>
      <c r="E210" s="3" t="s">
        <v>16</v>
      </c>
      <c r="F210" s="175">
        <f t="array" ref="F210">IFERROR(INDEX(Usage!$B$5:$P$18,MATCH($B210,Usage!$B$5:$B$18,0),MATCH($C210&amp;$D210&amp;$E210,Usage!$B$5:$S$5&amp;Usage!$B$6:$S$6&amp;Usage!$B$7:$S$7,0)),0)</f>
        <v>1800</v>
      </c>
      <c r="G210" s="3" t="s">
        <v>78</v>
      </c>
      <c r="H210" s="172"/>
      <c r="I210" s="172">
        <f t="array" ref="I210">IFERROR(INDEX('Detail inputs'!$B$3:$K$196,MATCH($B210&amp;$G210&amp;I$5,'Detail inputs'!$B$3:$B$196&amp;'Detail inputs'!$G$3:$G$196&amp;'Detail inputs'!$H$3:$H$196,0),MATCH(I$4,'Detail inputs'!$B$3:$K$3,0)),0)</f>
        <v>0</v>
      </c>
      <c r="J210" s="172">
        <f t="shared" si="127"/>
        <v>0</v>
      </c>
      <c r="K210" s="191">
        <f>IFERROR(J210/J215,"")</f>
        <v>0</v>
      </c>
      <c r="L210" s="191"/>
      <c r="M210" s="191" t="str">
        <f t="shared" si="126"/>
        <v/>
      </c>
      <c r="N210" s="188"/>
      <c r="O210" s="172"/>
      <c r="P210" s="172">
        <f t="array" ref="P210">IFERROR(INDEX('Detail inputs'!$B$3:$K$196,MATCH($B210&amp;$G210&amp;P$5,'Detail inputs'!$B$3:$B$196&amp;'Detail inputs'!$G$3:$G$196&amp;'Detail inputs'!$H$3:$H$196,0),MATCH(P$4,'Detail inputs'!$B$3:$K$3,0)),0)</f>
        <v>0</v>
      </c>
      <c r="Q210" s="172">
        <f t="shared" si="128"/>
        <v>0</v>
      </c>
      <c r="R210" s="191">
        <f>IFERROR(Q210/Q215,"")</f>
        <v>0</v>
      </c>
    </row>
    <row r="211" spans="2:18" outlineLevel="1" x14ac:dyDescent="0.25">
      <c r="B211" s="3" t="str">
        <f t="shared" si="125"/>
        <v>SAPN</v>
      </c>
      <c r="C211" s="3" t="str">
        <f t="shared" si="123"/>
        <v>Residential</v>
      </c>
      <c r="D211" s="3" t="str">
        <f t="shared" si="124"/>
        <v>with CL</v>
      </c>
      <c r="E211" s="3" t="s">
        <v>16</v>
      </c>
      <c r="F211" s="175">
        <f t="array" ref="F211">IFERROR(INDEX(Usage!$B$5:$P$18,MATCH($B211,Usage!$B$5:$B$18,0),MATCH($C211&amp;$D211&amp;$E211,Usage!$B$5:$S$5&amp;Usage!$B$6:$S$6&amp;Usage!$B$7:$S$7,0)),0)</f>
        <v>1800</v>
      </c>
      <c r="G211" s="3" t="str">
        <f>+G197</f>
        <v>June 2022 Event Cost</v>
      </c>
      <c r="H211" s="172"/>
      <c r="I211" s="172">
        <f t="array" ref="I211">IFERROR(INDEX('Detail inputs'!$B$3:$K$196,MATCH($B211&amp;$G211&amp;I$5,'Detail inputs'!$B$3:$B$196&amp;'Detail inputs'!$G$3:$G$196&amp;'Detail inputs'!$H$3:$H$196,0),MATCH(I$4,'Detail inputs'!$B$3:$K$3,0)),0)</f>
        <v>0</v>
      </c>
      <c r="J211" s="172">
        <f t="shared" ref="J211" si="129">IF(AND(H211="",I211=""),"",H211+I211*$F211/1000)</f>
        <v>0</v>
      </c>
      <c r="K211" s="191">
        <f>IFERROR(J211/J216,"")</f>
        <v>0</v>
      </c>
      <c r="L211" s="191"/>
      <c r="M211" s="191" t="str">
        <f t="shared" ref="M211" si="130">IF(OR(J211=0,Q211=""),"",Q211/J211-1)</f>
        <v/>
      </c>
      <c r="N211" s="188"/>
      <c r="O211" s="172"/>
      <c r="P211" s="172">
        <f t="array" ref="P211">IFERROR(INDEX('Detail inputs'!$B$3:$K$196,MATCH($B211&amp;$G211&amp;P$5,'Detail inputs'!$B$3:$B$196&amp;'Detail inputs'!$G$3:$G$196&amp;'Detail inputs'!$H$3:$H$196,0),MATCH(P$4,'Detail inputs'!$B$3:$K$3,0)),0)</f>
        <v>0.67</v>
      </c>
      <c r="Q211" s="172">
        <f t="shared" ref="Q211" si="131">IF(AND(O211="",P211=""),"",O211+P211*$F211/1000)</f>
        <v>1.206</v>
      </c>
      <c r="R211" s="191">
        <f>IFERROR(Q211/Q216,"")</f>
        <v>1.069501644159244E-3</v>
      </c>
    </row>
    <row r="212" spans="2:18" outlineLevel="1" x14ac:dyDescent="0.25">
      <c r="B212" s="3" t="str">
        <f t="shared" si="125"/>
        <v>SAPN</v>
      </c>
      <c r="C212" s="3" t="str">
        <f t="shared" si="123"/>
        <v>Residential</v>
      </c>
      <c r="D212" s="3" t="str">
        <f t="shared" si="124"/>
        <v>with CL</v>
      </c>
      <c r="E212" s="3" t="s">
        <v>16</v>
      </c>
      <c r="F212" s="175">
        <f t="array" ref="F212">IFERROR(INDEX(Usage!$B$5:$P$18,MATCH($B212,Usage!$B$5:$B$18,0),MATCH($C212&amp;$D212&amp;$E212,Usage!$B$5:$S$5&amp;Usage!$B$6:$S$6&amp;Usage!$B$7:$S$7,0)),0)</f>
        <v>1800</v>
      </c>
      <c r="G212" s="3" t="s">
        <v>155</v>
      </c>
      <c r="H212" s="172"/>
      <c r="I212" s="172">
        <f t="array" ref="I212">IFERROR(INDEX('Detail inputs'!$B$3:$K$196,MATCH($B212&amp;$G212&amp;I$5,'Detail inputs'!$B$3:$B$196&amp;'Detail inputs'!$G$3:$G$196&amp;'Detail inputs'!$H$3:$H$196,0),MATCH(I$4,'Detail inputs'!$B$3:$K$3,0)),0)</f>
        <v>4.2300000000000004</v>
      </c>
      <c r="J212" s="172">
        <f t="shared" si="127"/>
        <v>7.6140000000000008</v>
      </c>
      <c r="K212" s="191">
        <f>IFERROR(J212/J215,"")</f>
        <v>5.7535364526659416E-2</v>
      </c>
      <c r="L212" s="191"/>
      <c r="M212" s="191">
        <f t="shared" si="126"/>
        <v>3.3096926713947816E-2</v>
      </c>
      <c r="N212" s="188"/>
      <c r="O212" s="172"/>
      <c r="P212" s="172">
        <f t="array" ref="P212">IFERROR(INDEX('Detail inputs'!$B$3:$K$196,MATCH($B212&amp;$G212&amp;P$5,'Detail inputs'!$B$3:$B$196&amp;'Detail inputs'!$G$3:$G$196&amp;'Detail inputs'!$H$3:$H$196,0),MATCH(P$4,'Detail inputs'!$B$3:$K$3,0)),0)</f>
        <v>4.37</v>
      </c>
      <c r="Q212" s="172">
        <f>IF(AND(O212="",P212=""),"",O212+P212*$F212/1000)</f>
        <v>7.8659999999999997</v>
      </c>
      <c r="R212" s="191">
        <f>IFERROR(Q212/Q215,"")</f>
        <v>4.1468969443917252E-2</v>
      </c>
    </row>
    <row r="213" spans="2:18" outlineLevel="1" x14ac:dyDescent="0.25">
      <c r="B213" s="3" t="str">
        <f t="shared" si="125"/>
        <v>SAPN</v>
      </c>
      <c r="C213" s="3" t="str">
        <f t="shared" si="123"/>
        <v>Residential</v>
      </c>
      <c r="D213" s="3" t="str">
        <f t="shared" si="124"/>
        <v>with CL</v>
      </c>
      <c r="E213" s="3" t="s">
        <v>16</v>
      </c>
      <c r="F213" s="175">
        <f t="array" ref="F213">IFERROR(INDEX(Usage!$B$5:$P$18,MATCH($B213,Usage!$B$5:$B$18,0),MATCH($C213&amp;$D213&amp;$E213,Usage!$B$5:$S$5&amp;Usage!$B$6:$S$6&amp;Usage!$B$7:$S$7,0)),0)</f>
        <v>1800</v>
      </c>
      <c r="G213" s="3" t="s">
        <v>200</v>
      </c>
      <c r="H213" s="172"/>
      <c r="I213" s="172">
        <f t="array" ref="I213">IFERROR(INDEX('Detail inputs'!$B$3:$K$196,MATCH($B213&amp;$G213&amp;I$5,'Detail inputs'!$B$3:$B$196&amp;'Detail inputs'!$G$3:$G$196&amp;'Detail inputs'!$H$3:$H$196,0),MATCH(I$4,'Detail inputs'!$B$3:$K$3,0)),0)</f>
        <v>7.03</v>
      </c>
      <c r="J213" s="172">
        <f t="shared" ref="J213" si="132">IF(AND(H213="",I213=""),"",H213+I213*$F213/1000)</f>
        <v>12.654</v>
      </c>
      <c r="K213" s="191">
        <f>IFERROR(J213/J215,"")</f>
        <v>9.5620239390641987E-2</v>
      </c>
      <c r="L213" s="191"/>
      <c r="M213" s="191">
        <f t="shared" ref="M213" si="133">IF(OR(J213=0,Q213=""),"",Q213/J213-1)</f>
        <v>-0.19061166429587473</v>
      </c>
      <c r="N213" s="188"/>
      <c r="O213" s="172"/>
      <c r="P213" s="172">
        <f t="array" ref="P213">IFERROR(INDEX('Detail inputs'!$B$3:$K$196,MATCH($B213&amp;$G213&amp;P$5,'Detail inputs'!$B$3:$B$196&amp;'Detail inputs'!$G$3:$G$196&amp;'Detail inputs'!$H$3:$H$196,0),MATCH(P$4,'Detail inputs'!$B$3:$K$3,0)),0)</f>
        <v>5.69</v>
      </c>
      <c r="Q213" s="172">
        <f t="shared" ref="Q213" si="134">IF(AND(O213="",P213=""),"",O213+P213*$F213/1000)</f>
        <v>10.242000000000001</v>
      </c>
      <c r="R213" s="191">
        <f>IFERROR(Q213/Q215,"")</f>
        <v>5.3995065477320178E-2</v>
      </c>
    </row>
    <row r="214" spans="2:18" outlineLevel="1" x14ac:dyDescent="0.25">
      <c r="B214" s="3" t="str">
        <f t="shared" si="125"/>
        <v>SAPN</v>
      </c>
      <c r="C214" s="3" t="str">
        <f t="shared" si="123"/>
        <v>Residential</v>
      </c>
      <c r="D214" s="3" t="str">
        <f t="shared" si="124"/>
        <v>with CL</v>
      </c>
      <c r="E214" s="3" t="s">
        <v>16</v>
      </c>
      <c r="F214" s="175">
        <f t="array" ref="F214">IFERROR(INDEX(Usage!$B$5:$P$18,MATCH($B214,Usage!$B$5:$B$18,0),MATCH($C214&amp;$D214&amp;$E214,Usage!$B$5:$S$5&amp;Usage!$B$6:$S$6&amp;Usage!$B$7:$S$7,0)),0)</f>
        <v>1800</v>
      </c>
      <c r="G214" s="3" t="s">
        <v>79</v>
      </c>
      <c r="H214" s="172"/>
      <c r="I214" s="172" cm="1">
        <f t="array" ref="I214">ROUND(IFERROR(INDEX('Detail inputs'!$B$3:$K$196,MATCH($B214&amp;$C214&amp;$E214&amp;$G214&amp;I$5,'Detail inputs'!$B$3:$B$196&amp;'Detail inputs'!$D$3:$D$196&amp;'Detail inputs'!$F$3:$F$196&amp;'Detail inputs'!$G$3:$G$196&amp;'Detail inputs'!$H$3:$H$196,0),MATCH(I$4,'Detail inputs'!$B$3:$K$3,0)),0)*SUM(I207:I213), 2)</f>
        <v>6.68</v>
      </c>
      <c r="J214" s="172">
        <f t="shared" si="127"/>
        <v>12.023999999999999</v>
      </c>
      <c r="K214" s="191">
        <f>IFERROR(J214/J215,"")</f>
        <v>9.0859630032644162E-2</v>
      </c>
      <c r="L214" s="191"/>
      <c r="M214" s="191">
        <f t="shared" si="126"/>
        <v>0.42065868263473072</v>
      </c>
      <c r="N214" s="188"/>
      <c r="O214" s="172"/>
      <c r="P214" s="172" cm="1">
        <f t="array" ref="P214">ROUND(IFERROR(INDEX('Detail inputs'!$B$3:$K$196,MATCH($B214&amp;$C214&amp;$E214&amp;$G214&amp;P$5,'Detail inputs'!$B$3:$B$196&amp;'Detail inputs'!$D$3:$D$196&amp;'Detail inputs'!$F$3:$F$196&amp;'Detail inputs'!$G$3:$G$196&amp;'Detail inputs'!$H$3:$H$196,0),MATCH(P$4,'Detail inputs'!$B$3:$K$3,0)),0)*SUM(P207:P213), 2)</f>
        <v>9.49</v>
      </c>
      <c r="Q214" s="172">
        <f t="shared" si="128"/>
        <v>17.082000000000001</v>
      </c>
      <c r="R214" s="191">
        <f>IFERROR(Q214/Q215,"")</f>
        <v>9.0055038906813448E-2</v>
      </c>
    </row>
    <row r="215" spans="2:18" outlineLevel="1" x14ac:dyDescent="0.25">
      <c r="B215" s="3" t="str">
        <f t="shared" si="125"/>
        <v>SAPN</v>
      </c>
      <c r="C215" s="3" t="str">
        <f t="shared" si="123"/>
        <v>Residential</v>
      </c>
      <c r="D215" s="3" t="str">
        <f t="shared" si="124"/>
        <v>with CL</v>
      </c>
      <c r="E215" s="3" t="s">
        <v>16</v>
      </c>
      <c r="F215" s="175">
        <f t="array" ref="F215">IFERROR(INDEX(Usage!$B$5:$P$18,MATCH($B215,Usage!$B$5:$B$18,0),MATCH($C215&amp;$D215&amp;$E215,Usage!$B$5:$S$5&amp;Usage!$B$6:$S$6&amp;Usage!$B$7:$S$7,0)),0)</f>
        <v>1800</v>
      </c>
      <c r="G215" s="3" t="s">
        <v>61</v>
      </c>
      <c r="H215" s="172"/>
      <c r="I215" s="172">
        <f t="array" ref="I215">INDEX('Key inputs'!$B$17:$N$41,MATCH($B215&amp;$C215&amp;$E215,'Key inputs'!$B$17:$B$41&amp;'Key inputs'!$C$17:$C$41&amp;'Key inputs'!$D$17:$D$41,0),MATCH($A$2&amp;I$4,'Key inputs'!$B$18:$N$18&amp;'Key inputs'!$B$19:$N$19,0))</f>
        <v>73.52</v>
      </c>
      <c r="J215" s="172">
        <f t="shared" si="127"/>
        <v>132.33600000000001</v>
      </c>
      <c r="K215" s="192"/>
      <c r="L215" s="199"/>
      <c r="M215" s="192">
        <f t="shared" si="126"/>
        <v>0.43335146898803023</v>
      </c>
      <c r="N215" s="197"/>
      <c r="O215" s="172"/>
      <c r="P215" s="172">
        <f t="array" ref="P215">INDEX('Key inputs'!$B$17:$N$41,MATCH($B215&amp;$C215&amp;$E215,'Key inputs'!$B$17:$B$41&amp;'Key inputs'!$C$17:$C$41&amp;'Key inputs'!$D$17:$D$41,0),MATCH($A$2&amp;P$4,'Key inputs'!$B$18:$N$18&amp;'Key inputs'!$B$19:$N$19,0))</f>
        <v>105.38</v>
      </c>
      <c r="Q215" s="172">
        <f t="shared" si="128"/>
        <v>189.684</v>
      </c>
      <c r="R215" s="192"/>
    </row>
    <row r="216" spans="2:18" x14ac:dyDescent="0.25">
      <c r="B216" s="3" t="str">
        <f t="shared" si="125"/>
        <v>SAPN</v>
      </c>
      <c r="C216" s="3" t="str">
        <f t="shared" si="123"/>
        <v>Residential</v>
      </c>
      <c r="D216" s="3" t="str">
        <f t="shared" si="124"/>
        <v>with CL</v>
      </c>
      <c r="E216" s="3" t="s">
        <v>61</v>
      </c>
      <c r="F216" s="175">
        <f t="array" ref="F216">IFERROR(INDEX(Usage!$B$5:$P$18,MATCH($B216,Usage!$B$5:$B$18,0),MATCH($C216&amp;$D216&amp;$E216,Usage!$B$5:$S$5&amp;Usage!$B$6:$S$6&amp;Usage!$B$7:$S$7,0)),0)</f>
        <v>6000</v>
      </c>
      <c r="G216" s="3" t="s">
        <v>61</v>
      </c>
      <c r="H216" s="172"/>
      <c r="I216" s="172">
        <f>I206+I215</f>
        <v>208.05</v>
      </c>
      <c r="J216" s="172">
        <f>J206+J215</f>
        <v>697.36199999999997</v>
      </c>
      <c r="K216" s="192"/>
      <c r="L216" s="199"/>
      <c r="M216" s="192">
        <f t="shared" si="126"/>
        <v>0.61699088851987915</v>
      </c>
      <c r="N216" s="197"/>
      <c r="O216" s="172"/>
      <c r="P216" s="172">
        <f>P206+P215</f>
        <v>328.7</v>
      </c>
      <c r="Q216" s="172">
        <f>Q206+Q215</f>
        <v>1127.6279999999999</v>
      </c>
      <c r="R216" s="192"/>
    </row>
    <row r="217" spans="2:18" outlineLevel="1" x14ac:dyDescent="0.25">
      <c r="B217" s="3" t="str">
        <f t="shared" si="125"/>
        <v>SAPN</v>
      </c>
      <c r="C217" s="3" t="str">
        <f t="shared" si="123"/>
        <v>Residential</v>
      </c>
      <c r="D217" s="3" t="str">
        <f t="shared" si="124"/>
        <v>with CL</v>
      </c>
      <c r="F217" s="175"/>
      <c r="G217" s="3" t="s">
        <v>41</v>
      </c>
      <c r="H217" s="172"/>
      <c r="I217" s="172"/>
      <c r="J217" s="172">
        <f>J216*GST</f>
        <v>69.736199999999997</v>
      </c>
      <c r="K217" s="192"/>
      <c r="L217" s="199"/>
      <c r="M217" s="192"/>
      <c r="N217" s="197"/>
      <c r="O217" s="172"/>
      <c r="P217" s="172"/>
      <c r="Q217" s="172">
        <f>Q216*GST</f>
        <v>112.7628</v>
      </c>
      <c r="R217" s="192"/>
    </row>
    <row r="218" spans="2:18" x14ac:dyDescent="0.25">
      <c r="B218" s="3" t="str">
        <f t="shared" si="125"/>
        <v>SAPN</v>
      </c>
      <c r="C218" s="3" t="str">
        <f t="shared" si="123"/>
        <v>Residential</v>
      </c>
      <c r="D218" s="3" t="str">
        <f t="shared" si="124"/>
        <v>with CL</v>
      </c>
      <c r="F218" s="175"/>
      <c r="G218" s="5" t="s">
        <v>87</v>
      </c>
      <c r="H218" s="174"/>
      <c r="I218" s="174"/>
      <c r="J218" s="174">
        <f>SUM(J216:J217)</f>
        <v>767.09819999999991</v>
      </c>
      <c r="K218" s="193"/>
      <c r="L218" s="200"/>
      <c r="M218" s="193">
        <f>IF(OR(J218=0,Q218=""),"",Q218/J218-1)</f>
        <v>0.61699088851987938</v>
      </c>
      <c r="N218" s="198"/>
      <c r="O218" s="174"/>
      <c r="P218" s="174"/>
      <c r="Q218" s="174">
        <f>SUM(Q216:Q217)</f>
        <v>1240.3907999999999</v>
      </c>
      <c r="R218" s="192"/>
    </row>
    <row r="219" spans="2:18" x14ac:dyDescent="0.25">
      <c r="F219" s="175"/>
      <c r="H219" s="172"/>
      <c r="I219" s="172"/>
      <c r="J219" s="172"/>
      <c r="K219" s="192"/>
      <c r="L219" s="199"/>
      <c r="M219" s="191"/>
      <c r="N219" s="197"/>
      <c r="O219" s="172"/>
      <c r="P219" s="172"/>
      <c r="Q219" s="172"/>
      <c r="R219" s="192"/>
    </row>
    <row r="220" spans="2:18" x14ac:dyDescent="0.25">
      <c r="B220" s="5" t="s">
        <v>5</v>
      </c>
      <c r="C220" s="5" t="s">
        <v>15</v>
      </c>
      <c r="D220" s="5" t="s">
        <v>146</v>
      </c>
      <c r="F220" s="175"/>
      <c r="H220" s="172"/>
      <c r="I220" s="172"/>
      <c r="J220" s="172"/>
      <c r="K220" s="192"/>
      <c r="L220" s="199"/>
      <c r="M220" s="191"/>
      <c r="N220" s="197"/>
      <c r="O220" s="172"/>
      <c r="P220" s="172"/>
      <c r="Q220" s="172"/>
      <c r="R220" s="192"/>
    </row>
    <row r="221" spans="2:18" outlineLevel="1" x14ac:dyDescent="0.25">
      <c r="B221" s="3" t="str">
        <f>B220</f>
        <v>SAPN</v>
      </c>
      <c r="C221" s="3" t="str">
        <f t="shared" ref="C221:C231" si="135">C220</f>
        <v>Small business</v>
      </c>
      <c r="D221" s="3" t="str">
        <f t="shared" ref="D221:D231" si="136">D220</f>
        <v>without CL</v>
      </c>
      <c r="E221" s="3" t="s">
        <v>22</v>
      </c>
      <c r="F221" s="175">
        <f t="array" ref="F221">IFERROR(INDEX(Usage!$B$5:$P$18,MATCH($B221,Usage!$B$5:$B$18,0),MATCH($C221&amp;$D221&amp;$E221,Usage!$B$5:$S$5&amp;Usage!$B$6:$S$6&amp;Usage!$B$7:$S$7,0)),0)</f>
        <v>10000</v>
      </c>
      <c r="G221" s="3" t="s">
        <v>76</v>
      </c>
      <c r="H221" s="172"/>
      <c r="I221" s="172">
        <f t="array" ref="I221">IFERROR(INDEX('Detail inputs'!$B$3:$K$196,MATCH($B221&amp;$C221&amp;$E221&amp;$G221&amp;I$5,'Detail inputs'!$B$3:$B$196&amp;'Detail inputs'!$D$3:$D$196&amp;'Detail inputs'!$F$3:$F$196&amp;'Detail inputs'!$G$3:$G$196&amp;'Detail inputs'!$H$3:$H$196,0),MATCH(I$4,'Detail inputs'!$B$3:$K$3,0)),0)</f>
        <v>109.46</v>
      </c>
      <c r="J221" s="172">
        <f>IF(AND(H221="",I221=""),"",H221+I221*$F221/1000)</f>
        <v>1094.5999999999999</v>
      </c>
      <c r="K221" s="191">
        <f>IFERROR(J221/J229,"")</f>
        <v>0.81364751356574738</v>
      </c>
      <c r="L221" s="191"/>
      <c r="M221" s="191">
        <f t="shared" ref="M221:M229" si="137">IF(OR(J221=0,Q221=""),"",Q221/J221-1)</f>
        <v>0.72921615201900258</v>
      </c>
      <c r="N221" s="188"/>
      <c r="O221" s="172"/>
      <c r="P221" s="172" cm="1">
        <f t="array" ref="P221">IFERROR(INDEX('Detail inputs'!$B$3:$K$196,MATCH($B221&amp;$C221&amp;$E221&amp;$G221&amp;P$5,'Detail inputs'!$B$3:$B$196&amp;'Detail inputs'!$D$3:$D$196&amp;'Detail inputs'!$F$3:$F$196&amp;'Detail inputs'!$G$3:$G$196&amp;'Detail inputs'!$H$3:$H$196,0),MATCH(P$4,'Detail inputs'!$B$3:$K$3,0)),0)</f>
        <v>189.28</v>
      </c>
      <c r="Q221" s="172">
        <f>IF(AND(O221="",P221=""),"",O221+P221*$F221/1000)</f>
        <v>1892.8</v>
      </c>
      <c r="R221" s="191">
        <f>IFERROR(Q221/Q229,"")</f>
        <v>0.84757298943220494</v>
      </c>
    </row>
    <row r="222" spans="2:18" outlineLevel="1" x14ac:dyDescent="0.25">
      <c r="B222" s="3" t="str">
        <f t="shared" ref="B222:B231" si="138">B221</f>
        <v>SAPN</v>
      </c>
      <c r="C222" s="3" t="str">
        <f t="shared" si="135"/>
        <v>Small business</v>
      </c>
      <c r="D222" s="3" t="str">
        <f t="shared" si="136"/>
        <v>without CL</v>
      </c>
      <c r="E222" s="3" t="s">
        <v>22</v>
      </c>
      <c r="F222" s="175">
        <f t="array" ref="F222">IFERROR(INDEX(Usage!$B$5:$P$18,MATCH($B222,Usage!$B$5:$B$18,0),MATCH($C222&amp;$D222&amp;$E222,Usage!$B$5:$S$5&amp;Usage!$B$6:$S$6&amp;Usage!$B$7:$S$7,0)),0)</f>
        <v>10000</v>
      </c>
      <c r="G222" s="3" t="s">
        <v>77</v>
      </c>
      <c r="H222" s="172"/>
      <c r="I222" s="172">
        <f t="array" ref="I222">IFERROR(INDEX('Detail inputs'!$B$3:$K$196,MATCH($B222&amp;$G222&amp;I$5,'Detail inputs'!$B$3:$B$196&amp;'Detail inputs'!$G$3:$G$196&amp;'Detail inputs'!$H$3:$H$196,0),MATCH(I$4,'Detail inputs'!$B$3:$K$3,0)),0)</f>
        <v>0.48</v>
      </c>
      <c r="J222" s="172">
        <f t="shared" ref="J222:J229" si="139">IF(AND(H222="",I222=""),"",H222+I222*$F222/1000)</f>
        <v>4.8</v>
      </c>
      <c r="K222" s="191">
        <f>IFERROR(J222/J229,"")</f>
        <v>3.567977402809782E-3</v>
      </c>
      <c r="L222" s="191"/>
      <c r="M222" s="191">
        <f t="shared" si="137"/>
        <v>3.25</v>
      </c>
      <c r="N222" s="188"/>
      <c r="O222" s="172"/>
      <c r="P222" s="172">
        <f t="array" ref="P222">IFERROR(INDEX('Detail inputs'!$B$3:$K$196,MATCH($B222&amp;$G222&amp;P$5,'Detail inputs'!$B$3:$B$196&amp;'Detail inputs'!$G$3:$G$196&amp;'Detail inputs'!$H$3:$H$196,0),MATCH(P$4,'Detail inputs'!$B$3:$K$3,0)),0)</f>
        <v>2.04</v>
      </c>
      <c r="Q222" s="172">
        <f t="shared" ref="Q222:Q229" si="140">IF(AND(O222="",P222=""),"",O222+P222*$F222/1000)</f>
        <v>20.399999999999999</v>
      </c>
      <c r="R222" s="191">
        <f>IFERROR(Q222/Q229,"")</f>
        <v>9.134873723804407E-3</v>
      </c>
    </row>
    <row r="223" spans="2:18" outlineLevel="1" x14ac:dyDescent="0.25">
      <c r="B223" s="3" t="str">
        <f t="shared" si="138"/>
        <v>SAPN</v>
      </c>
      <c r="C223" s="3" t="str">
        <f t="shared" si="135"/>
        <v>Small business</v>
      </c>
      <c r="D223" s="3" t="str">
        <f t="shared" si="136"/>
        <v>without CL</v>
      </c>
      <c r="E223" s="3" t="s">
        <v>22</v>
      </c>
      <c r="F223" s="175">
        <f t="array" ref="F223">IFERROR(INDEX(Usage!$B$5:$P$18,MATCH($B223,Usage!$B$5:$B$18,0),MATCH($C223&amp;$D223&amp;$E223,Usage!$B$5:$S$5&amp;Usage!$B$6:$S$6&amp;Usage!$B$7:$S$7,0)),0)</f>
        <v>10000</v>
      </c>
      <c r="G223" s="3" t="s">
        <v>85</v>
      </c>
      <c r="H223" s="172"/>
      <c r="I223" s="172">
        <f t="array" ref="I223">IFERROR(INDEX('Detail inputs'!$B$3:$K$196,MATCH($B223&amp;$G223&amp;I$5,'Detail inputs'!$B$3:$B$196&amp;'Detail inputs'!$G$3:$G$196&amp;'Detail inputs'!$H$3:$H$196,0),MATCH(I$4,'Detail inputs'!$B$3:$K$3,0)),0)</f>
        <v>1.1000000000000001</v>
      </c>
      <c r="J223" s="172">
        <f>IF(AND(H223="",I223=""),"",H223+I223*$F223/1000)</f>
        <v>11</v>
      </c>
      <c r="K223" s="191">
        <f>IFERROR(J223/J229,"")</f>
        <v>8.1766148814390836E-3</v>
      </c>
      <c r="L223" s="191"/>
      <c r="M223" s="191">
        <f t="shared" si="137"/>
        <v>4.5454545454545414E-2</v>
      </c>
      <c r="N223" s="188"/>
      <c r="O223" s="172"/>
      <c r="P223" s="172">
        <f t="array" ref="P223">IFERROR(INDEX('Detail inputs'!$B$3:$K$196,MATCH($B223&amp;$G223&amp;P$5,'Detail inputs'!$B$3:$B$196&amp;'Detail inputs'!$G$3:$G$196&amp;'Detail inputs'!$H$3:$H$196,0),MATCH(P$4,'Detail inputs'!$B$3:$K$3,0)),0)</f>
        <v>1.1499999999999999</v>
      </c>
      <c r="Q223" s="172">
        <f>IF(AND(O223="",P223=""),"",O223+P223*$F223/1000)</f>
        <v>11.5</v>
      </c>
      <c r="R223" s="191">
        <f>IFERROR(Q223/Q229,"")</f>
        <v>5.1495611678309154E-3</v>
      </c>
    </row>
    <row r="224" spans="2:18" outlineLevel="1" x14ac:dyDescent="0.25">
      <c r="B224" s="3" t="str">
        <f t="shared" si="138"/>
        <v>SAPN</v>
      </c>
      <c r="C224" s="3" t="str">
        <f t="shared" si="135"/>
        <v>Small business</v>
      </c>
      <c r="D224" s="3" t="str">
        <f t="shared" si="136"/>
        <v>without CL</v>
      </c>
      <c r="E224" s="3" t="s">
        <v>22</v>
      </c>
      <c r="F224" s="175">
        <f t="array" ref="F224">IFERROR(INDEX(Usage!$B$5:$P$18,MATCH($B224,Usage!$B$5:$B$18,0),MATCH($C224&amp;$D224&amp;$E224,Usage!$B$5:$S$5&amp;Usage!$B$6:$S$6&amp;Usage!$B$7:$S$7,0)),0)</f>
        <v>10000</v>
      </c>
      <c r="G224" s="3" t="s">
        <v>78</v>
      </c>
      <c r="H224" s="172"/>
      <c r="I224" s="172">
        <f t="array" ref="I224">IFERROR(INDEX('Detail inputs'!$B$3:$K$196,MATCH($B224&amp;$G224&amp;I$5,'Detail inputs'!$B$3:$B$196&amp;'Detail inputs'!$G$3:$G$196&amp;'Detail inputs'!$H$3:$H$196,0),MATCH(I$4,'Detail inputs'!$B$3:$K$3,0)),0)</f>
        <v>0</v>
      </c>
      <c r="J224" s="172">
        <f t="shared" si="139"/>
        <v>0</v>
      </c>
      <c r="K224" s="191">
        <f>IFERROR(J224/J229,"")</f>
        <v>0</v>
      </c>
      <c r="L224" s="191"/>
      <c r="M224" s="191" t="str">
        <f t="shared" si="137"/>
        <v/>
      </c>
      <c r="N224" s="188"/>
      <c r="O224" s="172"/>
      <c r="P224" s="172">
        <f t="array" ref="P224">IFERROR(INDEX('Detail inputs'!$B$3:$K$196,MATCH($B224&amp;$G224&amp;P$5,'Detail inputs'!$B$3:$B$196&amp;'Detail inputs'!$G$3:$G$196&amp;'Detail inputs'!$H$3:$H$196,0),MATCH(P$4,'Detail inputs'!$B$3:$K$3,0)),0)</f>
        <v>0</v>
      </c>
      <c r="Q224" s="172">
        <f t="shared" si="140"/>
        <v>0</v>
      </c>
      <c r="R224" s="191">
        <f>IFERROR(Q224/Q229,"")</f>
        <v>0</v>
      </c>
    </row>
    <row r="225" spans="2:19" outlineLevel="1" x14ac:dyDescent="0.25">
      <c r="B225" s="3" t="str">
        <f t="shared" si="138"/>
        <v>SAPN</v>
      </c>
      <c r="C225" s="3" t="str">
        <f t="shared" si="135"/>
        <v>Small business</v>
      </c>
      <c r="D225" s="3" t="str">
        <f t="shared" si="136"/>
        <v>without CL</v>
      </c>
      <c r="E225" s="3" t="s">
        <v>22</v>
      </c>
      <c r="F225" s="175">
        <f t="array" ref="F225">IFERROR(INDEX(Usage!$B$5:$P$18,MATCH($B225,Usage!$B$5:$B$18,0),MATCH($C225&amp;$D225&amp;$E225,Usage!$B$5:$S$5&amp;Usage!$B$6:$S$6&amp;Usage!$B$7:$S$7,0)),0)</f>
        <v>10000</v>
      </c>
      <c r="G225" s="3" t="str">
        <f>+G211</f>
        <v>June 2022 Event Cost</v>
      </c>
      <c r="H225" s="172"/>
      <c r="I225" s="172">
        <f t="array" ref="I225">IFERROR(INDEX('Detail inputs'!$B$3:$K$196,MATCH($B225&amp;$G225&amp;I$5,'Detail inputs'!$B$3:$B$196&amp;'Detail inputs'!$G$3:$G$196&amp;'Detail inputs'!$H$3:$H$196,0),MATCH(I$4,'Detail inputs'!$B$3:$K$3,0)),0)</f>
        <v>0</v>
      </c>
      <c r="J225" s="172">
        <f t="shared" ref="J225" si="141">IF(AND(H225="",I225=""),"",H225+I225*$F225/1000)</f>
        <v>0</v>
      </c>
      <c r="K225" s="191">
        <f>IFERROR(J225/J230,"")</f>
        <v>0</v>
      </c>
      <c r="L225" s="191"/>
      <c r="M225" s="191" t="str">
        <f t="shared" ref="M225" si="142">IF(OR(J225=0,Q225=""),"",Q225/J225-1)</f>
        <v/>
      </c>
      <c r="N225" s="188"/>
      <c r="O225" s="172"/>
      <c r="P225" s="172">
        <f t="array" ref="P225">IFERROR(INDEX('Detail inputs'!$B$3:$K$196,MATCH($B225&amp;$G225&amp;P$5,'Detail inputs'!$B$3:$B$196&amp;'Detail inputs'!$G$3:$G$196&amp;'Detail inputs'!$H$3:$H$196,0),MATCH(P$4,'Detail inputs'!$B$3:$K$3,0)),0)</f>
        <v>0.67</v>
      </c>
      <c r="Q225" s="172">
        <f t="shared" ref="Q225" si="143">IF(AND(O225="",P225=""),"",O225+P225*$F225/1000)</f>
        <v>6.7</v>
      </c>
      <c r="R225" s="191">
        <f>IFERROR(Q225/Q230,"")</f>
        <v>3.000179115171055E-2</v>
      </c>
    </row>
    <row r="226" spans="2:19" outlineLevel="1" x14ac:dyDescent="0.25">
      <c r="B226" s="3" t="str">
        <f>B224</f>
        <v>SAPN</v>
      </c>
      <c r="C226" s="3" t="str">
        <f>C224</f>
        <v>Small business</v>
      </c>
      <c r="D226" s="3" t="str">
        <f>D224</f>
        <v>without CL</v>
      </c>
      <c r="E226" s="3" t="s">
        <v>22</v>
      </c>
      <c r="F226" s="175">
        <f t="array" ref="F226">IFERROR(INDEX(Usage!$B$5:$P$18,MATCH($B226,Usage!$B$5:$B$18,0),MATCH($C226&amp;$D226&amp;$E226,Usage!$B$5:$S$5&amp;Usage!$B$6:$S$6&amp;Usage!$B$7:$S$7,0)),0)</f>
        <v>10000</v>
      </c>
      <c r="G226" s="3" t="s">
        <v>155</v>
      </c>
      <c r="H226" s="172"/>
      <c r="I226" s="172">
        <f t="array" ref="I226">IFERROR(INDEX('Detail inputs'!$B$3:$K$196,MATCH($B226&amp;$G226&amp;I$5,'Detail inputs'!$B$3:$B$196&amp;'Detail inputs'!$G$3:$G$196&amp;'Detail inputs'!$H$3:$H$196,0),MATCH(I$4,'Detail inputs'!$B$3:$K$3,0)),0)</f>
        <v>4.2300000000000004</v>
      </c>
      <c r="J226" s="172">
        <f t="shared" si="139"/>
        <v>42.300000000000004</v>
      </c>
      <c r="K226" s="191">
        <f>IFERROR(J226/J229,"")</f>
        <v>3.1442800862261207E-2</v>
      </c>
      <c r="L226" s="191"/>
      <c r="M226" s="191">
        <f t="shared" si="137"/>
        <v>3.3096926713948038E-2</v>
      </c>
      <c r="N226" s="188"/>
      <c r="O226" s="172"/>
      <c r="P226" s="172">
        <f t="array" ref="P226">IFERROR(INDEX('Detail inputs'!$B$3:$K$196,MATCH($B226&amp;$G226&amp;P$5,'Detail inputs'!$B$3:$B$196&amp;'Detail inputs'!$G$3:$G$196&amp;'Detail inputs'!$H$3:$H$196,0),MATCH(P$4,'Detail inputs'!$B$3:$K$3,0)),0)</f>
        <v>4.37</v>
      </c>
      <c r="Q226" s="172">
        <f t="shared" si="140"/>
        <v>43.7</v>
      </c>
      <c r="R226" s="191">
        <f>IFERROR(Q226/Q229,"")</f>
        <v>1.956833243775748E-2</v>
      </c>
    </row>
    <row r="227" spans="2:19" outlineLevel="1" x14ac:dyDescent="0.25">
      <c r="B227" s="3" t="str">
        <f t="shared" si="138"/>
        <v>SAPN</v>
      </c>
      <c r="C227" s="3" t="str">
        <f t="shared" si="135"/>
        <v>Small business</v>
      </c>
      <c r="D227" s="3" t="str">
        <f t="shared" si="136"/>
        <v>without CL</v>
      </c>
      <c r="E227" s="3" t="s">
        <v>22</v>
      </c>
      <c r="F227" s="175">
        <f t="array" ref="F227">IFERROR(INDEX(Usage!$B$5:$P$18,MATCH($B227,Usage!$B$5:$B$18,0),MATCH($C227&amp;$D227&amp;$E227,Usage!$B$5:$S$5&amp;Usage!$B$6:$S$6&amp;Usage!$B$7:$S$7,0)),0)</f>
        <v>10000</v>
      </c>
      <c r="G227" s="3" t="s">
        <v>200</v>
      </c>
      <c r="H227" s="172"/>
      <c r="I227" s="172">
        <f t="array" ref="I227">IFERROR(INDEX('Detail inputs'!$B$3:$K$196,MATCH($B227&amp;$G227&amp;I$5,'Detail inputs'!$B$3:$B$196&amp;'Detail inputs'!$G$3:$G$196&amp;'Detail inputs'!$H$3:$H$196,0),MATCH(I$4,'Detail inputs'!$B$3:$K$3,0)),0)</f>
        <v>7.03</v>
      </c>
      <c r="J227" s="172">
        <f t="shared" ref="J227" si="144">IF(AND(H227="",I227=""),"",H227+I227*$F227/1000)</f>
        <v>70.3</v>
      </c>
      <c r="K227" s="191">
        <f>IFERROR(J227/J229,"")</f>
        <v>5.2256002378651599E-2</v>
      </c>
      <c r="L227" s="191"/>
      <c r="M227" s="191">
        <f t="shared" ref="M227" si="145">IF(OR(J227=0,Q227=""),"",Q227/J227-1)</f>
        <v>-0.19061166429587473</v>
      </c>
      <c r="N227" s="188"/>
      <c r="O227" s="172"/>
      <c r="P227" s="172">
        <f t="array" ref="P227">IFERROR(INDEX('Detail inputs'!$B$3:$K$196,MATCH($B227&amp;$G227&amp;P$5,'Detail inputs'!$B$3:$B$196&amp;'Detail inputs'!$G$3:$G$196&amp;'Detail inputs'!$H$3:$H$196,0),MATCH(P$4,'Detail inputs'!$B$3:$K$3,0)),0)</f>
        <v>5.69</v>
      </c>
      <c r="Q227" s="172">
        <f t="shared" ref="Q227" si="146">IF(AND(O227="",P227=""),"",O227+P227*$F227/1000)</f>
        <v>56.900000000000006</v>
      </c>
      <c r="R227" s="191">
        <f>IFERROR(Q227/Q229,"")</f>
        <v>2.5479133082572099E-2</v>
      </c>
    </row>
    <row r="228" spans="2:19" outlineLevel="1" x14ac:dyDescent="0.25">
      <c r="B228" s="3" t="str">
        <f t="shared" si="138"/>
        <v>SAPN</v>
      </c>
      <c r="C228" s="3" t="str">
        <f t="shared" si="135"/>
        <v>Small business</v>
      </c>
      <c r="D228" s="3" t="str">
        <f t="shared" si="136"/>
        <v>without CL</v>
      </c>
      <c r="E228" s="3" t="s">
        <v>22</v>
      </c>
      <c r="F228" s="175">
        <f t="array" ref="F228">IFERROR(INDEX(Usage!$B$5:$P$18,MATCH($B228,Usage!$B$5:$B$18,0),MATCH($C228&amp;$D228&amp;$E228,Usage!$B$5:$S$5&amp;Usage!$B$6:$S$6&amp;Usage!$B$7:$S$7,0)),0)</f>
        <v>10000</v>
      </c>
      <c r="G228" s="3" t="s">
        <v>79</v>
      </c>
      <c r="H228" s="172"/>
      <c r="I228" s="172" cm="1">
        <f t="array" ref="I228">ROUND(IFERROR(INDEX('Detail inputs'!$B$3:$K$196,MATCH($B228&amp;$C228&amp;$E228&amp;$G228&amp;I$5,'Detail inputs'!$B$3:$B$196&amp;'Detail inputs'!$D$3:$D$196&amp;'Detail inputs'!$F$3:$F$196&amp;'Detail inputs'!$G$3:$G$196&amp;'Detail inputs'!$H$3:$H$196,0),MATCH(I$4,'Detail inputs'!$B$3:$K$3,0)),0)*SUM(I221:I227), 2)</f>
        <v>12.23</v>
      </c>
      <c r="J228" s="172">
        <f t="shared" si="139"/>
        <v>122.3</v>
      </c>
      <c r="K228" s="191">
        <f>IFERROR(J228/J229,"")</f>
        <v>9.0909090909090912E-2</v>
      </c>
      <c r="L228" s="191"/>
      <c r="M228" s="191">
        <f>IF(OR(J228=0,Q228=""),"",Q228/J228-1)</f>
        <v>0.64513491414554358</v>
      </c>
      <c r="N228" s="188"/>
      <c r="O228" s="172"/>
      <c r="P228" s="172" cm="1">
        <f t="array" ref="P228">ROUND(IFERROR(INDEX('Detail inputs'!$B$3:$K$196,MATCH($B228&amp;$C228&amp;$E228&amp;$G228&amp;P$5,'Detail inputs'!$B$3:$B$196&amp;'Detail inputs'!$D$3:$D$196&amp;'Detail inputs'!$F$3:$F$196&amp;'Detail inputs'!$G$3:$G$196&amp;'Detail inputs'!$H$3:$H$196,0),MATCH(P$4,'Detail inputs'!$B$3:$K$3,0)),0)*SUM(P221:P227), 2)</f>
        <v>20.12</v>
      </c>
      <c r="Q228" s="172">
        <f t="shared" si="140"/>
        <v>201.2</v>
      </c>
      <c r="R228" s="191">
        <f>IFERROR(Q228/Q229,"")</f>
        <v>9.0094931040659146E-2</v>
      </c>
      <c r="S228" s="90"/>
    </row>
    <row r="229" spans="2:19" x14ac:dyDescent="0.25">
      <c r="B229" s="3" t="str">
        <f t="shared" si="138"/>
        <v>SAPN</v>
      </c>
      <c r="C229" s="3" t="str">
        <f t="shared" si="135"/>
        <v>Small business</v>
      </c>
      <c r="D229" s="3" t="str">
        <f t="shared" si="136"/>
        <v>without CL</v>
      </c>
      <c r="E229" s="3" t="s">
        <v>22</v>
      </c>
      <c r="F229" s="175">
        <f t="array" ref="F229">IFERROR(INDEX(Usage!$B$5:$P$18,MATCH($B229,Usage!$B$5:$B$18,0),MATCH($C229&amp;$D229&amp;$E229,Usage!$B$5:$S$5&amp;Usage!$B$6:$S$6&amp;Usage!$B$7:$S$7,0)),0)</f>
        <v>10000</v>
      </c>
      <c r="G229" s="3" t="s">
        <v>61</v>
      </c>
      <c r="H229" s="172"/>
      <c r="I229" s="172">
        <f t="array" ref="I229">INDEX('Key inputs'!$B$17:$N$41,MATCH($B229&amp;$C229&amp;$E229,'Key inputs'!$B$17:$B$41&amp;'Key inputs'!$C$17:$C$41&amp;'Key inputs'!$D$17:$D$41,0),MATCH($A$2&amp;I$4,'Key inputs'!$B$18:$N$18&amp;'Key inputs'!$B$19:$N$19,0))</f>
        <v>134.53</v>
      </c>
      <c r="J229" s="172">
        <f t="shared" si="139"/>
        <v>1345.3</v>
      </c>
      <c r="K229" s="192"/>
      <c r="L229" s="199"/>
      <c r="M229" s="192">
        <f t="shared" si="137"/>
        <v>0.660001486657251</v>
      </c>
      <c r="N229" s="197"/>
      <c r="O229" s="172"/>
      <c r="P229" s="172">
        <f t="array" ref="P229">INDEX('Key inputs'!$B$17:$N$41,MATCH($B229&amp;$C229&amp;$E229,'Key inputs'!$B$17:$B$41&amp;'Key inputs'!$C$17:$C$41&amp;'Key inputs'!$D$17:$D$41,0),MATCH($A$2&amp;P$4,'Key inputs'!$B$18:$N$18&amp;'Key inputs'!$B$19:$N$19,0))</f>
        <v>223.32</v>
      </c>
      <c r="Q229" s="172">
        <f t="shared" si="140"/>
        <v>2233.1999999999998</v>
      </c>
      <c r="R229" s="192"/>
    </row>
    <row r="230" spans="2:19" outlineLevel="1" x14ac:dyDescent="0.25">
      <c r="B230" s="3" t="str">
        <f t="shared" si="138"/>
        <v>SAPN</v>
      </c>
      <c r="C230" s="3" t="str">
        <f t="shared" si="135"/>
        <v>Small business</v>
      </c>
      <c r="D230" s="3" t="str">
        <f t="shared" si="136"/>
        <v>without CL</v>
      </c>
      <c r="F230" s="197"/>
      <c r="G230" s="3" t="s">
        <v>41</v>
      </c>
      <c r="H230" s="172"/>
      <c r="I230" s="172"/>
      <c r="J230" s="172">
        <f>J229*GST</f>
        <v>134.53</v>
      </c>
      <c r="K230" s="192"/>
      <c r="L230" s="199"/>
      <c r="M230" s="192"/>
      <c r="N230" s="197"/>
      <c r="O230" s="172"/>
      <c r="P230" s="172"/>
      <c r="Q230" s="172">
        <f>Q229*GST</f>
        <v>223.32</v>
      </c>
      <c r="R230" s="191" t="str">
        <f>IFERROR(Q230/Q240,"")</f>
        <v/>
      </c>
    </row>
    <row r="231" spans="2:19" x14ac:dyDescent="0.25">
      <c r="B231" s="3" t="str">
        <f t="shared" si="138"/>
        <v>SAPN</v>
      </c>
      <c r="C231" s="3" t="str">
        <f t="shared" si="135"/>
        <v>Small business</v>
      </c>
      <c r="D231" s="3" t="str">
        <f t="shared" si="136"/>
        <v>without CL</v>
      </c>
      <c r="F231" s="197"/>
      <c r="G231" s="5" t="s">
        <v>87</v>
      </c>
      <c r="H231" s="174"/>
      <c r="I231" s="174"/>
      <c r="J231" s="174">
        <f>SUM(J229:J230)</f>
        <v>1479.83</v>
      </c>
      <c r="K231" s="193"/>
      <c r="L231" s="200"/>
      <c r="M231" s="193">
        <f>IF(OR(J231=0,Q231=""),"",Q231/J231-1)</f>
        <v>0.66000148665725122</v>
      </c>
      <c r="N231" s="198"/>
      <c r="O231" s="174"/>
      <c r="P231" s="174"/>
      <c r="Q231" s="174">
        <f>SUM(Q229:Q230)</f>
        <v>2456.52</v>
      </c>
      <c r="R231" s="191" t="str">
        <f>IFERROR(Q231/Q240,"")</f>
        <v/>
      </c>
    </row>
    <row r="232" spans="2:19" x14ac:dyDescent="0.25">
      <c r="F232" s="3"/>
      <c r="H232" s="3"/>
      <c r="I232" s="3"/>
      <c r="J232" s="3"/>
      <c r="K232" s="3" t="str">
        <f>IFERROR(J232/J240,"")</f>
        <v/>
      </c>
      <c r="L232" s="3"/>
      <c r="M232" s="3"/>
      <c r="N232" s="3"/>
      <c r="O232" s="3"/>
      <c r="P232" s="3"/>
      <c r="Q232" s="3"/>
      <c r="R232" s="3" t="str">
        <f>IFERROR(Q232/Q240,"")</f>
        <v/>
      </c>
    </row>
    <row r="233" spans="2:19" x14ac:dyDescent="0.25">
      <c r="F233" s="3"/>
      <c r="H233" s="3"/>
      <c r="I233" s="3"/>
      <c r="J233" s="3"/>
      <c r="K233" s="3" t="str">
        <f>IFERROR(J233/J240,"")</f>
        <v/>
      </c>
      <c r="L233" s="3"/>
      <c r="M233" s="3"/>
      <c r="N233" s="3"/>
      <c r="O233" s="3"/>
      <c r="P233" s="3"/>
      <c r="Q233" s="3"/>
      <c r="R233" s="3" t="str">
        <f>IFERROR(Q233/Q240,"")</f>
        <v/>
      </c>
    </row>
    <row r="234" spans="2:19" x14ac:dyDescent="0.25">
      <c r="F234" s="3"/>
      <c r="H234" s="3"/>
      <c r="I234" s="3"/>
      <c r="J234" s="3"/>
      <c r="K234" s="3" t="str">
        <f>IFERROR(J234/J240,"")</f>
        <v/>
      </c>
      <c r="L234" s="3"/>
      <c r="M234" s="3"/>
      <c r="N234" s="3"/>
      <c r="O234" s="3"/>
      <c r="P234" s="3"/>
      <c r="Q234" s="3"/>
      <c r="R234" s="3" t="str">
        <f>IFERROR(Q234/Q240,"")</f>
        <v/>
      </c>
    </row>
    <row r="235" spans="2:19" x14ac:dyDescent="0.25">
      <c r="F235" s="3"/>
      <c r="H235" s="3"/>
      <c r="I235" s="3"/>
      <c r="J235" s="3"/>
      <c r="K235" s="3" t="str">
        <f>IFERROR(J235/J240,"")</f>
        <v/>
      </c>
      <c r="L235" s="3"/>
      <c r="M235" s="3"/>
      <c r="N235" s="3"/>
      <c r="O235" s="3"/>
      <c r="P235" s="3"/>
      <c r="Q235" s="3"/>
      <c r="R235" s="3" t="str">
        <f>IFERROR(Q235/Q240,"")</f>
        <v/>
      </c>
    </row>
    <row r="236" spans="2:19" x14ac:dyDescent="0.25">
      <c r="F236" s="3"/>
      <c r="H236" s="3"/>
      <c r="I236" s="3"/>
      <c r="J236" s="3"/>
      <c r="K236" s="3" t="str">
        <f>IFERROR(J236/J240,"")</f>
        <v/>
      </c>
      <c r="L236" s="3"/>
      <c r="M236" s="3"/>
      <c r="N236" s="3"/>
      <c r="O236" s="3"/>
      <c r="P236" s="3"/>
      <c r="Q236" s="3"/>
      <c r="R236" s="3" t="str">
        <f>IFERROR(Q236/Q240,"")</f>
        <v/>
      </c>
    </row>
    <row r="237" spans="2:19" x14ac:dyDescent="0.25">
      <c r="F237" s="3"/>
      <c r="H237" s="3"/>
      <c r="I237" s="3"/>
      <c r="J237" s="3"/>
      <c r="K237" s="3" t="str">
        <f>IFERROR(J237/J240,"")</f>
        <v/>
      </c>
      <c r="L237" s="3"/>
      <c r="M237" s="3"/>
      <c r="N237" s="3"/>
      <c r="O237" s="3"/>
      <c r="P237" s="3"/>
      <c r="Q237" s="3"/>
      <c r="R237" s="3" t="str">
        <f>IFERROR(Q237/Q240,"")</f>
        <v/>
      </c>
    </row>
    <row r="238" spans="2:19" x14ac:dyDescent="0.25">
      <c r="F238" s="3"/>
      <c r="H238" s="3"/>
      <c r="I238" s="3"/>
      <c r="J238" s="3"/>
      <c r="K238" s="3" t="str">
        <f>IFERROR(J238/J240,"")</f>
        <v/>
      </c>
      <c r="L238" s="3"/>
      <c r="M238" s="3"/>
      <c r="N238" s="3"/>
      <c r="O238" s="3"/>
      <c r="P238" s="3"/>
      <c r="Q238" s="3"/>
      <c r="R238" s="3" t="str">
        <f>IFERROR(Q238/Q240,"")</f>
        <v/>
      </c>
    </row>
    <row r="239" spans="2:19" x14ac:dyDescent="0.25">
      <c r="F239" s="3"/>
      <c r="H239" s="3"/>
      <c r="I239" s="3"/>
      <c r="J239" s="3"/>
      <c r="K239" s="3" t="str">
        <f>IFERROR(J239/J240,"")</f>
        <v/>
      </c>
      <c r="L239" s="3"/>
      <c r="M239" s="3"/>
      <c r="N239" s="3"/>
      <c r="O239" s="3"/>
      <c r="P239" s="3"/>
      <c r="Q239" s="3"/>
      <c r="R239" s="3" t="str">
        <f>IFERROR(Q239/Q240,"")</f>
        <v/>
      </c>
    </row>
    <row r="240" spans="2:19" x14ac:dyDescent="0.25">
      <c r="F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</sheetData>
  <mergeCells count="3">
    <mergeCell ref="O3:R3"/>
    <mergeCell ref="H3:K3"/>
    <mergeCell ref="A1:B1"/>
  </mergeCells>
  <phoneticPr fontId="60" type="noConversion"/>
  <conditionalFormatting sqref="B201:R210 B229:R231 E200:R200 E228:R228 B272:R272 B7:R12 B13:F13 H13:R13 E214:R216 B211:D216 E211:R212 B217:R226 B14:R53 B146:R198 B54:D145">
    <cfRule type="expression" dxfId="629" priority="105">
      <formula>MOD(ROW(),2)=0</formula>
    </cfRule>
  </conditionalFormatting>
  <conditionalFormatting sqref="B229:D231 B272:D272 B7:D13 B15:D185 B187:D197 B201:D225">
    <cfRule type="expression" dxfId="628" priority="217">
      <formula>AND(B7=B6,MOD(ROW(),2)=1)</formula>
    </cfRule>
    <cfRule type="expression" dxfId="627" priority="218">
      <formula>AND(B7=B6,MOD(ROW(),2)=0)</formula>
    </cfRule>
  </conditionalFormatting>
  <conditionalFormatting sqref="B199:R199 B200:D200">
    <cfRule type="expression" dxfId="626" priority="94">
      <formula>MOD(ROW(),2)=0</formula>
    </cfRule>
  </conditionalFormatting>
  <conditionalFormatting sqref="B199:D200">
    <cfRule type="expression" dxfId="625" priority="97">
      <formula>AND(B199=B198,MOD(ROW(),2)=1)</formula>
    </cfRule>
    <cfRule type="expression" dxfId="624" priority="98">
      <formula>AND(B199=B198,MOD(ROW(),2)=0)</formula>
    </cfRule>
  </conditionalFormatting>
  <conditionalFormatting sqref="E213:F213 H213:R213">
    <cfRule type="expression" dxfId="623" priority="89">
      <formula>MOD(ROW(),2)=0</formula>
    </cfRule>
  </conditionalFormatting>
  <conditionalFormatting sqref="B227:F227 H227:R227 B228:D228">
    <cfRule type="expression" dxfId="622" priority="84">
      <formula>MOD(ROW(),2)=0</formula>
    </cfRule>
  </conditionalFormatting>
  <conditionalFormatting sqref="B227:D228">
    <cfRule type="expression" dxfId="621" priority="87">
      <formula>AND(B227=B226,MOD(ROW(),2)=1)</formula>
    </cfRule>
    <cfRule type="expression" dxfId="620" priority="88">
      <formula>AND(B227=B226,MOD(ROW(),2)=0)</formula>
    </cfRule>
  </conditionalFormatting>
  <conditionalFormatting sqref="G213">
    <cfRule type="expression" dxfId="619" priority="83">
      <formula>MOD(ROW(),2)=0</formula>
    </cfRule>
  </conditionalFormatting>
  <conditionalFormatting sqref="G227">
    <cfRule type="expression" dxfId="618" priority="82">
      <formula>MOD(ROW(),2)=0</formula>
    </cfRule>
  </conditionalFormatting>
  <conditionalFormatting sqref="B14:D18 B35:D35 B27:D27 B48:D48 B106:D106 B127:D127 B119:D119 B140:D140 B94:D94 B81:D81 B73:D73 B60:D60 B173:D173 B165:D165 B152:D152 B186:D186 B226:D226 B198:D198">
    <cfRule type="expression" dxfId="617" priority="2035">
      <formula>AND(B14=B12,MOD(ROW(),2)=1)</formula>
    </cfRule>
    <cfRule type="expression" dxfId="616" priority="2036">
      <formula>AND(B14=B12,MOD(ROW(),2)=0)</formula>
    </cfRule>
  </conditionalFormatting>
  <conditionalFormatting sqref="G13">
    <cfRule type="expression" dxfId="615" priority="5">
      <formula>MOD(ROW(),2)=0</formula>
    </cfRule>
  </conditionalFormatting>
  <conditionalFormatting sqref="E54:R58 E59:F59 H59:R59 E60:R99">
    <cfRule type="expression" dxfId="614" priority="4">
      <formula>MOD(ROW(),2)=0</formula>
    </cfRule>
  </conditionalFormatting>
  <conditionalFormatting sqref="G59">
    <cfRule type="expression" dxfId="613" priority="3">
      <formula>MOD(ROW(),2)=0</formula>
    </cfRule>
  </conditionalFormatting>
  <conditionalFormatting sqref="E100:R104 E105:F105 H105:R105 E106:R145">
    <cfRule type="expression" dxfId="612" priority="2">
      <formula>MOD(ROW(),2)=0</formula>
    </cfRule>
  </conditionalFormatting>
  <conditionalFormatting sqref="G105">
    <cfRule type="expression" dxfId="611" priority="1">
      <formula>MOD(ROW(),2)=0</formula>
    </cfRule>
  </conditionalFormatting>
  <hyperlinks>
    <hyperlink ref="A1" location="Index!A1" display="&lt;&lt;Back to Index" xr:uid="{00000000-0004-0000-1200-00000000000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ignoredErrors>
    <ignoredError sqref="K29:N29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0070C0"/>
  </sheetPr>
  <dimension ref="A1:U214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8.85546875" defaultRowHeight="15" outlineLevelRow="1" x14ac:dyDescent="0.25"/>
  <cols>
    <col min="1" max="1" width="1.85546875" style="3" customWidth="1"/>
    <col min="2" max="3" width="15.85546875" style="3" customWidth="1"/>
    <col min="4" max="4" width="18.140625" style="3" customWidth="1"/>
    <col min="5" max="5" width="10.85546875" style="3" customWidth="1"/>
    <col min="6" max="6" width="10.85546875" style="20" customWidth="1"/>
    <col min="7" max="7" width="10.85546875" style="3" customWidth="1"/>
    <col min="8" max="10" width="10.85546875" style="63" customWidth="1"/>
    <col min="11" max="11" width="11.85546875" style="20" bestFit="1" customWidth="1"/>
    <col min="12" max="12" width="0.85546875" style="20" customWidth="1"/>
    <col min="13" max="13" width="10.85546875" style="20" customWidth="1"/>
    <col min="14" max="14" width="0.85546875" style="20" customWidth="1"/>
    <col min="15" max="17" width="10.85546875" style="63" customWidth="1"/>
    <col min="18" max="18" width="11.85546875" style="20" bestFit="1" customWidth="1"/>
    <col min="19" max="16384" width="8.85546875" style="3"/>
  </cols>
  <sheetData>
    <row r="1" spans="1:21" ht="10.35" customHeight="1" x14ac:dyDescent="0.25">
      <c r="A1" s="286" t="s">
        <v>21</v>
      </c>
      <c r="B1" s="291"/>
    </row>
    <row r="2" spans="1:21" s="14" customFormat="1" ht="22.5" customHeight="1" x14ac:dyDescent="0.25">
      <c r="A2" s="15" t="s">
        <v>89</v>
      </c>
      <c r="F2" s="21"/>
      <c r="H2" s="64"/>
      <c r="I2" s="64"/>
      <c r="J2" s="64"/>
      <c r="K2" s="21"/>
      <c r="L2" s="21"/>
      <c r="M2" s="21"/>
      <c r="N2" s="21"/>
      <c r="O2" s="64"/>
      <c r="P2" s="64"/>
      <c r="Q2" s="64"/>
      <c r="R2" s="21"/>
    </row>
    <row r="3" spans="1:21" s="29" customFormat="1" ht="17.850000000000001" customHeight="1" x14ac:dyDescent="0.25">
      <c r="B3" s="30"/>
      <c r="C3" s="30"/>
      <c r="D3" s="30"/>
      <c r="E3" s="30"/>
      <c r="F3" s="44"/>
      <c r="G3" s="30"/>
      <c r="H3" s="320" t="str">
        <f>PY</f>
        <v>2022-23</v>
      </c>
      <c r="I3" s="320"/>
      <c r="J3" s="320"/>
      <c r="K3" s="320"/>
      <c r="L3" s="36"/>
      <c r="M3" s="41" t="str">
        <f>FY</f>
        <v>2023-24</v>
      </c>
      <c r="N3" s="36"/>
      <c r="O3" s="320" t="str">
        <f>FY</f>
        <v>2023-24</v>
      </c>
      <c r="P3" s="320"/>
      <c r="Q3" s="320"/>
      <c r="R3" s="320"/>
    </row>
    <row r="4" spans="1:21" s="29" customFormat="1" ht="3" customHeight="1" x14ac:dyDescent="0.25">
      <c r="B4" s="30"/>
      <c r="C4" s="30"/>
      <c r="D4" s="30"/>
      <c r="E4" s="30"/>
      <c r="F4" s="40" t="str">
        <f t="shared" ref="F4:K4" si="0">$H$3</f>
        <v>2022-23</v>
      </c>
      <c r="G4" s="30"/>
      <c r="H4" s="65" t="str">
        <f>$H$3</f>
        <v>2022-23</v>
      </c>
      <c r="I4" s="65" t="str">
        <f t="shared" si="0"/>
        <v>2022-23</v>
      </c>
      <c r="J4" s="65" t="str">
        <f t="shared" si="0"/>
        <v>2022-23</v>
      </c>
      <c r="K4" s="40" t="str">
        <f t="shared" si="0"/>
        <v>2022-23</v>
      </c>
      <c r="L4" s="40"/>
      <c r="M4" s="40" t="str">
        <f>FY</f>
        <v>2023-24</v>
      </c>
      <c r="N4" s="40"/>
      <c r="O4" s="65" t="str">
        <f>$O$3</f>
        <v>2023-24</v>
      </c>
      <c r="P4" s="65" t="str">
        <f>$O$3</f>
        <v>2023-24</v>
      </c>
      <c r="Q4" s="65" t="str">
        <f>$O$3</f>
        <v>2023-24</v>
      </c>
      <c r="R4" s="40" t="str">
        <f>$O$3</f>
        <v>2023-24</v>
      </c>
    </row>
    <row r="5" spans="1:21" s="5" customFormat="1" ht="17.850000000000001" customHeight="1" x14ac:dyDescent="0.25">
      <c r="B5" s="24" t="s">
        <v>1</v>
      </c>
      <c r="C5" s="24" t="s">
        <v>12</v>
      </c>
      <c r="D5" s="24" t="s">
        <v>25</v>
      </c>
      <c r="E5" s="24" t="s">
        <v>13</v>
      </c>
      <c r="F5" s="12" t="s">
        <v>27</v>
      </c>
      <c r="G5" s="24" t="s">
        <v>35</v>
      </c>
      <c r="H5" s="194" t="s">
        <v>49</v>
      </c>
      <c r="I5" s="194" t="s">
        <v>50</v>
      </c>
      <c r="J5" s="194" t="s">
        <v>24</v>
      </c>
      <c r="K5" s="178" t="s">
        <v>26</v>
      </c>
      <c r="L5" s="178"/>
      <c r="M5" s="178" t="s">
        <v>23</v>
      </c>
      <c r="N5" s="178"/>
      <c r="O5" s="194" t="s">
        <v>49</v>
      </c>
      <c r="P5" s="194" t="s">
        <v>50</v>
      </c>
      <c r="Q5" s="194" t="s">
        <v>24</v>
      </c>
      <c r="R5" s="178" t="s">
        <v>26</v>
      </c>
    </row>
    <row r="6" spans="1:21" s="31" customFormat="1" ht="17.850000000000001" customHeight="1" x14ac:dyDescent="0.25">
      <c r="B6" s="32"/>
      <c r="C6" s="32"/>
      <c r="D6" s="32"/>
      <c r="E6" s="32"/>
      <c r="F6" s="33" t="s">
        <v>59</v>
      </c>
      <c r="G6" s="32"/>
      <c r="H6" s="195" t="s">
        <v>74</v>
      </c>
      <c r="I6" s="195" t="s">
        <v>47</v>
      </c>
      <c r="J6" s="195" t="s">
        <v>48</v>
      </c>
      <c r="K6" s="196" t="s">
        <v>30</v>
      </c>
      <c r="L6" s="196"/>
      <c r="M6" s="196" t="s">
        <v>30</v>
      </c>
      <c r="N6" s="196"/>
      <c r="O6" s="195" t="s">
        <v>74</v>
      </c>
      <c r="P6" s="195" t="s">
        <v>47</v>
      </c>
      <c r="Q6" s="195" t="s">
        <v>48</v>
      </c>
      <c r="R6" s="196" t="s">
        <v>30</v>
      </c>
    </row>
    <row r="7" spans="1:21" x14ac:dyDescent="0.25">
      <c r="F7" s="13"/>
      <c r="H7" s="172"/>
      <c r="I7" s="172"/>
      <c r="J7" s="172"/>
      <c r="K7" s="191"/>
      <c r="L7" s="188"/>
      <c r="M7" s="191"/>
      <c r="N7" s="188"/>
      <c r="O7" s="172"/>
      <c r="P7" s="172"/>
      <c r="Q7" s="172"/>
      <c r="R7" s="191"/>
    </row>
    <row r="8" spans="1:21" x14ac:dyDescent="0.25">
      <c r="B8" s="5" t="s">
        <v>2</v>
      </c>
      <c r="C8" s="5" t="s">
        <v>6</v>
      </c>
      <c r="D8" s="5" t="s">
        <v>146</v>
      </c>
      <c r="F8" s="13"/>
      <c r="H8" s="172"/>
      <c r="I8" s="172"/>
      <c r="J8" s="172"/>
      <c r="K8" s="191"/>
      <c r="L8" s="188"/>
      <c r="M8" s="191"/>
      <c r="N8" s="188"/>
      <c r="O8" s="172"/>
      <c r="P8" s="172"/>
      <c r="Q8" s="172"/>
      <c r="R8" s="191"/>
    </row>
    <row r="9" spans="1:21" outlineLevel="1" x14ac:dyDescent="0.25">
      <c r="B9" s="3" t="str">
        <f t="shared" ref="B9:D16" si="1">B8</f>
        <v>Ausgrid</v>
      </c>
      <c r="C9" s="3" t="str">
        <f t="shared" si="1"/>
        <v>Residential</v>
      </c>
      <c r="D9" s="3" t="str">
        <f t="shared" si="1"/>
        <v>without CL</v>
      </c>
      <c r="E9" s="3" t="s">
        <v>22</v>
      </c>
      <c r="F9" s="175">
        <f t="array" ref="F9">IFERROR(INDEX(Usage!$B$5:$P$18,MATCH($B9,Usage!$B$5:$B$18,0),MATCH($C9&amp;$D9&amp;$E9&amp;"Total",Usage!$B$5:$S$5&amp;Usage!$B$6:$S$6&amp;Usage!$B$7:$S$7&amp;Usage!$B$13:$S$13,0)),0)</f>
        <v>3900</v>
      </c>
      <c r="G9" s="3" t="s">
        <v>80</v>
      </c>
      <c r="H9" s="172"/>
      <c r="I9" s="172">
        <f t="array" ref="I9">IFERROR(INDEX('Detail inputs'!$B$3:$K$196,MATCH($B9&amp;$G9&amp;I$5,'Detail inputs'!$B$3:$B$196&amp;'Detail inputs'!$G$3:$G$196&amp;'Detail inputs'!$H$3:$H$196,0),MATCH(I$4,'Detail inputs'!$B$3:$K$3,0)),0)</f>
        <v>5.13</v>
      </c>
      <c r="J9" s="172">
        <f t="shared" ref="J9:J14" si="2">IF(AND(H9="",I9=""),"",H9+I9*$F9/1000)</f>
        <v>20.007000000000001</v>
      </c>
      <c r="K9" s="191">
        <f>IFERROR(J9/J14,"")</f>
        <v>0.24806576402321084</v>
      </c>
      <c r="L9" s="188"/>
      <c r="M9" s="191">
        <f t="shared" ref="M9:M14" si="3">IF(OR(J9=0,Q9=""),"",Q9/J9-1)</f>
        <v>0.41715399610136439</v>
      </c>
      <c r="N9" s="188"/>
      <c r="O9" s="172"/>
      <c r="P9" s="172">
        <f t="array" ref="P9">IFERROR(INDEX('Detail inputs'!$B$3:$K$196,MATCH($B9&amp;$G9&amp;P$5,'Detail inputs'!$B$3:$B$196&amp;'Detail inputs'!$G$3:$G$196&amp;'Detail inputs'!$H$3:$H$196,0),MATCH(P$4,'Detail inputs'!$B$3:$K$3,0)),0)</f>
        <v>7.27</v>
      </c>
      <c r="Q9" s="172">
        <f t="shared" ref="Q9:Q14" si="4">IF(AND(O9="",P9=""),"",O9+P9*$F9/1000)</f>
        <v>28.353000000000002</v>
      </c>
      <c r="R9" s="191">
        <f>IFERROR(Q9/Q14,"")</f>
        <v>0.38835470085470092</v>
      </c>
    </row>
    <row r="10" spans="1:21" outlineLevel="1" x14ac:dyDescent="0.25">
      <c r="B10" s="3" t="str">
        <f t="shared" si="1"/>
        <v>Ausgrid</v>
      </c>
      <c r="C10" s="3" t="str">
        <f t="shared" si="1"/>
        <v>Residential</v>
      </c>
      <c r="D10" s="3" t="str">
        <f t="shared" si="1"/>
        <v>without CL</v>
      </c>
      <c r="E10" s="3" t="s">
        <v>22</v>
      </c>
      <c r="F10" s="175">
        <f t="array" ref="F10">IFERROR(INDEX(Usage!$B$5:$P$18,MATCH($B10,Usage!$B$5:$B$18,0),MATCH($C10&amp;$D10&amp;$E10&amp;"Total",Usage!$B$5:$S$5&amp;Usage!$B$6:$S$6&amp;Usage!$B$7:$S$7&amp;Usage!$B$13:$S$13,0)),0)</f>
        <v>3900</v>
      </c>
      <c r="G10" s="3" t="s">
        <v>81</v>
      </c>
      <c r="H10" s="172"/>
      <c r="I10" s="172">
        <f t="array" ref="I10">IFERROR(INDEX('Detail inputs'!$B$3:$K$196,MATCH($B10&amp;$G10&amp;I$5,'Detail inputs'!$B$3:$B$196&amp;'Detail inputs'!$G$3:$G$196&amp;'Detail inputs'!$H$3:$H$196,0),MATCH(I$4,'Detail inputs'!$B$3:$K$3,0)),0)</f>
        <v>10.9</v>
      </c>
      <c r="J10" s="172">
        <f t="shared" si="2"/>
        <v>42.51</v>
      </c>
      <c r="K10" s="191">
        <f>IFERROR(J10/J14,"")</f>
        <v>0.52707930367504829</v>
      </c>
      <c r="L10" s="188"/>
      <c r="M10" s="191">
        <f t="shared" si="3"/>
        <v>-0.37064220183486229</v>
      </c>
      <c r="N10" s="188"/>
      <c r="O10" s="172"/>
      <c r="P10" s="172">
        <f t="array" ref="P10">IFERROR(INDEX('Detail inputs'!$B$3:$K$196,MATCH($B10&amp;$G10&amp;P$5,'Detail inputs'!$B$3:$B$196&amp;'Detail inputs'!$G$3:$G$196&amp;'Detail inputs'!$H$3:$H$196,0),MATCH(P$4,'Detail inputs'!$B$3:$K$3,0)),0)</f>
        <v>6.86</v>
      </c>
      <c r="Q10" s="172">
        <f t="shared" si="4"/>
        <v>26.754000000000001</v>
      </c>
      <c r="R10" s="191">
        <f>IFERROR(Q10/Q14,"")</f>
        <v>0.36645299145299148</v>
      </c>
    </row>
    <row r="11" spans="1:21" outlineLevel="1" x14ac:dyDescent="0.25">
      <c r="B11" s="3" t="str">
        <f t="shared" ref="B11:D13" si="5">B10</f>
        <v>Ausgrid</v>
      </c>
      <c r="C11" s="3" t="str">
        <f t="shared" si="5"/>
        <v>Residential</v>
      </c>
      <c r="D11" s="3" t="str">
        <f t="shared" si="5"/>
        <v>without CL</v>
      </c>
      <c r="E11" s="3" t="s">
        <v>22</v>
      </c>
      <c r="F11" s="175">
        <f t="array" ref="F11">IFERROR(INDEX(Usage!$B$5:$P$18,MATCH($B11,Usage!$B$5:$B$18,0),MATCH($C11&amp;$D11&amp;$E11&amp;"Total",Usage!$B$5:$S$5&amp;Usage!$B$6:$S$6&amp;Usage!$B$7:$S$7&amp;Usage!$B$13:$S$13,0)),0)</f>
        <v>3900</v>
      </c>
      <c r="G11" s="3" t="s">
        <v>82</v>
      </c>
      <c r="H11" s="172"/>
      <c r="I11" s="172">
        <f t="array" ref="I11">IFERROR(INDEX('Detail inputs'!$B$3:$K$196,MATCH($B11&amp;$G11&amp;I$5,'Detail inputs'!$B$3:$B$196&amp;'Detail inputs'!$G$3:$G$196&amp;'Detail inputs'!$H$3:$H$196,0),MATCH(I$4,'Detail inputs'!$B$3:$K$3,0)),0)</f>
        <v>3.39</v>
      </c>
      <c r="J11" s="172">
        <f t="shared" si="2"/>
        <v>13.221</v>
      </c>
      <c r="K11" s="191">
        <f>IFERROR(J11/J14,"")</f>
        <v>0.16392649903288201</v>
      </c>
      <c r="L11" s="188"/>
      <c r="M11" s="191">
        <f t="shared" si="3"/>
        <v>-3.8348082595870192E-2</v>
      </c>
      <c r="N11" s="188"/>
      <c r="O11" s="172"/>
      <c r="P11" s="172">
        <f t="array" ref="P11">IFERROR(INDEX('Detail inputs'!$B$3:$K$196,MATCH($B11&amp;$G11&amp;P$5,'Detail inputs'!$B$3:$B$196&amp;'Detail inputs'!$G$3:$G$196&amp;'Detail inputs'!$H$3:$H$196,0),MATCH(P$4,'Detail inputs'!$B$3:$K$3,0)),0)</f>
        <v>3.26</v>
      </c>
      <c r="Q11" s="172">
        <f t="shared" si="4"/>
        <v>12.714</v>
      </c>
      <c r="R11" s="191">
        <f>IFERROR(Q11/Q14,"")</f>
        <v>0.17414529914529916</v>
      </c>
    </row>
    <row r="12" spans="1:21" outlineLevel="1" x14ac:dyDescent="0.25">
      <c r="B12" s="3" t="str">
        <f t="shared" si="5"/>
        <v>Ausgrid</v>
      </c>
      <c r="C12" s="3" t="str">
        <f t="shared" si="5"/>
        <v>Residential</v>
      </c>
      <c r="D12" s="3" t="str">
        <f t="shared" si="5"/>
        <v>without CL</v>
      </c>
      <c r="E12" s="3" t="s">
        <v>22</v>
      </c>
      <c r="F12" s="175">
        <f t="array" ref="F12">IFERROR(INDEX(Usage!$B$5:$P$18,MATCH($B12,Usage!$B$5:$B$18,0),MATCH($C12&amp;$D12&amp;$E12&amp;"Total",Usage!$B$5:$S$5&amp;Usage!$B$6:$S$6&amp;Usage!$B$7:$S$7&amp;Usage!$B$13:$S$13,0)),0)</f>
        <v>3900</v>
      </c>
      <c r="G12" s="3" t="s">
        <v>198</v>
      </c>
      <c r="H12" s="172"/>
      <c r="I12" s="172" cm="1">
        <f t="array" ref="I12">IFERROR(INDEX('Detail inputs'!$B$3:$K$196,MATCH($B12&amp;$G12&amp;I$5,'Detail inputs'!$B$3:$B$196&amp;'Detail inputs'!$G$3:$G$196&amp;'Detail inputs'!$H$3:$H$196,0),MATCH(I$4,'Detail inputs'!$B$3:$K$3,0)),0)</f>
        <v>0.21803668755877201</v>
      </c>
      <c r="J12" s="172">
        <f t="shared" si="2"/>
        <v>0.85034308147921078</v>
      </c>
      <c r="K12" s="191">
        <f>IFERROR(J12/J14,"")</f>
        <v>1.0543360133402901E-2</v>
      </c>
      <c r="L12" s="188"/>
      <c r="M12" s="191">
        <f t="shared" si="3"/>
        <v>0.92628132770907445</v>
      </c>
      <c r="N12" s="188"/>
      <c r="O12" s="172"/>
      <c r="P12" s="172">
        <f t="array" ref="P12">IFERROR(INDEX('Detail inputs'!$B$3:$K$196,MATCH($B12&amp;$G12&amp;P$5,'Detail inputs'!$B$3:$B$196&amp;'Detail inputs'!$G$3:$G$196&amp;'Detail inputs'!$H$3:$H$196,0),MATCH(P$4,'Detail inputs'!$B$3:$K$3,0)),0)</f>
        <v>0.42</v>
      </c>
      <c r="Q12" s="172">
        <f t="shared" si="4"/>
        <v>1.6379999999999999</v>
      </c>
      <c r="R12" s="191">
        <f>IFERROR(Q12/Q14,"")</f>
        <v>2.2435897435897436E-2</v>
      </c>
    </row>
    <row r="13" spans="1:21" s="20" customFormat="1" outlineLevel="1" x14ac:dyDescent="0.25">
      <c r="A13" s="3"/>
      <c r="B13" s="3" t="str">
        <f t="shared" si="5"/>
        <v>Ausgrid</v>
      </c>
      <c r="C13" s="3" t="str">
        <f t="shared" si="5"/>
        <v>Residential</v>
      </c>
      <c r="D13" s="3" t="str">
        <f t="shared" si="5"/>
        <v>without CL</v>
      </c>
      <c r="E13" s="3" t="s">
        <v>22</v>
      </c>
      <c r="F13" s="175">
        <f t="array" ref="F13">IFERROR(INDEX(Usage!$B$5:$P$18,MATCH($B13,Usage!$B$5:$B$18,0),MATCH($C13&amp;$D13&amp;$E13&amp;"Total",Usage!$B$5:$S$5&amp;Usage!$B$6:$S$6&amp;Usage!$B$7:$S$7&amp;Usage!$B$13:$S$13,0)),0)</f>
        <v>3900</v>
      </c>
      <c r="G13" s="3" t="s">
        <v>79</v>
      </c>
      <c r="H13" s="172"/>
      <c r="I13" s="172" cm="1">
        <f t="array" ref="I13">ROUND(IFERROR(INDEX('Detail inputs'!$B$3:$K$196,MATCH($B13&amp;$C13&amp;$E13&amp;$G13&amp;I$5,'Detail inputs'!$B$3:$B$196&amp;'Detail inputs'!$D$3:$D$196&amp;'Detail inputs'!$F$3:$F$196&amp;'Detail inputs'!$G$3:$G$196&amp;'Detail inputs'!$H$3:$H$196,0),MATCH(I$4,'Detail inputs'!$B$3:$K$3,0)),0)*SUM(I9:I12), 2)</f>
        <v>1.04</v>
      </c>
      <c r="J13" s="172">
        <f t="shared" si="2"/>
        <v>4.056</v>
      </c>
      <c r="K13" s="191">
        <f>IFERROR(J13/J14,"")</f>
        <v>5.0290135396518373E-2</v>
      </c>
      <c r="L13" s="188"/>
      <c r="M13" s="191">
        <f t="shared" si="3"/>
        <v>-0.125</v>
      </c>
      <c r="N13" s="188"/>
      <c r="O13" s="172"/>
      <c r="P13" s="172" cm="1">
        <f t="array" ref="P13">ROUND(IFERROR(INDEX('Detail inputs'!$B$3:$K$196,MATCH($B13&amp;$C13&amp;$E13&amp;$G13&amp;P$5,'Detail inputs'!$B$3:$B$196&amp;'Detail inputs'!$D$3:$D$196&amp;'Detail inputs'!$F$3:$F$196&amp;'Detail inputs'!$G$3:$G$196&amp;'Detail inputs'!$H$3:$H$196,0),MATCH(P$4,'Detail inputs'!$B$3:$K$3,0)),0)*SUM(P9:P12), 2)</f>
        <v>0.91</v>
      </c>
      <c r="Q13" s="172">
        <f t="shared" si="4"/>
        <v>3.5489999999999999</v>
      </c>
      <c r="R13" s="191">
        <f>IFERROR(Q13/Q14,"")</f>
        <v>4.8611111111111112E-2</v>
      </c>
      <c r="S13" s="63"/>
      <c r="U13" s="267"/>
    </row>
    <row r="14" spans="1:21" s="20" customFormat="1" x14ac:dyDescent="0.25">
      <c r="A14" s="3"/>
      <c r="B14" s="3" t="str">
        <f t="shared" si="1"/>
        <v>Ausgrid</v>
      </c>
      <c r="C14" s="3" t="str">
        <f t="shared" si="1"/>
        <v>Residential</v>
      </c>
      <c r="D14" s="3" t="str">
        <f t="shared" si="1"/>
        <v>without CL</v>
      </c>
      <c r="E14" s="3" t="s">
        <v>22</v>
      </c>
      <c r="F14" s="175">
        <f t="array" ref="F14">IFERROR(INDEX(Usage!$B$5:$P$18,MATCH($B14,Usage!$B$5:$B$18,0),MATCH($C14&amp;$D14&amp;$E14&amp;"Total",Usage!$B$5:$S$5&amp;Usage!$B$6:$S$6&amp;Usage!$B$7:$S$7&amp;Usage!$B$13:$S$13,0)),0)</f>
        <v>3900</v>
      </c>
      <c r="G14" s="3" t="s">
        <v>61</v>
      </c>
      <c r="H14" s="172"/>
      <c r="I14" s="172" cm="1">
        <f t="array" ref="I14">INDEX('Key inputs'!$B$17:$N$41,MATCH($B14&amp;$C14&amp;$E14,'Key inputs'!$B$17:$B$41&amp;'Key inputs'!$C$17:$C$41&amp;'Key inputs'!$D$17:$D$41,0),MATCH($A$2&amp;I$4,'Key inputs'!$B$18:$N$18&amp;'Key inputs'!$B$19:$N$19,0))</f>
        <v>20.68</v>
      </c>
      <c r="J14" s="172">
        <f t="shared" si="2"/>
        <v>80.652000000000001</v>
      </c>
      <c r="K14" s="192"/>
      <c r="L14" s="197"/>
      <c r="M14" s="192">
        <f t="shared" si="3"/>
        <v>-9.4777562862669362E-2</v>
      </c>
      <c r="N14" s="197"/>
      <c r="O14" s="172"/>
      <c r="P14" s="172" cm="1">
        <f t="array" ref="P14">INDEX('Key inputs'!$B$17:$N$41,MATCH($B14&amp;$C14&amp;$E14,'Key inputs'!$B$17:$B$41&amp;'Key inputs'!$C$17:$C$41&amp;'Key inputs'!$D$17:$D$41,0),MATCH($A$2&amp;P$4,'Key inputs'!$B$18:$N$18&amp;'Key inputs'!$B$19:$N$19,0))</f>
        <v>18.72</v>
      </c>
      <c r="Q14" s="172">
        <f t="shared" si="4"/>
        <v>73.007999999999996</v>
      </c>
      <c r="R14" s="192"/>
      <c r="S14" s="282"/>
    </row>
    <row r="15" spans="1:21" s="20" customFormat="1" outlineLevel="1" x14ac:dyDescent="0.25">
      <c r="A15" s="3"/>
      <c r="B15" s="3" t="str">
        <f t="shared" si="1"/>
        <v>Ausgrid</v>
      </c>
      <c r="C15" s="3" t="str">
        <f t="shared" si="1"/>
        <v>Residential</v>
      </c>
      <c r="D15" s="3" t="str">
        <f t="shared" si="1"/>
        <v>without CL</v>
      </c>
      <c r="E15" s="3"/>
      <c r="F15" s="175"/>
      <c r="G15" s="3" t="s">
        <v>41</v>
      </c>
      <c r="H15" s="172"/>
      <c r="I15" s="172"/>
      <c r="J15" s="172">
        <f>J14*GST</f>
        <v>8.0652000000000008</v>
      </c>
      <c r="K15" s="192"/>
      <c r="L15" s="197"/>
      <c r="M15" s="192"/>
      <c r="N15" s="197"/>
      <c r="O15" s="172"/>
      <c r="P15" s="172"/>
      <c r="Q15" s="172">
        <f>Q14*GST</f>
        <v>7.3007999999999997</v>
      </c>
      <c r="R15" s="193"/>
    </row>
    <row r="16" spans="1:21" s="20" customFormat="1" x14ac:dyDescent="0.25">
      <c r="A16" s="3"/>
      <c r="B16" s="3" t="str">
        <f t="shared" si="1"/>
        <v>Ausgrid</v>
      </c>
      <c r="C16" s="3" t="str">
        <f t="shared" si="1"/>
        <v>Residential</v>
      </c>
      <c r="D16" s="3" t="str">
        <f t="shared" si="1"/>
        <v>without CL</v>
      </c>
      <c r="E16" s="3"/>
      <c r="F16" s="175"/>
      <c r="G16" s="5" t="s">
        <v>87</v>
      </c>
      <c r="H16" s="174"/>
      <c r="I16" s="174"/>
      <c r="J16" s="174">
        <f>SUM(J14:J15)</f>
        <v>88.717200000000005</v>
      </c>
      <c r="K16" s="193"/>
      <c r="L16" s="198"/>
      <c r="M16" s="193">
        <f>IF(OR(J16=0,Q16=""),"",Q16/J16-1)</f>
        <v>-9.4777562862669362E-2</v>
      </c>
      <c r="N16" s="198"/>
      <c r="O16" s="174"/>
      <c r="P16" s="174"/>
      <c r="Q16" s="174">
        <f>SUM(Q14:Q15)</f>
        <v>80.308799999999991</v>
      </c>
      <c r="R16" s="193"/>
    </row>
    <row r="17" spans="1:19" s="20" customFormat="1" x14ac:dyDescent="0.25">
      <c r="A17" s="3"/>
      <c r="B17" s="3"/>
      <c r="C17" s="3"/>
      <c r="D17" s="3"/>
      <c r="E17" s="3"/>
      <c r="F17" s="175"/>
      <c r="G17" s="3"/>
      <c r="H17" s="172"/>
      <c r="I17" s="172"/>
      <c r="J17" s="172"/>
      <c r="K17" s="191"/>
      <c r="L17" s="197"/>
      <c r="M17" s="191"/>
      <c r="N17" s="197"/>
      <c r="O17" s="172"/>
      <c r="P17" s="172"/>
      <c r="Q17" s="172"/>
      <c r="R17" s="191"/>
    </row>
    <row r="18" spans="1:19" s="20" customFormat="1" x14ac:dyDescent="0.25">
      <c r="A18" s="3"/>
      <c r="B18" s="5" t="s">
        <v>2</v>
      </c>
      <c r="C18" s="5" t="s">
        <v>6</v>
      </c>
      <c r="D18" s="5" t="s">
        <v>147</v>
      </c>
      <c r="E18" s="3"/>
      <c r="F18" s="175"/>
      <c r="G18" s="3"/>
      <c r="H18" s="172"/>
      <c r="I18" s="172"/>
      <c r="J18" s="172"/>
      <c r="K18" s="191"/>
      <c r="L18" s="197"/>
      <c r="M18" s="191"/>
      <c r="N18" s="197"/>
      <c r="O18" s="172"/>
      <c r="P18" s="172"/>
      <c r="Q18" s="172"/>
      <c r="R18" s="191"/>
    </row>
    <row r="19" spans="1:19" s="20" customFormat="1" outlineLevel="1" x14ac:dyDescent="0.25">
      <c r="A19" s="3"/>
      <c r="B19" s="3" t="str">
        <f t="shared" ref="B19:B32" si="6">B18</f>
        <v>Ausgrid</v>
      </c>
      <c r="C19" s="3" t="str">
        <f t="shared" ref="C19:C32" si="7">C18</f>
        <v>Residential</v>
      </c>
      <c r="D19" s="3" t="str">
        <f t="shared" ref="D19:D32" si="8">D18</f>
        <v>with CL</v>
      </c>
      <c r="E19" s="3" t="s">
        <v>22</v>
      </c>
      <c r="F19" s="175">
        <f t="array" ref="F19">IFERROR(INDEX(Usage!$B$5:$P$18,MATCH($B19,Usage!$B$5:$B$18,0),MATCH($C19&amp;$D19&amp;$E19&amp;"Total",Usage!$B$5:$S$5&amp;Usage!$B$6:$S$6&amp;Usage!$B$7:$S$7&amp;Usage!$B$13:$S$13,0)),0)</f>
        <v>4800</v>
      </c>
      <c r="G19" s="3" t="s">
        <v>61</v>
      </c>
      <c r="H19" s="172"/>
      <c r="I19" s="172">
        <f>I14</f>
        <v>20.68</v>
      </c>
      <c r="J19" s="172">
        <f t="shared" ref="J19:J31" si="9">IF(AND(H19="",I19=""),"",H19+I19*$F19/1000)</f>
        <v>99.263999999999996</v>
      </c>
      <c r="K19" s="191"/>
      <c r="L19" s="197"/>
      <c r="M19" s="191">
        <f>IF(OR(J19=0,Q19=""),"",Q19/J19-1)</f>
        <v>-9.4777562862669251E-2</v>
      </c>
      <c r="N19" s="197"/>
      <c r="O19" s="172"/>
      <c r="P19" s="172">
        <f>P14</f>
        <v>18.72</v>
      </c>
      <c r="Q19" s="172">
        <f t="shared" ref="Q19:Q31" si="10">IF(AND(O19="",P19=""),"",O19+P19*$F19/1000)</f>
        <v>89.855999999999995</v>
      </c>
      <c r="R19" s="191"/>
    </row>
    <row r="20" spans="1:19" s="20" customFormat="1" outlineLevel="1" x14ac:dyDescent="0.25">
      <c r="A20" s="3"/>
      <c r="B20" s="3" t="str">
        <f t="shared" si="6"/>
        <v>Ausgrid</v>
      </c>
      <c r="C20" s="3" t="str">
        <f t="shared" si="7"/>
        <v>Residential</v>
      </c>
      <c r="D20" s="3" t="str">
        <f t="shared" si="8"/>
        <v>with CL</v>
      </c>
      <c r="E20" s="3" t="s">
        <v>16</v>
      </c>
      <c r="F20" s="175">
        <f t="array" ref="F20">IFERROR(INDEX(Usage!$B$5:$P$18,MATCH($B20,Usage!$B$5:$B$18,0),MATCH($C20&amp;$D20&amp;$E20,Usage!$B$5:$S$5&amp;Usage!$B$6:$S$6&amp;Usage!$B$7:$S$7,0)),0)</f>
        <v>1340</v>
      </c>
      <c r="G20" s="3" t="s">
        <v>80</v>
      </c>
      <c r="H20" s="172"/>
      <c r="I20" s="172">
        <f t="array" ref="I20">IFERROR(INDEX('Detail inputs'!$B$3:$K$196,MATCH($B20&amp;$G20&amp;I$5,'Detail inputs'!$B$3:$B$196&amp;'Detail inputs'!$G$3:$G$196&amp;'Detail inputs'!$H$3:$H$196,0),MATCH(I$4,'Detail inputs'!$B$3:$K$3,0)),0)</f>
        <v>5.13</v>
      </c>
      <c r="J20" s="172">
        <f t="shared" si="9"/>
        <v>6.8742000000000001</v>
      </c>
      <c r="K20" s="191">
        <f>IFERROR(J20/J25,"")</f>
        <v>0.24734811957569913</v>
      </c>
      <c r="L20" s="188"/>
      <c r="M20" s="191">
        <f t="shared" ref="M20:M32" si="11">IF(OR(J20=0,Q20=""),"",Q20/J20-1)</f>
        <v>0.41715399610136439</v>
      </c>
      <c r="N20" s="188"/>
      <c r="O20" s="172"/>
      <c r="P20" s="172">
        <f t="array" ref="P20">IFERROR(INDEX('Detail inputs'!$B$3:$K$196,MATCH($B20&amp;$G20&amp;P$5,'Detail inputs'!$B$3:$B$196&amp;'Detail inputs'!$G$3:$G$196&amp;'Detail inputs'!$H$3:$H$196,0),MATCH(P$4,'Detail inputs'!$B$3:$K$3,0)),0)</f>
        <v>7.27</v>
      </c>
      <c r="Q20" s="172">
        <f t="shared" si="10"/>
        <v>9.7417999999999996</v>
      </c>
      <c r="R20" s="191">
        <f>IFERROR(Q20/Q25,"")</f>
        <v>0.38732019179541821</v>
      </c>
    </row>
    <row r="21" spans="1:19" s="20" customFormat="1" outlineLevel="1" x14ac:dyDescent="0.25">
      <c r="A21" s="3"/>
      <c r="B21" s="3" t="str">
        <f t="shared" si="6"/>
        <v>Ausgrid</v>
      </c>
      <c r="C21" s="3" t="str">
        <f t="shared" si="7"/>
        <v>Residential</v>
      </c>
      <c r="D21" s="3" t="str">
        <f t="shared" si="8"/>
        <v>with CL</v>
      </c>
      <c r="E21" s="3" t="s">
        <v>16</v>
      </c>
      <c r="F21" s="175">
        <f t="array" ref="F21">IFERROR(INDEX(Usage!$B$5:$P$18,MATCH($B21,Usage!$B$5:$B$18,0),MATCH($C21&amp;$D21&amp;$E21,Usage!$B$5:$S$5&amp;Usage!$B$6:$S$6&amp;Usage!$B$7:$S$7,0)),0)</f>
        <v>1340</v>
      </c>
      <c r="G21" s="3" t="s">
        <v>81</v>
      </c>
      <c r="H21" s="172"/>
      <c r="I21" s="172">
        <f t="array" ref="I21">IFERROR(INDEX('Detail inputs'!$B$3:$K$196,MATCH($B21&amp;$G21&amp;I$5,'Detail inputs'!$B$3:$B$196&amp;'Detail inputs'!$G$3:$G$196&amp;'Detail inputs'!$H$3:$H$196,0),MATCH(I$4,'Detail inputs'!$B$3:$K$3,0)),0)</f>
        <v>10.9</v>
      </c>
      <c r="J21" s="172">
        <f t="shared" si="9"/>
        <v>14.606</v>
      </c>
      <c r="K21" s="191">
        <f>IFERROR(J21/J25,"")</f>
        <v>0.52555448408871752</v>
      </c>
      <c r="L21" s="188"/>
      <c r="M21" s="191">
        <f t="shared" si="11"/>
        <v>-0.37064220183486241</v>
      </c>
      <c r="N21" s="188"/>
      <c r="O21" s="172"/>
      <c r="P21" s="172">
        <f t="array" ref="P21">IFERROR(INDEX('Detail inputs'!$B$3:$K$196,MATCH($B21&amp;$G21&amp;P$5,'Detail inputs'!$B$3:$B$196&amp;'Detail inputs'!$G$3:$G$196&amp;'Detail inputs'!$H$3:$H$196,0),MATCH(P$4,'Detail inputs'!$B$3:$K$3,0)),0)</f>
        <v>6.86</v>
      </c>
      <c r="Q21" s="172">
        <f t="shared" si="10"/>
        <v>9.1923999999999992</v>
      </c>
      <c r="R21" s="191">
        <f>IFERROR(Q21/Q25,"")</f>
        <v>0.36547682472029835</v>
      </c>
    </row>
    <row r="22" spans="1:19" s="20" customFormat="1" outlineLevel="1" x14ac:dyDescent="0.25">
      <c r="A22" s="3"/>
      <c r="B22" s="3" t="str">
        <f t="shared" si="6"/>
        <v>Ausgrid</v>
      </c>
      <c r="C22" s="3" t="str">
        <f t="shared" si="7"/>
        <v>Residential</v>
      </c>
      <c r="D22" s="3" t="str">
        <f t="shared" si="8"/>
        <v>with CL</v>
      </c>
      <c r="E22" s="3" t="s">
        <v>16</v>
      </c>
      <c r="F22" s="175">
        <f t="array" ref="F22">IFERROR(INDEX(Usage!$B$5:$P$18,MATCH($B22,Usage!$B$5:$B$18,0),MATCH($C22&amp;$D22&amp;$E22,Usage!$B$5:$S$5&amp;Usage!$B$6:$S$6&amp;Usage!$B$7:$S$7,0)),0)</f>
        <v>1340</v>
      </c>
      <c r="G22" s="3" t="s">
        <v>82</v>
      </c>
      <c r="H22" s="172"/>
      <c r="I22" s="172">
        <f t="array" ref="I22">IFERROR(INDEX('Detail inputs'!$B$3:$K$196,MATCH($B22&amp;$G22&amp;I$5,'Detail inputs'!$B$3:$B$196&amp;'Detail inputs'!$G$3:$G$196&amp;'Detail inputs'!$H$3:$H$196,0),MATCH(I$4,'Detail inputs'!$B$3:$K$3,0)),0)</f>
        <v>3.39</v>
      </c>
      <c r="J22" s="172">
        <f t="shared" si="9"/>
        <v>4.5426000000000002</v>
      </c>
      <c r="K22" s="191">
        <f>IFERROR(J22/J25,"")</f>
        <v>0.16345226615236261</v>
      </c>
      <c r="L22" s="188"/>
      <c r="M22" s="191">
        <f t="shared" si="11"/>
        <v>-3.8348082595870414E-2</v>
      </c>
      <c r="N22" s="188"/>
      <c r="O22" s="172"/>
      <c r="P22" s="172">
        <f t="array" ref="P22">IFERROR(INDEX('Detail inputs'!$B$3:$K$196,MATCH($B22&amp;$G22&amp;P$5,'Detail inputs'!$B$3:$B$196&amp;'Detail inputs'!$G$3:$G$196&amp;'Detail inputs'!$H$3:$H$196,0),MATCH(P$4,'Detail inputs'!$B$3:$K$3,0)),0)</f>
        <v>3.26</v>
      </c>
      <c r="Q22" s="172">
        <f t="shared" si="10"/>
        <v>4.3683999999999994</v>
      </c>
      <c r="R22" s="191">
        <f>IFERROR(Q22/Q25,"")</f>
        <v>0.1736814064997336</v>
      </c>
    </row>
    <row r="23" spans="1:19" s="20" customFormat="1" outlineLevel="1" x14ac:dyDescent="0.25">
      <c r="A23" s="3"/>
      <c r="B23" s="3" t="str">
        <f t="shared" si="6"/>
        <v>Ausgrid</v>
      </c>
      <c r="C23" s="3" t="str">
        <f t="shared" si="7"/>
        <v>Residential</v>
      </c>
      <c r="D23" s="3" t="str">
        <f t="shared" si="8"/>
        <v>with CL</v>
      </c>
      <c r="E23" s="3" t="s">
        <v>16</v>
      </c>
      <c r="F23" s="175">
        <f t="array" ref="F23">IFERROR(INDEX(Usage!$B$5:$P$18,MATCH($B23,Usage!$B$5:$B$18,0),MATCH($C23&amp;$D23&amp;$E23,Usage!$B$5:$S$5&amp;Usage!$B$6:$S$6&amp;Usage!$B$7:$S$7,0)),0)</f>
        <v>1340</v>
      </c>
      <c r="G23" s="3" t="s">
        <v>198</v>
      </c>
      <c r="H23" s="172"/>
      <c r="I23" s="172">
        <f t="array" ref="I23">IFERROR(INDEX('Detail inputs'!$B$3:$K$196,MATCH($B23&amp;$G23&amp;I$5,'Detail inputs'!$B$3:$B$196&amp;'Detail inputs'!$G$3:$G$196&amp;'Detail inputs'!$H$3:$H$196,0),MATCH(I$4,'Detail inputs'!$B$3:$K$3,0)),0)</f>
        <v>0.21803668755877201</v>
      </c>
      <c r="J23" s="172">
        <f t="shared" ref="J23" si="12">IF(AND(H23="",I23=""),"",H23+I23*$F23/1000)</f>
        <v>0.29216916132875453</v>
      </c>
      <c r="K23" s="191">
        <f>IFERROR(J23/J25,"")</f>
        <v>1.0512858609391131E-2</v>
      </c>
      <c r="L23" s="188"/>
      <c r="M23" s="191">
        <f t="shared" ref="M23" si="13">IF(OR(J23=0,Q23=""),"",Q23/J23-1)</f>
        <v>0.92628132770907423</v>
      </c>
      <c r="N23" s="188"/>
      <c r="O23" s="172"/>
      <c r="P23" s="172">
        <f t="array" ref="P23">IFERROR(INDEX('Detail inputs'!$B$3:$K$196,MATCH($B23&amp;$G23&amp;P$5,'Detail inputs'!$B$3:$B$196&amp;'Detail inputs'!$G$3:$G$196&amp;'Detail inputs'!$H$3:$H$196,0),MATCH(P$4,'Detail inputs'!$B$3:$K$3,0)),0)</f>
        <v>0.42</v>
      </c>
      <c r="Q23" s="172">
        <f t="shared" ref="Q23" si="14">IF(AND(O23="",P23=""),"",O23+P23*$F23/1000)</f>
        <v>0.56279999999999997</v>
      </c>
      <c r="R23" s="191">
        <f>IFERROR(Q23/Q25,"")</f>
        <v>2.2376132125732553E-2</v>
      </c>
    </row>
    <row r="24" spans="1:19" s="20" customFormat="1" outlineLevel="1" x14ac:dyDescent="0.25">
      <c r="A24" s="3"/>
      <c r="B24" s="3" t="str">
        <f t="shared" si="6"/>
        <v>Ausgrid</v>
      </c>
      <c r="C24" s="3" t="str">
        <f t="shared" si="7"/>
        <v>Residential</v>
      </c>
      <c r="D24" s="3" t="str">
        <f t="shared" si="8"/>
        <v>with CL</v>
      </c>
      <c r="E24" s="3" t="s">
        <v>16</v>
      </c>
      <c r="F24" s="175">
        <f t="array" ref="F24">IFERROR(INDEX(Usage!$B$5:$P$18,MATCH($B24,Usage!$B$5:$B$18,0),MATCH($C24&amp;$D24&amp;$E24,Usage!$B$5:$S$5&amp;Usage!$B$6:$S$6&amp;Usage!$B$7:$S$7,0)),0)</f>
        <v>1340</v>
      </c>
      <c r="G24" s="3" t="s">
        <v>79</v>
      </c>
      <c r="H24" s="172"/>
      <c r="I24" s="172" cm="1">
        <f t="array" ref="I24">ROUND(IFERROR(INDEX('Detail inputs'!$B$3:$K$196,MATCH($B24&amp;$C24&amp;$E24&amp;$G24&amp;I$5,'Detail inputs'!$B$3:$B$196&amp;'Detail inputs'!$D$3:$D$196&amp;'Detail inputs'!$F$3:$F$196&amp;'Detail inputs'!$G$3:$G$196&amp;'Detail inputs'!$H$3:$H$196,0),MATCH(I$4,'Detail inputs'!$B$3:$K$3,0)),0)*SUM(I20:I23), 2)</f>
        <v>1.1000000000000001</v>
      </c>
      <c r="J24" s="172">
        <f t="shared" si="9"/>
        <v>1.4740000000000002</v>
      </c>
      <c r="K24" s="191">
        <f>IFERROR(J24/J25,"")</f>
        <v>5.3037608486017365E-2</v>
      </c>
      <c r="L24" s="188"/>
      <c r="M24" s="191">
        <f t="shared" si="11"/>
        <v>-0.12727272727272754</v>
      </c>
      <c r="N24" s="188"/>
      <c r="O24" s="172"/>
      <c r="P24" s="172" cm="1">
        <f t="array" ref="P24">ROUND(IFERROR(INDEX('Detail inputs'!$B$3:$K$196,MATCH($B24&amp;$C24&amp;$E24&amp;$G24&amp;P$5,'Detail inputs'!$B$3:$B$196&amp;'Detail inputs'!$D$3:$D$196&amp;'Detail inputs'!$F$3:$F$196&amp;'Detail inputs'!$G$3:$G$196&amp;'Detail inputs'!$H$3:$H$196,0),MATCH(P$4,'Detail inputs'!$B$3:$K$3,0)),0)*SUM(P20:P23), 2)</f>
        <v>0.96</v>
      </c>
      <c r="Q24" s="172">
        <f t="shared" si="10"/>
        <v>1.2863999999999998</v>
      </c>
      <c r="R24" s="191">
        <f>IFERROR(Q24/Q25,"")</f>
        <v>5.1145444858817259E-2</v>
      </c>
      <c r="S24" s="63"/>
    </row>
    <row r="25" spans="1:19" s="20" customFormat="1" outlineLevel="1" x14ac:dyDescent="0.25">
      <c r="A25" s="3"/>
      <c r="B25" s="3" t="str">
        <f t="shared" si="6"/>
        <v>Ausgrid</v>
      </c>
      <c r="C25" s="3" t="str">
        <f t="shared" si="7"/>
        <v>Residential</v>
      </c>
      <c r="D25" s="3" t="str">
        <f t="shared" si="8"/>
        <v>with CL</v>
      </c>
      <c r="E25" s="3" t="s">
        <v>16</v>
      </c>
      <c r="F25" s="175">
        <f t="array" ref="F25">IFERROR(INDEX(Usage!$B$5:$P$18,MATCH($B25,Usage!$B$5:$B$18,0),MATCH($C25&amp;$D25&amp;$E25,Usage!$B$5:$S$5&amp;Usage!$B$6:$S$6&amp;Usage!$B$7:$S$7,0)),0)</f>
        <v>1340</v>
      </c>
      <c r="G25" s="3" t="s">
        <v>61</v>
      </c>
      <c r="H25" s="172"/>
      <c r="I25" s="172">
        <f t="array" ref="I25">INDEX('Key inputs'!$B$17:$N$41,MATCH($B25&amp;$C25&amp;$E25,'Key inputs'!$B$17:$B$41&amp;'Key inputs'!$C$17:$C$41&amp;'Key inputs'!$D$17:$D$41,0),MATCH($A$2&amp;I$4,'Key inputs'!$B$18:$N$18&amp;'Key inputs'!$B$19:$N$19,0))</f>
        <v>20.74</v>
      </c>
      <c r="J25" s="172">
        <f t="shared" si="9"/>
        <v>27.791599999999999</v>
      </c>
      <c r="K25" s="192"/>
      <c r="L25" s="197"/>
      <c r="M25" s="192">
        <f t="shared" si="11"/>
        <v>-9.4985535197685711E-2</v>
      </c>
      <c r="N25" s="197"/>
      <c r="O25" s="172"/>
      <c r="P25" s="172">
        <f t="array" ref="P25">INDEX('Key inputs'!$B$17:$N$41,MATCH($B25&amp;$C25&amp;$E25,'Key inputs'!$B$17:$B$41&amp;'Key inputs'!$C$17:$C$41&amp;'Key inputs'!$D$17:$D$41,0),MATCH($A$2&amp;P$4,'Key inputs'!$B$18:$N$18&amp;'Key inputs'!$B$19:$N$19,0))</f>
        <v>18.77</v>
      </c>
      <c r="Q25" s="172">
        <f t="shared" si="10"/>
        <v>25.151799999999998</v>
      </c>
      <c r="R25" s="192"/>
    </row>
    <row r="26" spans="1:19" s="20" customFormat="1" outlineLevel="1" x14ac:dyDescent="0.25">
      <c r="A26" s="3"/>
      <c r="B26" s="3" t="str">
        <f t="shared" si="6"/>
        <v>Ausgrid</v>
      </c>
      <c r="C26" s="3" t="str">
        <f t="shared" si="7"/>
        <v>Residential</v>
      </c>
      <c r="D26" s="3" t="str">
        <f t="shared" si="8"/>
        <v>with CL</v>
      </c>
      <c r="E26" s="3" t="s">
        <v>17</v>
      </c>
      <c r="F26" s="175">
        <f t="array" ref="F26">IFERROR(INDEX(Usage!$B$5:$P$18,MATCH($B26,Usage!$B$5:$B$18,0),MATCH($C26&amp;$D26&amp;$E26,Usage!$B$5:$S$5&amp;Usage!$B$6:$S$6&amp;Usage!$B$7:$S$7,0)),0)</f>
        <v>660</v>
      </c>
      <c r="G26" s="3" t="s">
        <v>80</v>
      </c>
      <c r="H26" s="172"/>
      <c r="I26" s="172">
        <f t="array" ref="I26">IFERROR(INDEX('Detail inputs'!$B$3:$K$196,MATCH($B26&amp;$G26&amp;I$5,'Detail inputs'!$B$3:$B$196&amp;'Detail inputs'!$G$3:$G$196&amp;'Detail inputs'!$H$3:$H$196,0),MATCH(I$4,'Detail inputs'!$B$3:$K$3,0)),0)</f>
        <v>5.13</v>
      </c>
      <c r="J26" s="172">
        <f t="shared" si="9"/>
        <v>3.3857999999999997</v>
      </c>
      <c r="K26" s="191">
        <f>IFERROR(J26/J31,"")</f>
        <v>0.2473481195756991</v>
      </c>
      <c r="L26" s="188"/>
      <c r="M26" s="191">
        <f t="shared" si="11"/>
        <v>0.41715399610136461</v>
      </c>
      <c r="N26" s="188"/>
      <c r="O26" s="172"/>
      <c r="P26" s="172">
        <f t="array" ref="P26">IFERROR(INDEX('Detail inputs'!$B$3:$K$196,MATCH($B26&amp;$G26&amp;P$5,'Detail inputs'!$B$3:$B$196&amp;'Detail inputs'!$G$3:$G$196&amp;'Detail inputs'!$H$3:$H$196,0),MATCH(P$4,'Detail inputs'!$B$3:$K$3,0)),0)</f>
        <v>7.27</v>
      </c>
      <c r="Q26" s="172">
        <f t="shared" si="10"/>
        <v>4.7981999999999996</v>
      </c>
      <c r="R26" s="191">
        <f>IFERROR(Q26/Q31,"")</f>
        <v>0.38732019179541821</v>
      </c>
    </row>
    <row r="27" spans="1:19" s="20" customFormat="1" outlineLevel="1" x14ac:dyDescent="0.25">
      <c r="A27" s="3"/>
      <c r="B27" s="3" t="str">
        <f t="shared" si="6"/>
        <v>Ausgrid</v>
      </c>
      <c r="C27" s="3" t="str">
        <f t="shared" si="7"/>
        <v>Residential</v>
      </c>
      <c r="D27" s="3" t="str">
        <f t="shared" si="8"/>
        <v>with CL</v>
      </c>
      <c r="E27" s="3" t="s">
        <v>17</v>
      </c>
      <c r="F27" s="175">
        <f t="array" ref="F27">IFERROR(INDEX(Usage!$B$5:$P$18,MATCH($B27,Usage!$B$5:$B$18,0),MATCH($C27&amp;$D27&amp;$E27,Usage!$B$5:$S$5&amp;Usage!$B$6:$S$6&amp;Usage!$B$7:$S$7,0)),0)</f>
        <v>660</v>
      </c>
      <c r="G27" s="3" t="s">
        <v>81</v>
      </c>
      <c r="H27" s="172"/>
      <c r="I27" s="172">
        <f t="array" ref="I27">IFERROR(INDEX('Detail inputs'!$B$3:$K$196,MATCH($B27&amp;$G27&amp;I$5,'Detail inputs'!$B$3:$B$196&amp;'Detail inputs'!$G$3:$G$196&amp;'Detail inputs'!$H$3:$H$196,0),MATCH(I$4,'Detail inputs'!$B$3:$K$3,0)),0)</f>
        <v>10.9</v>
      </c>
      <c r="J27" s="172">
        <f t="shared" si="9"/>
        <v>7.194</v>
      </c>
      <c r="K27" s="192">
        <f>IFERROR(J27/J31,"")</f>
        <v>0.52555448408871741</v>
      </c>
      <c r="L27" s="189"/>
      <c r="M27" s="192">
        <f t="shared" si="11"/>
        <v>-0.37064220183486229</v>
      </c>
      <c r="N27" s="189"/>
      <c r="O27" s="172"/>
      <c r="P27" s="172">
        <f t="array" ref="P27">IFERROR(INDEX('Detail inputs'!$B$3:$K$196,MATCH($B27&amp;$G27&amp;P$5,'Detail inputs'!$B$3:$B$196&amp;'Detail inputs'!$G$3:$G$196&amp;'Detail inputs'!$H$3:$H$196,0),MATCH(P$4,'Detail inputs'!$B$3:$K$3,0)),0)</f>
        <v>6.86</v>
      </c>
      <c r="Q27" s="172">
        <f t="shared" si="10"/>
        <v>4.5276000000000005</v>
      </c>
      <c r="R27" s="192">
        <f>IFERROR(Q27/Q31,"")</f>
        <v>0.36547682472029841</v>
      </c>
    </row>
    <row r="28" spans="1:19" s="20" customFormat="1" outlineLevel="1" x14ac:dyDescent="0.25">
      <c r="A28" s="3"/>
      <c r="B28" s="3" t="str">
        <f t="shared" si="6"/>
        <v>Ausgrid</v>
      </c>
      <c r="C28" s="3" t="str">
        <f t="shared" si="7"/>
        <v>Residential</v>
      </c>
      <c r="D28" s="3" t="str">
        <f t="shared" si="8"/>
        <v>with CL</v>
      </c>
      <c r="E28" s="3" t="s">
        <v>17</v>
      </c>
      <c r="F28" s="175">
        <f t="array" ref="F28">IFERROR(INDEX(Usage!$B$5:$P$18,MATCH($B28,Usage!$B$5:$B$18,0),MATCH($C28&amp;$D28&amp;$E28,Usage!$B$5:$S$5&amp;Usage!$B$6:$S$6&amp;Usage!$B$7:$S$7,0)),0)</f>
        <v>660</v>
      </c>
      <c r="G28" s="3" t="s">
        <v>82</v>
      </c>
      <c r="H28" s="172"/>
      <c r="I28" s="172">
        <f t="array" ref="I28">IFERROR(INDEX('Detail inputs'!$B$3:$K$196,MATCH($B28&amp;$G28&amp;I$5,'Detail inputs'!$B$3:$B$196&amp;'Detail inputs'!$G$3:$G$196&amp;'Detail inputs'!$H$3:$H$196,0),MATCH(I$4,'Detail inputs'!$B$3:$K$3,0)),0)</f>
        <v>3.39</v>
      </c>
      <c r="J28" s="172">
        <f t="shared" si="9"/>
        <v>2.2374000000000001</v>
      </c>
      <c r="K28" s="192">
        <f>IFERROR(J28/J31,"")</f>
        <v>0.16345226615236258</v>
      </c>
      <c r="L28" s="189"/>
      <c r="M28" s="192">
        <f t="shared" si="11"/>
        <v>-3.8348082595870303E-2</v>
      </c>
      <c r="N28" s="189"/>
      <c r="O28" s="172"/>
      <c r="P28" s="172">
        <f t="array" ref="P28">IFERROR(INDEX('Detail inputs'!$B$3:$K$196,MATCH($B28&amp;$G28&amp;P$5,'Detail inputs'!$B$3:$B$196&amp;'Detail inputs'!$G$3:$G$196&amp;'Detail inputs'!$H$3:$H$196,0),MATCH(P$4,'Detail inputs'!$B$3:$K$3,0)),0)</f>
        <v>3.26</v>
      </c>
      <c r="Q28" s="172">
        <f t="shared" si="10"/>
        <v>2.1515999999999997</v>
      </c>
      <c r="R28" s="192">
        <f>IFERROR(Q28/Q31,"")</f>
        <v>0.1736814064997336</v>
      </c>
    </row>
    <row r="29" spans="1:19" s="20" customFormat="1" outlineLevel="1" x14ac:dyDescent="0.25">
      <c r="A29" s="3"/>
      <c r="B29" s="3" t="str">
        <f t="shared" si="6"/>
        <v>Ausgrid</v>
      </c>
      <c r="C29" s="3" t="str">
        <f t="shared" si="7"/>
        <v>Residential</v>
      </c>
      <c r="D29" s="3" t="str">
        <f t="shared" si="8"/>
        <v>with CL</v>
      </c>
      <c r="E29" s="3" t="s">
        <v>17</v>
      </c>
      <c r="F29" s="175">
        <f t="array" ref="F29">IFERROR(INDEX(Usage!$B$5:$P$18,MATCH($B29,Usage!$B$5:$B$18,0),MATCH($C29&amp;$D29&amp;$E29,Usage!$B$5:$S$5&amp;Usage!$B$6:$S$6&amp;Usage!$B$7:$S$7,0)),0)</f>
        <v>660</v>
      </c>
      <c r="G29" s="3" t="s">
        <v>198</v>
      </c>
      <c r="H29" s="172"/>
      <c r="I29" s="172">
        <f t="array" ref="I29">IFERROR(INDEX('Detail inputs'!$B$3:$K$196,MATCH($B29&amp;$G29&amp;I$5,'Detail inputs'!$B$3:$B$196&amp;'Detail inputs'!$G$3:$G$196&amp;'Detail inputs'!$H$3:$H$196,0),MATCH(I$4,'Detail inputs'!$B$3:$K$3,0)),0)</f>
        <v>0.21803668755877201</v>
      </c>
      <c r="J29" s="172">
        <f t="shared" ref="J29" si="15">IF(AND(H29="",I29=""),"",H29+I29*$F29/1000)</f>
        <v>0.14390421378878951</v>
      </c>
      <c r="K29" s="192">
        <f>IFERROR(J29/J31,"")</f>
        <v>1.0512858609391128E-2</v>
      </c>
      <c r="L29" s="189"/>
      <c r="M29" s="192">
        <f t="shared" ref="M29" si="16">IF(OR(J29=0,Q29=""),"",Q29/J29-1)</f>
        <v>0.92628132770907468</v>
      </c>
      <c r="N29" s="189"/>
      <c r="O29" s="172"/>
      <c r="P29" s="172">
        <f t="array" ref="P29">IFERROR(INDEX('Detail inputs'!$B$3:$K$196,MATCH($B29&amp;$G29&amp;P$5,'Detail inputs'!$B$3:$B$196&amp;'Detail inputs'!$G$3:$G$196&amp;'Detail inputs'!$H$3:$H$196,0),MATCH(P$4,'Detail inputs'!$B$3:$K$3,0)),0)</f>
        <v>0.42</v>
      </c>
      <c r="Q29" s="172">
        <f t="shared" ref="Q29" si="17">IF(AND(O29="",P29=""),"",O29+P29*$F29/1000)</f>
        <v>0.2772</v>
      </c>
      <c r="R29" s="192">
        <f>IFERROR(Q29/Q31,"")</f>
        <v>2.2376132125732553E-2</v>
      </c>
    </row>
    <row r="30" spans="1:19" s="20" customFormat="1" outlineLevel="1" x14ac:dyDescent="0.25">
      <c r="A30" s="3"/>
      <c r="B30" s="3" t="str">
        <f t="shared" si="6"/>
        <v>Ausgrid</v>
      </c>
      <c r="C30" s="3" t="str">
        <f t="shared" si="7"/>
        <v>Residential</v>
      </c>
      <c r="D30" s="3" t="str">
        <f t="shared" si="8"/>
        <v>with CL</v>
      </c>
      <c r="E30" s="3" t="s">
        <v>17</v>
      </c>
      <c r="F30" s="175">
        <f t="array" ref="F30">IFERROR(INDEX(Usage!$B$5:$P$18,MATCH($B30,Usage!$B$5:$B$18,0),MATCH($C30&amp;$D30&amp;$E30,Usage!$B$5:$S$5&amp;Usage!$B$6:$S$6&amp;Usage!$B$7:$S$7,0)),0)</f>
        <v>660</v>
      </c>
      <c r="G30" s="3" t="s">
        <v>79</v>
      </c>
      <c r="H30" s="172"/>
      <c r="I30" s="172" cm="1">
        <f t="array" ref="I30">ROUND(IFERROR(INDEX('Detail inputs'!$B$3:$K$196,MATCH($B30&amp;$C30&amp;$E30&amp;$G30&amp;I$5,'Detail inputs'!$B$3:$B$196&amp;'Detail inputs'!$D$3:$D$196&amp;'Detail inputs'!$F$3:$F$196&amp;'Detail inputs'!$G$3:$G$196&amp;'Detail inputs'!$H$3:$H$196,0),MATCH(I$4,'Detail inputs'!$B$3:$K$3,0)),0)*SUM(I26:I29), 2)</f>
        <v>1.1000000000000001</v>
      </c>
      <c r="J30" s="172">
        <f t="shared" si="9"/>
        <v>0.72600000000000009</v>
      </c>
      <c r="K30" s="192">
        <f>IFERROR(J30/J31,"")</f>
        <v>5.3037608486017365E-2</v>
      </c>
      <c r="L30" s="189"/>
      <c r="M30" s="192">
        <f t="shared" si="11"/>
        <v>-0.12727272727272732</v>
      </c>
      <c r="N30" s="189"/>
      <c r="O30" s="172"/>
      <c r="P30" s="172" cm="1">
        <f t="array" ref="P30">ROUND(IFERROR(INDEX('Detail inputs'!$B$3:$K$196,MATCH($B30&amp;$C30&amp;$E30&amp;$G30&amp;P$5,'Detail inputs'!$B$3:$B$196&amp;'Detail inputs'!$D$3:$D$196&amp;'Detail inputs'!$F$3:$F$196&amp;'Detail inputs'!$G$3:$G$196&amp;'Detail inputs'!$H$3:$H$196,0),MATCH(P$4,'Detail inputs'!$B$3:$K$3,0)),0)*SUM(P26:P29), 2)</f>
        <v>0.96</v>
      </c>
      <c r="Q30" s="172">
        <f t="shared" si="10"/>
        <v>0.63360000000000005</v>
      </c>
      <c r="R30" s="192">
        <f>IFERROR(Q30/Q31,"")</f>
        <v>5.1145444858817266E-2</v>
      </c>
      <c r="S30" s="63"/>
    </row>
    <row r="31" spans="1:19" s="20" customFormat="1" outlineLevel="1" x14ac:dyDescent="0.25">
      <c r="A31" s="3"/>
      <c r="B31" s="3" t="str">
        <f t="shared" si="6"/>
        <v>Ausgrid</v>
      </c>
      <c r="C31" s="3" t="str">
        <f t="shared" si="7"/>
        <v>Residential</v>
      </c>
      <c r="D31" s="3" t="str">
        <f t="shared" si="8"/>
        <v>with CL</v>
      </c>
      <c r="E31" s="3" t="s">
        <v>17</v>
      </c>
      <c r="F31" s="175">
        <f t="array" ref="F31">IFERROR(INDEX(Usage!$B$5:$P$18,MATCH($B31,Usage!$B$5:$B$18,0),MATCH($C31&amp;$D31&amp;$E31,Usage!$B$5:$S$5&amp;Usage!$B$6:$S$6&amp;Usage!$B$7:$S$7,0)),0)</f>
        <v>660</v>
      </c>
      <c r="G31" s="3" t="s">
        <v>61</v>
      </c>
      <c r="H31" s="172"/>
      <c r="I31" s="172">
        <f t="array" ref="I31">INDEX('Key inputs'!$B$17:$N$41,MATCH($B31&amp;$C31&amp;$E31,'Key inputs'!$B$17:$B$41&amp;'Key inputs'!$C$17:$C$41&amp;'Key inputs'!$D$17:$D$41,0),MATCH($A$2&amp;I$4,'Key inputs'!$B$18:$N$18&amp;'Key inputs'!$B$19:$N$19,0))</f>
        <v>20.74</v>
      </c>
      <c r="J31" s="172">
        <f t="shared" si="9"/>
        <v>13.6884</v>
      </c>
      <c r="K31" s="192"/>
      <c r="L31" s="197"/>
      <c r="M31" s="192">
        <f t="shared" si="11"/>
        <v>-9.49855351976856E-2</v>
      </c>
      <c r="N31" s="197"/>
      <c r="O31" s="172"/>
      <c r="P31" s="172">
        <f t="array" ref="P31">INDEX('Key inputs'!$B$17:$N$41,MATCH($B31&amp;$C31&amp;$E31,'Key inputs'!$B$17:$B$41&amp;'Key inputs'!$C$17:$C$41&amp;'Key inputs'!$D$17:$D$41,0),MATCH($A$2&amp;P$4,'Key inputs'!$B$18:$N$18&amp;'Key inputs'!$B$19:$N$19,0))</f>
        <v>18.77</v>
      </c>
      <c r="Q31" s="172">
        <f t="shared" si="10"/>
        <v>12.388199999999999</v>
      </c>
      <c r="R31" s="192"/>
    </row>
    <row r="32" spans="1:19" s="20" customFormat="1" x14ac:dyDescent="0.25">
      <c r="A32" s="3"/>
      <c r="B32" s="3" t="str">
        <f t="shared" si="6"/>
        <v>Ausgrid</v>
      </c>
      <c r="C32" s="3" t="str">
        <f t="shared" si="7"/>
        <v>Residential</v>
      </c>
      <c r="D32" s="3" t="str">
        <f t="shared" si="8"/>
        <v>with CL</v>
      </c>
      <c r="E32" s="3" t="s">
        <v>61</v>
      </c>
      <c r="F32" s="175">
        <f t="array" ref="F32">IFERROR(INDEX(Usage!$B$5:$P$18,MATCH($B32,Usage!$B$5:$B$18,0),MATCH($C32&amp;$D32&amp;$E32,Usage!$B$5:$S$5&amp;Usage!$B$6:$S$6&amp;Usage!$B$7:$S$7,0)),0)</f>
        <v>6800</v>
      </c>
      <c r="G32" s="3" t="s">
        <v>61</v>
      </c>
      <c r="H32" s="172"/>
      <c r="I32" s="172">
        <f>I19+I25+I31</f>
        <v>62.16</v>
      </c>
      <c r="J32" s="172">
        <f>J19+J25+J31</f>
        <v>140.744</v>
      </c>
      <c r="K32" s="192"/>
      <c r="L32" s="197"/>
      <c r="M32" s="192">
        <f t="shared" si="11"/>
        <v>-9.4838856363326451E-2</v>
      </c>
      <c r="N32" s="197"/>
      <c r="O32" s="172"/>
      <c r="P32" s="172">
        <f>P19+P25+P31</f>
        <v>56.259999999999991</v>
      </c>
      <c r="Q32" s="172">
        <f>Q19+Q25+Q31</f>
        <v>127.39599999999999</v>
      </c>
      <c r="R32" s="192"/>
    </row>
    <row r="33" spans="1:19" s="20" customFormat="1" outlineLevel="1" x14ac:dyDescent="0.25">
      <c r="A33" s="3"/>
      <c r="B33" s="3" t="str">
        <f t="shared" ref="B33:D34" si="18">B32</f>
        <v>Ausgrid</v>
      </c>
      <c r="C33" s="3" t="str">
        <f t="shared" si="18"/>
        <v>Residential</v>
      </c>
      <c r="D33" s="3" t="str">
        <f t="shared" si="18"/>
        <v>with CL</v>
      </c>
      <c r="E33" s="3"/>
      <c r="F33" s="175"/>
      <c r="G33" s="3" t="s">
        <v>41</v>
      </c>
      <c r="H33" s="172"/>
      <c r="I33" s="172"/>
      <c r="J33" s="172">
        <f>J32*GST</f>
        <v>14.074400000000001</v>
      </c>
      <c r="K33" s="192"/>
      <c r="L33" s="197"/>
      <c r="M33" s="192"/>
      <c r="N33" s="197"/>
      <c r="O33" s="172"/>
      <c r="P33" s="172"/>
      <c r="Q33" s="172">
        <f>Q32*GST</f>
        <v>12.739599999999999</v>
      </c>
      <c r="R33" s="193"/>
    </row>
    <row r="34" spans="1:19" s="20" customFormat="1" x14ac:dyDescent="0.25">
      <c r="A34" s="3"/>
      <c r="B34" s="3" t="str">
        <f t="shared" si="18"/>
        <v>Ausgrid</v>
      </c>
      <c r="C34" s="3" t="str">
        <f t="shared" si="18"/>
        <v>Residential</v>
      </c>
      <c r="D34" s="3" t="str">
        <f t="shared" si="18"/>
        <v>with CL</v>
      </c>
      <c r="E34" s="3"/>
      <c r="F34" s="175"/>
      <c r="G34" s="5" t="s">
        <v>87</v>
      </c>
      <c r="H34" s="174"/>
      <c r="I34" s="174"/>
      <c r="J34" s="174">
        <f>SUM(J32:J33)</f>
        <v>154.8184</v>
      </c>
      <c r="K34" s="193"/>
      <c r="L34" s="198"/>
      <c r="M34" s="193">
        <f>IF(OR(J34=0,Q34=""),"",Q34/J34-1)</f>
        <v>-9.4838856363326451E-2</v>
      </c>
      <c r="N34" s="198"/>
      <c r="O34" s="174"/>
      <c r="P34" s="174"/>
      <c r="Q34" s="174">
        <f>SUM(Q32:Q33)</f>
        <v>140.13559999999998</v>
      </c>
      <c r="R34" s="193"/>
    </row>
    <row r="35" spans="1:19" s="20" customFormat="1" x14ac:dyDescent="0.25">
      <c r="A35" s="3"/>
      <c r="B35" s="3"/>
      <c r="C35" s="3"/>
      <c r="D35" s="3"/>
      <c r="E35" s="3"/>
      <c r="F35" s="175"/>
      <c r="G35" s="3"/>
      <c r="H35" s="172"/>
      <c r="I35" s="172"/>
      <c r="J35" s="172"/>
      <c r="K35" s="191"/>
      <c r="L35" s="197"/>
      <c r="M35" s="191"/>
      <c r="N35" s="197"/>
      <c r="O35" s="172"/>
      <c r="P35" s="172"/>
      <c r="Q35" s="172"/>
      <c r="R35" s="191"/>
    </row>
    <row r="36" spans="1:19" s="20" customFormat="1" x14ac:dyDescent="0.25">
      <c r="A36" s="3"/>
      <c r="B36" s="5" t="s">
        <v>2</v>
      </c>
      <c r="C36" s="5" t="s">
        <v>15</v>
      </c>
      <c r="D36" s="5" t="s">
        <v>146</v>
      </c>
      <c r="E36" s="3"/>
      <c r="F36" s="175"/>
      <c r="G36" s="3"/>
      <c r="H36" s="172"/>
      <c r="I36" s="172"/>
      <c r="J36" s="172"/>
      <c r="K36" s="191"/>
      <c r="L36" s="197"/>
      <c r="M36" s="191"/>
      <c r="N36" s="197"/>
      <c r="O36" s="172"/>
      <c r="P36" s="172"/>
      <c r="Q36" s="172"/>
      <c r="R36" s="191"/>
    </row>
    <row r="37" spans="1:19" s="20" customFormat="1" outlineLevel="1" x14ac:dyDescent="0.25">
      <c r="A37" s="3"/>
      <c r="B37" s="3" t="str">
        <f t="shared" ref="B37:D44" si="19">B36</f>
        <v>Ausgrid</v>
      </c>
      <c r="C37" s="3" t="str">
        <f t="shared" si="19"/>
        <v>Small business</v>
      </c>
      <c r="D37" s="3" t="str">
        <f t="shared" si="19"/>
        <v>without CL</v>
      </c>
      <c r="E37" s="3" t="s">
        <v>22</v>
      </c>
      <c r="F37" s="175">
        <f t="array" ref="F37">IFERROR(INDEX(Usage!$B$5:$P$18,MATCH($B37,Usage!$B$5:$B$18,0),MATCH($C37&amp;$D37&amp;$E37,Usage!$B$5:$S$5&amp;Usage!$B$6:$S$6&amp;Usage!$B$7:$S$7,0)),0)</f>
        <v>10000</v>
      </c>
      <c r="G37" s="3" t="s">
        <v>80</v>
      </c>
      <c r="H37" s="172"/>
      <c r="I37" s="172">
        <f t="array" ref="I37">IFERROR(INDEX('Detail inputs'!$B$3:$K$196,MATCH($B37&amp;$G37&amp;I$5,'Detail inputs'!$B$3:$B$196&amp;'Detail inputs'!$G$3:$G$196&amp;'Detail inputs'!$H$3:$H$196,0),MATCH(I$4,'Detail inputs'!$B$3:$K$3,0)),0)</f>
        <v>5.13</v>
      </c>
      <c r="J37" s="172">
        <f t="shared" ref="J37:J42" si="20">IF(AND(H37="",I37=""),"",H37+I37*$F37/1000)</f>
        <v>51.3</v>
      </c>
      <c r="K37" s="191">
        <f>IFERROR(J37/J42,"")</f>
        <v>0.24806576402321082</v>
      </c>
      <c r="L37" s="188"/>
      <c r="M37" s="191">
        <f t="shared" ref="M37:M42" si="21">IF(OR(J37=0,Q37=""),"",Q37/J37-1)</f>
        <v>0.41715399610136461</v>
      </c>
      <c r="N37" s="188"/>
      <c r="O37" s="172"/>
      <c r="P37" s="172">
        <f t="array" ref="P37">IFERROR(INDEX('Detail inputs'!$B$3:$K$196,MATCH($B37&amp;$G37&amp;P$5,'Detail inputs'!$B$3:$B$196&amp;'Detail inputs'!$G$3:$G$196&amp;'Detail inputs'!$H$3:$H$196,0),MATCH(P$4,'Detail inputs'!$B$3:$K$3,0)),0)</f>
        <v>7.27</v>
      </c>
      <c r="Q37" s="172">
        <f t="shared" ref="Q37:Q42" si="22">IF(AND(O37="",P37=""),"",O37+P37*$F37/1000)</f>
        <v>72.7</v>
      </c>
      <c r="R37" s="191">
        <f>IFERROR(Q37/Q42,"")</f>
        <v>0.38835470085470092</v>
      </c>
    </row>
    <row r="38" spans="1:19" s="20" customFormat="1" outlineLevel="1" x14ac:dyDescent="0.25">
      <c r="A38" s="3"/>
      <c r="B38" s="3" t="str">
        <f t="shared" si="19"/>
        <v>Ausgrid</v>
      </c>
      <c r="C38" s="3" t="str">
        <f t="shared" si="19"/>
        <v>Small business</v>
      </c>
      <c r="D38" s="3" t="str">
        <f t="shared" si="19"/>
        <v>without CL</v>
      </c>
      <c r="E38" s="3" t="s">
        <v>22</v>
      </c>
      <c r="F38" s="175">
        <f t="array" ref="F38">IFERROR(INDEX(Usage!$B$5:$P$18,MATCH($B38,Usage!$B$5:$B$18,0),MATCH($C38&amp;$D38&amp;$E38,Usage!$B$5:$S$5&amp;Usage!$B$6:$S$6&amp;Usage!$B$7:$S$7,0)),0)</f>
        <v>10000</v>
      </c>
      <c r="G38" s="3" t="s">
        <v>81</v>
      </c>
      <c r="H38" s="172"/>
      <c r="I38" s="172">
        <f t="array" ref="I38">IFERROR(INDEX('Detail inputs'!$B$3:$K$196,MATCH($B38&amp;$G38&amp;I$5,'Detail inputs'!$B$3:$B$196&amp;'Detail inputs'!$G$3:$G$196&amp;'Detail inputs'!$H$3:$H$196,0),MATCH(I$4,'Detail inputs'!$B$3:$K$3,0)),0)</f>
        <v>10.9</v>
      </c>
      <c r="J38" s="172">
        <f t="shared" si="20"/>
        <v>109</v>
      </c>
      <c r="K38" s="191">
        <f>IFERROR(J38/J42,"")</f>
        <v>0.52707930367504829</v>
      </c>
      <c r="L38" s="188"/>
      <c r="M38" s="191">
        <f t="shared" si="21"/>
        <v>-0.37064220183486241</v>
      </c>
      <c r="N38" s="188"/>
      <c r="O38" s="172"/>
      <c r="P38" s="172">
        <f t="array" ref="P38">IFERROR(INDEX('Detail inputs'!$B$3:$K$196,MATCH($B38&amp;$G38&amp;P$5,'Detail inputs'!$B$3:$B$196&amp;'Detail inputs'!$G$3:$G$196&amp;'Detail inputs'!$H$3:$H$196,0),MATCH(P$4,'Detail inputs'!$B$3:$K$3,0)),0)</f>
        <v>6.86</v>
      </c>
      <c r="Q38" s="172">
        <f t="shared" si="22"/>
        <v>68.599999999999994</v>
      </c>
      <c r="R38" s="191">
        <f>IFERROR(Q38/Q42,"")</f>
        <v>0.36645299145299143</v>
      </c>
    </row>
    <row r="39" spans="1:19" s="20" customFormat="1" outlineLevel="1" x14ac:dyDescent="0.25">
      <c r="A39" s="3"/>
      <c r="B39" s="3" t="str">
        <f t="shared" si="19"/>
        <v>Ausgrid</v>
      </c>
      <c r="C39" s="3" t="str">
        <f t="shared" si="19"/>
        <v>Small business</v>
      </c>
      <c r="D39" s="3" t="str">
        <f t="shared" si="19"/>
        <v>without CL</v>
      </c>
      <c r="E39" s="3" t="s">
        <v>22</v>
      </c>
      <c r="F39" s="175">
        <f t="array" ref="F39">IFERROR(INDEX(Usage!$B$5:$P$18,MATCH($B39,Usage!$B$5:$B$18,0),MATCH($C39&amp;$D39&amp;$E39,Usage!$B$5:$S$5&amp;Usage!$B$6:$S$6&amp;Usage!$B$7:$S$7,0)),0)</f>
        <v>10000</v>
      </c>
      <c r="G39" s="3" t="s">
        <v>82</v>
      </c>
      <c r="H39" s="172"/>
      <c r="I39" s="172">
        <f t="array" ref="I39">IFERROR(INDEX('Detail inputs'!$B$3:$K$196,MATCH($B39&amp;$G39&amp;I$5,'Detail inputs'!$B$3:$B$196&amp;'Detail inputs'!$G$3:$G$196&amp;'Detail inputs'!$H$3:$H$196,0),MATCH(I$4,'Detail inputs'!$B$3:$K$3,0)),0)</f>
        <v>3.39</v>
      </c>
      <c r="J39" s="172">
        <f t="shared" si="20"/>
        <v>33.9</v>
      </c>
      <c r="K39" s="191">
        <f>IFERROR(J39/J42,"")</f>
        <v>0.16392649903288201</v>
      </c>
      <c r="L39" s="188"/>
      <c r="M39" s="191">
        <f t="shared" si="21"/>
        <v>-3.8348082595870303E-2</v>
      </c>
      <c r="N39" s="188"/>
      <c r="O39" s="172"/>
      <c r="P39" s="172">
        <f t="array" ref="P39">IFERROR(INDEX('Detail inputs'!$B$3:$K$196,MATCH($B39&amp;$G39&amp;P$5,'Detail inputs'!$B$3:$B$196&amp;'Detail inputs'!$G$3:$G$196&amp;'Detail inputs'!$H$3:$H$196,0),MATCH(P$4,'Detail inputs'!$B$3:$K$3,0)),0)</f>
        <v>3.26</v>
      </c>
      <c r="Q39" s="172">
        <f t="shared" si="22"/>
        <v>32.599999999999994</v>
      </c>
      <c r="R39" s="191">
        <f>IFERROR(Q39/Q42,"")</f>
        <v>0.17414529914529914</v>
      </c>
    </row>
    <row r="40" spans="1:19" s="20" customFormat="1" outlineLevel="1" x14ac:dyDescent="0.25">
      <c r="A40" s="3"/>
      <c r="B40" s="3" t="str">
        <f t="shared" si="19"/>
        <v>Ausgrid</v>
      </c>
      <c r="C40" s="3" t="str">
        <f t="shared" si="19"/>
        <v>Small business</v>
      </c>
      <c r="D40" s="3" t="str">
        <f t="shared" si="19"/>
        <v>without CL</v>
      </c>
      <c r="E40" s="3" t="s">
        <v>22</v>
      </c>
      <c r="F40" s="175">
        <f t="array" ref="F40">IFERROR(INDEX(Usage!$B$5:$P$18,MATCH($B40,Usage!$B$5:$B$18,0),MATCH($C40&amp;$D40&amp;$E40,Usage!$B$5:$S$5&amp;Usage!$B$6:$S$6&amp;Usage!$B$7:$S$7,0)),0)</f>
        <v>10000</v>
      </c>
      <c r="G40" s="3" t="s">
        <v>198</v>
      </c>
      <c r="H40" s="172"/>
      <c r="I40" s="172">
        <f t="array" ref="I40">IFERROR(INDEX('Detail inputs'!$B$3:$K$196,MATCH($B40&amp;$G40&amp;I$5,'Detail inputs'!$B$3:$B$196&amp;'Detail inputs'!$G$3:$G$196&amp;'Detail inputs'!$H$3:$H$196,0),MATCH(I$4,'Detail inputs'!$B$3:$K$3,0)),0)</f>
        <v>0.21803668755877201</v>
      </c>
      <c r="J40" s="172">
        <f t="shared" si="20"/>
        <v>2.1803668755877204</v>
      </c>
      <c r="K40" s="191">
        <f>IFERROR(J40/J42,"")</f>
        <v>1.0543360133402903E-2</v>
      </c>
      <c r="L40" s="188"/>
      <c r="M40" s="191">
        <f t="shared" si="21"/>
        <v>0.92628132770907445</v>
      </c>
      <c r="N40" s="188"/>
      <c r="O40" s="172"/>
      <c r="P40" s="172">
        <f t="array" ref="P40">IFERROR(INDEX('Detail inputs'!$B$3:$K$196,MATCH($B40&amp;$G40&amp;P$5,'Detail inputs'!$B$3:$B$196&amp;'Detail inputs'!$G$3:$G$196&amp;'Detail inputs'!$H$3:$H$196,0),MATCH(P$4,'Detail inputs'!$B$3:$K$3,0)),0)</f>
        <v>0.42</v>
      </c>
      <c r="Q40" s="172">
        <f t="shared" si="22"/>
        <v>4.2</v>
      </c>
      <c r="R40" s="191">
        <f>IFERROR(Q40/Q42,"")</f>
        <v>2.2435897435897439E-2</v>
      </c>
    </row>
    <row r="41" spans="1:19" s="20" customFormat="1" outlineLevel="1" x14ac:dyDescent="0.25">
      <c r="A41" s="3"/>
      <c r="B41" s="3" t="str">
        <f t="shared" si="19"/>
        <v>Ausgrid</v>
      </c>
      <c r="C41" s="3" t="str">
        <f t="shared" si="19"/>
        <v>Small business</v>
      </c>
      <c r="D41" s="3" t="str">
        <f t="shared" si="19"/>
        <v>without CL</v>
      </c>
      <c r="E41" s="3" t="s">
        <v>22</v>
      </c>
      <c r="F41" s="175">
        <f t="array" ref="F41">IFERROR(INDEX(Usage!$B$5:$P$18,MATCH($B41,Usage!$B$5:$B$18,0),MATCH($C41&amp;$D41&amp;$E41,Usage!$B$5:$S$5&amp;Usage!$B$6:$S$6&amp;Usage!$B$7:$S$7,0)),0)</f>
        <v>10000</v>
      </c>
      <c r="G41" s="3" t="s">
        <v>79</v>
      </c>
      <c r="H41" s="172"/>
      <c r="I41" s="172" cm="1">
        <f t="array" ref="I41">ROUND(IFERROR(INDEX('Detail inputs'!$B$3:$K$196,MATCH($B41&amp;$C41&amp;$E41&amp;$G41&amp;I$5,'Detail inputs'!$B$3:$B$196&amp;'Detail inputs'!$D$3:$D$196&amp;'Detail inputs'!$F$3:$F$196&amp;'Detail inputs'!$G$3:$G$196&amp;'Detail inputs'!$H$3:$H$196,0),MATCH(I$4,'Detail inputs'!$B$3:$K$3,0)),0)*SUM(I37:I40), 2)</f>
        <v>1.04</v>
      </c>
      <c r="J41" s="172">
        <f t="shared" si="20"/>
        <v>10.4</v>
      </c>
      <c r="K41" s="191">
        <f>IFERROR(J41/J42,"")</f>
        <v>5.0290135396518373E-2</v>
      </c>
      <c r="L41" s="188"/>
      <c r="M41" s="191">
        <f t="shared" si="21"/>
        <v>-0.12500000000000011</v>
      </c>
      <c r="N41" s="188"/>
      <c r="O41" s="172"/>
      <c r="P41" s="172" cm="1">
        <f t="array" ref="P41">ROUND(IFERROR(INDEX('Detail inputs'!$B$3:$K$196,MATCH($B41&amp;$C41&amp;$E41&amp;$G41&amp;P$5,'Detail inputs'!$B$3:$B$196&amp;'Detail inputs'!$D$3:$D$196&amp;'Detail inputs'!$F$3:$F$196&amp;'Detail inputs'!$G$3:$G$196&amp;'Detail inputs'!$H$3:$H$196,0),MATCH(P$4,'Detail inputs'!$B$3:$K$3,0)),0)*SUM(P37:P40), 2)</f>
        <v>0.91</v>
      </c>
      <c r="Q41" s="172">
        <f t="shared" si="22"/>
        <v>9.1</v>
      </c>
      <c r="R41" s="191">
        <f>IFERROR(Q41/Q42,"")</f>
        <v>4.8611111111111112E-2</v>
      </c>
      <c r="S41" s="63"/>
    </row>
    <row r="42" spans="1:19" s="20" customFormat="1" x14ac:dyDescent="0.25">
      <c r="A42" s="3"/>
      <c r="B42" s="3" t="str">
        <f t="shared" si="19"/>
        <v>Ausgrid</v>
      </c>
      <c r="C42" s="3" t="str">
        <f t="shared" si="19"/>
        <v>Small business</v>
      </c>
      <c r="D42" s="3" t="str">
        <f t="shared" si="19"/>
        <v>without CL</v>
      </c>
      <c r="E42" s="3" t="s">
        <v>22</v>
      </c>
      <c r="F42" s="175">
        <f t="array" ref="F42">IFERROR(INDEX(Usage!$B$5:$P$18,MATCH($B42,Usage!$B$5:$B$18,0),MATCH($C42&amp;$D42&amp;$E42,Usage!$B$5:$S$5&amp;Usage!$B$6:$S$6&amp;Usage!$B$7:$S$7,0)),0)</f>
        <v>10000</v>
      </c>
      <c r="G42" s="3" t="s">
        <v>61</v>
      </c>
      <c r="H42" s="172"/>
      <c r="I42" s="172">
        <f t="array" ref="I42">INDEX('Key inputs'!$B$17:$N$41,MATCH($B42&amp;$C42&amp;$E42,'Key inputs'!$B$17:$B$41&amp;'Key inputs'!$C$17:$C$41&amp;'Key inputs'!$D$17:$D$41,0),MATCH($A$2&amp;I$4,'Key inputs'!$B$18:$N$18&amp;'Key inputs'!$B$19:$N$19,0))</f>
        <v>20.68</v>
      </c>
      <c r="J42" s="172">
        <f t="shared" si="20"/>
        <v>206.8</v>
      </c>
      <c r="K42" s="192"/>
      <c r="L42" s="197"/>
      <c r="M42" s="192">
        <f t="shared" si="21"/>
        <v>-9.4777562862669362E-2</v>
      </c>
      <c r="N42" s="197"/>
      <c r="O42" s="172"/>
      <c r="P42" s="172">
        <f t="array" ref="P42">INDEX('Key inputs'!$B$17:$N$41,MATCH($B42&amp;$C42&amp;$E42,'Key inputs'!$B$17:$B$41&amp;'Key inputs'!$C$17:$C$41&amp;'Key inputs'!$D$17:$D$41,0),MATCH($A$2&amp;P$4,'Key inputs'!$B$18:$N$18&amp;'Key inputs'!$B$19:$N$19,0))</f>
        <v>18.72</v>
      </c>
      <c r="Q42" s="172">
        <f t="shared" si="22"/>
        <v>187.2</v>
      </c>
      <c r="R42" s="192"/>
    </row>
    <row r="43" spans="1:19" s="20" customFormat="1" outlineLevel="1" x14ac:dyDescent="0.25">
      <c r="A43" s="3"/>
      <c r="B43" s="3" t="str">
        <f t="shared" si="19"/>
        <v>Ausgrid</v>
      </c>
      <c r="C43" s="3" t="str">
        <f t="shared" si="19"/>
        <v>Small business</v>
      </c>
      <c r="D43" s="3" t="str">
        <f t="shared" si="19"/>
        <v>without CL</v>
      </c>
      <c r="E43" s="3"/>
      <c r="F43" s="175"/>
      <c r="G43" s="3" t="s">
        <v>41</v>
      </c>
      <c r="H43" s="172"/>
      <c r="I43" s="172"/>
      <c r="J43" s="172">
        <f>J42*GST</f>
        <v>20.680000000000003</v>
      </c>
      <c r="K43" s="192"/>
      <c r="L43" s="197"/>
      <c r="M43" s="192"/>
      <c r="N43" s="197"/>
      <c r="O43" s="172"/>
      <c r="P43" s="172"/>
      <c r="Q43" s="172">
        <f>Q42*GST</f>
        <v>18.72</v>
      </c>
      <c r="R43" s="191"/>
    </row>
    <row r="44" spans="1:19" s="20" customFormat="1" x14ac:dyDescent="0.25">
      <c r="A44" s="3"/>
      <c r="B44" s="3" t="str">
        <f t="shared" si="19"/>
        <v>Ausgrid</v>
      </c>
      <c r="C44" s="3" t="str">
        <f t="shared" si="19"/>
        <v>Small business</v>
      </c>
      <c r="D44" s="3" t="str">
        <f t="shared" si="19"/>
        <v>without CL</v>
      </c>
      <c r="E44" s="3"/>
      <c r="F44" s="175"/>
      <c r="G44" s="5" t="s">
        <v>87</v>
      </c>
      <c r="H44" s="174"/>
      <c r="I44" s="174"/>
      <c r="J44" s="174">
        <f>SUM(J42:J43)</f>
        <v>227.48000000000002</v>
      </c>
      <c r="K44" s="193"/>
      <c r="L44" s="198"/>
      <c r="M44" s="193">
        <f>IF(OR(J44=0,Q44=""),"",Q44/J44-1)</f>
        <v>-9.4777562862669362E-2</v>
      </c>
      <c r="N44" s="198"/>
      <c r="O44" s="174"/>
      <c r="P44" s="174"/>
      <c r="Q44" s="174">
        <f>SUM(Q42:Q43)</f>
        <v>205.92</v>
      </c>
      <c r="R44" s="191"/>
    </row>
    <row r="45" spans="1:19" s="20" customFormat="1" x14ac:dyDescent="0.25">
      <c r="A45" s="3"/>
      <c r="B45" s="3"/>
      <c r="C45" s="3"/>
      <c r="D45" s="3"/>
      <c r="E45" s="3"/>
      <c r="F45" s="175"/>
      <c r="G45" s="3"/>
      <c r="H45" s="172"/>
      <c r="I45" s="172"/>
      <c r="J45" s="172"/>
      <c r="K45" s="191"/>
      <c r="L45" s="197"/>
      <c r="M45" s="191"/>
      <c r="N45" s="197"/>
      <c r="O45" s="172"/>
      <c r="P45" s="172"/>
      <c r="Q45" s="172"/>
      <c r="R45" s="191"/>
    </row>
    <row r="46" spans="1:19" s="20" customFormat="1" x14ac:dyDescent="0.25">
      <c r="A46" s="3"/>
      <c r="B46" s="5" t="s">
        <v>4</v>
      </c>
      <c r="C46" s="5" t="s">
        <v>6</v>
      </c>
      <c r="D46" s="5" t="s">
        <v>146</v>
      </c>
      <c r="E46" s="3"/>
      <c r="F46" s="175"/>
      <c r="G46" s="3"/>
      <c r="H46" s="172"/>
      <c r="I46" s="172"/>
      <c r="J46" s="172"/>
      <c r="K46" s="191"/>
      <c r="L46" s="197"/>
      <c r="M46" s="191"/>
      <c r="N46" s="197"/>
      <c r="O46" s="172"/>
      <c r="P46" s="172"/>
      <c r="Q46" s="172"/>
      <c r="R46" s="191"/>
    </row>
    <row r="47" spans="1:19" s="20" customFormat="1" outlineLevel="1" x14ac:dyDescent="0.25">
      <c r="A47" s="3"/>
      <c r="B47" s="3" t="str">
        <f t="shared" ref="B47:D54" si="23">B46</f>
        <v>Endeavour</v>
      </c>
      <c r="C47" s="3" t="str">
        <f t="shared" si="23"/>
        <v>Residential</v>
      </c>
      <c r="D47" s="3" t="str">
        <f t="shared" si="23"/>
        <v>without CL</v>
      </c>
      <c r="E47" s="3" t="s">
        <v>22</v>
      </c>
      <c r="F47" s="175">
        <f t="array" ref="F47">IFERROR(INDEX(Usage!$B$5:$P$18,MATCH($B47,Usage!$B$5:$B$18,0),MATCH($C47&amp;$D47&amp;$E47&amp;"Total",Usage!$B$5:$S$5&amp;Usage!$B$6:$S$6&amp;Usage!$B$7:$S$7&amp;Usage!$B$13:$S$13,0)),0)</f>
        <v>4900</v>
      </c>
      <c r="G47" s="3" t="s">
        <v>80</v>
      </c>
      <c r="H47" s="172"/>
      <c r="I47" s="172">
        <f t="array" ref="I47">IFERROR(INDEX('Detail inputs'!$B$3:$K$196,MATCH($B47&amp;$G47&amp;I$5,'Detail inputs'!$B$3:$B$196&amp;'Detail inputs'!$G$3:$G$196&amp;'Detail inputs'!$H$3:$H$196,0),MATCH(I$4,'Detail inputs'!$B$3:$K$3,0)),0)</f>
        <v>5.13</v>
      </c>
      <c r="J47" s="172">
        <f t="shared" ref="J47:J52" si="24">IF(AND(H47="",I47=""),"",H47+I47*$F47/1000)</f>
        <v>25.137</v>
      </c>
      <c r="K47" s="191">
        <f>IFERROR(J47/J52,"")</f>
        <v>0.24639769452449567</v>
      </c>
      <c r="L47" s="188"/>
      <c r="M47" s="191">
        <f t="shared" ref="M47:M52" si="25">IF(OR(J47=0,Q47=""),"",Q47/J47-1)</f>
        <v>0.41715399610136439</v>
      </c>
      <c r="N47" s="188"/>
      <c r="O47" s="172"/>
      <c r="P47" s="172">
        <f t="array" ref="P47">IFERROR(INDEX('Detail inputs'!$B$3:$K$196,MATCH($B47&amp;$G47&amp;P$5,'Detail inputs'!$B$3:$B$196&amp;'Detail inputs'!$G$3:$G$196&amp;'Detail inputs'!$H$3:$H$196,0),MATCH(P$4,'Detail inputs'!$B$3:$K$3,0)),0)</f>
        <v>7.27</v>
      </c>
      <c r="Q47" s="172">
        <f t="shared" ref="Q47:Q52" si="26">IF(AND(O47="",P47=""),"",O47+P47*$F47/1000)</f>
        <v>35.622999999999998</v>
      </c>
      <c r="R47" s="191">
        <f>IFERROR(Q47/Q52,"")</f>
        <v>0.38506355932203384</v>
      </c>
    </row>
    <row r="48" spans="1:19" s="20" customFormat="1" outlineLevel="1" x14ac:dyDescent="0.25">
      <c r="A48" s="3"/>
      <c r="B48" s="3" t="str">
        <f t="shared" si="23"/>
        <v>Endeavour</v>
      </c>
      <c r="C48" s="3" t="str">
        <f t="shared" si="23"/>
        <v>Residential</v>
      </c>
      <c r="D48" s="3" t="str">
        <f t="shared" si="23"/>
        <v>without CL</v>
      </c>
      <c r="E48" s="3" t="s">
        <v>22</v>
      </c>
      <c r="F48" s="175">
        <f t="array" ref="F48">IFERROR(INDEX(Usage!$B$5:$P$18,MATCH($B48,Usage!$B$5:$B$18,0),MATCH($C48&amp;$D48&amp;$E48&amp;"Total",Usage!$B$5:$S$5&amp;Usage!$B$6:$S$6&amp;Usage!$B$7:$S$7&amp;Usage!$B$13:$S$13,0)),0)</f>
        <v>4900</v>
      </c>
      <c r="G48" s="3" t="s">
        <v>81</v>
      </c>
      <c r="H48" s="172"/>
      <c r="I48" s="172">
        <f t="array" ref="I48">IFERROR(INDEX('Detail inputs'!$B$3:$K$196,MATCH($B48&amp;$G48&amp;I$5,'Detail inputs'!$B$3:$B$196&amp;'Detail inputs'!$G$3:$G$196&amp;'Detail inputs'!$H$3:$H$196,0),MATCH(I$4,'Detail inputs'!$B$3:$K$3,0)),0)</f>
        <v>10.9</v>
      </c>
      <c r="J48" s="172">
        <f t="shared" si="24"/>
        <v>53.41</v>
      </c>
      <c r="K48" s="191">
        <f>IFERROR(J48/J52,"")</f>
        <v>0.52353506243996151</v>
      </c>
      <c r="L48" s="188"/>
      <c r="M48" s="191">
        <f t="shared" si="25"/>
        <v>-0.37064220183486241</v>
      </c>
      <c r="N48" s="188"/>
      <c r="O48" s="172"/>
      <c r="P48" s="172">
        <f t="array" ref="P48">IFERROR(INDEX('Detail inputs'!$B$3:$K$196,MATCH($B48&amp;$G48&amp;P$5,'Detail inputs'!$B$3:$B$196&amp;'Detail inputs'!$G$3:$G$196&amp;'Detail inputs'!$H$3:$H$196,0),MATCH(P$4,'Detail inputs'!$B$3:$K$3,0)),0)</f>
        <v>6.86</v>
      </c>
      <c r="Q48" s="172">
        <f t="shared" si="26"/>
        <v>33.613999999999997</v>
      </c>
      <c r="R48" s="191">
        <f>IFERROR(Q48/Q52,"")</f>
        <v>0.36334745762711862</v>
      </c>
    </row>
    <row r="49" spans="1:19" s="20" customFormat="1" outlineLevel="1" x14ac:dyDescent="0.25">
      <c r="A49" s="3"/>
      <c r="B49" s="3" t="str">
        <f t="shared" si="23"/>
        <v>Endeavour</v>
      </c>
      <c r="C49" s="3" t="str">
        <f t="shared" si="23"/>
        <v>Residential</v>
      </c>
      <c r="D49" s="3" t="str">
        <f t="shared" si="23"/>
        <v>without CL</v>
      </c>
      <c r="E49" s="3" t="s">
        <v>22</v>
      </c>
      <c r="F49" s="175">
        <f t="array" ref="F49">IFERROR(INDEX(Usage!$B$5:$P$18,MATCH($B49,Usage!$B$5:$B$18,0),MATCH($C49&amp;$D49&amp;$E49&amp;"Total",Usage!$B$5:$S$5&amp;Usage!$B$6:$S$6&amp;Usage!$B$7:$S$7&amp;Usage!$B$13:$S$13,0)),0)</f>
        <v>4900</v>
      </c>
      <c r="G49" s="3" t="s">
        <v>82</v>
      </c>
      <c r="H49" s="172"/>
      <c r="I49" s="172">
        <f t="array" ref="I49">IFERROR(INDEX('Detail inputs'!$B$3:$K$196,MATCH($B49&amp;$G49&amp;I$5,'Detail inputs'!$B$3:$B$196&amp;'Detail inputs'!$G$3:$G$196&amp;'Detail inputs'!$H$3:$H$196,0),MATCH(I$4,'Detail inputs'!$B$3:$K$3,0)),0)</f>
        <v>3.39</v>
      </c>
      <c r="J49" s="172">
        <f t="shared" si="24"/>
        <v>16.611000000000001</v>
      </c>
      <c r="K49" s="191">
        <f>IFERROR(J49/J52,"")</f>
        <v>0.16282420749279539</v>
      </c>
      <c r="L49" s="188"/>
      <c r="M49" s="191">
        <f t="shared" si="25"/>
        <v>-3.8348082595870303E-2</v>
      </c>
      <c r="N49" s="188"/>
      <c r="O49" s="172"/>
      <c r="P49" s="172">
        <f t="array" ref="P49">IFERROR(INDEX('Detail inputs'!$B$3:$K$196,MATCH($B49&amp;$G49&amp;P$5,'Detail inputs'!$B$3:$B$196&amp;'Detail inputs'!$G$3:$G$196&amp;'Detail inputs'!$H$3:$H$196,0),MATCH(P$4,'Detail inputs'!$B$3:$K$3,0)),0)</f>
        <v>3.26</v>
      </c>
      <c r="Q49" s="172">
        <f t="shared" si="26"/>
        <v>15.973999999999998</v>
      </c>
      <c r="R49" s="191">
        <f>IFERROR(Q49/Q52,"")</f>
        <v>0.17266949152542371</v>
      </c>
    </row>
    <row r="50" spans="1:19" s="20" customFormat="1" outlineLevel="1" x14ac:dyDescent="0.25">
      <c r="A50" s="3"/>
      <c r="B50" s="3" t="str">
        <f t="shared" si="23"/>
        <v>Endeavour</v>
      </c>
      <c r="C50" s="3" t="str">
        <f t="shared" si="23"/>
        <v>Residential</v>
      </c>
      <c r="D50" s="3" t="str">
        <f t="shared" si="23"/>
        <v>without CL</v>
      </c>
      <c r="E50" s="3" t="s">
        <v>22</v>
      </c>
      <c r="F50" s="175">
        <f t="array" ref="F50">IFERROR(INDEX(Usage!$B$5:$P$18,MATCH($B50,Usage!$B$5:$B$18,0),MATCH($C50&amp;$D50&amp;$E50&amp;"Total",Usage!$B$5:$S$5&amp;Usage!$B$6:$S$6&amp;Usage!$B$7:$S$7&amp;Usage!$B$13:$S$13,0)),0)</f>
        <v>4900</v>
      </c>
      <c r="G50" s="3" t="s">
        <v>198</v>
      </c>
      <c r="H50" s="172"/>
      <c r="I50" s="172" cm="1">
        <f t="array" ref="I50">IFERROR(INDEX('Detail inputs'!$B$3:$K$196,MATCH($B50&amp;$G50&amp;I$5,'Detail inputs'!$B$3:$B$196&amp;'Detail inputs'!$G$3:$G$196&amp;'Detail inputs'!$H$3:$H$196,0),MATCH(I$4,'Detail inputs'!$B$3:$K$3,0)),0)</f>
        <v>0.21803668755877201</v>
      </c>
      <c r="J50" s="172">
        <f t="shared" si="24"/>
        <v>1.0683797690379828</v>
      </c>
      <c r="K50" s="191">
        <f>IFERROR(J50/J52,"")</f>
        <v>1.0472463379383862E-2</v>
      </c>
      <c r="L50" s="188"/>
      <c r="M50" s="191">
        <f t="shared" si="25"/>
        <v>0.92628132770907445</v>
      </c>
      <c r="N50" s="188"/>
      <c r="O50" s="172"/>
      <c r="P50" s="172">
        <f t="array" ref="P50">IFERROR(INDEX('Detail inputs'!$B$3:$K$196,MATCH($B50&amp;$G50&amp;P$5,'Detail inputs'!$B$3:$B$196&amp;'Detail inputs'!$G$3:$G$196&amp;'Detail inputs'!$H$3:$H$196,0),MATCH(P$4,'Detail inputs'!$B$3:$K$3,0)),0)</f>
        <v>0.42</v>
      </c>
      <c r="Q50" s="172">
        <f t="shared" si="26"/>
        <v>2.0579999999999998</v>
      </c>
      <c r="R50" s="191">
        <f>IFERROR(Q50/Q52,"")</f>
        <v>2.2245762711864406E-2</v>
      </c>
    </row>
    <row r="51" spans="1:19" s="20" customFormat="1" outlineLevel="1" x14ac:dyDescent="0.25">
      <c r="A51" s="3"/>
      <c r="B51" s="3" t="str">
        <f t="shared" si="23"/>
        <v>Endeavour</v>
      </c>
      <c r="C51" s="3" t="str">
        <f t="shared" si="23"/>
        <v>Residential</v>
      </c>
      <c r="D51" s="3" t="str">
        <f t="shared" si="23"/>
        <v>without CL</v>
      </c>
      <c r="E51" s="3" t="s">
        <v>22</v>
      </c>
      <c r="F51" s="175">
        <f t="array" ref="F51">IFERROR(INDEX(Usage!$B$5:$P$18,MATCH($B51,Usage!$B$5:$B$18,0),MATCH($C51&amp;$D51&amp;$E51&amp;"Total",Usage!$B$5:$S$5&amp;Usage!$B$6:$S$6&amp;Usage!$B$7:$S$7&amp;Usage!$B$13:$S$13,0)),0)</f>
        <v>4900</v>
      </c>
      <c r="G51" s="3" t="s">
        <v>79</v>
      </c>
      <c r="H51" s="172"/>
      <c r="I51" s="172" cm="1">
        <f t="array" ref="I51">ROUND(IFERROR(INDEX('Detail inputs'!$B$3:$K$196,MATCH($B51&amp;$C51&amp;$E51&amp;$G51&amp;I$5,'Detail inputs'!$B$3:$B$196&amp;'Detail inputs'!$D$3:$D$196&amp;'Detail inputs'!$F$3:$F$196&amp;'Detail inputs'!$G$3:$G$196&amp;'Detail inputs'!$H$3:$H$196,0),MATCH(I$4,'Detail inputs'!$B$3:$K$3,0)),0)*SUM(I47:I50), 2)</f>
        <v>1.18</v>
      </c>
      <c r="J51" s="172">
        <f t="shared" si="24"/>
        <v>5.782</v>
      </c>
      <c r="K51" s="191">
        <f>IFERROR(J51/J52,"")</f>
        <v>5.6676272814601344E-2</v>
      </c>
      <c r="L51" s="188"/>
      <c r="M51" s="191">
        <f t="shared" si="25"/>
        <v>-9.3220338983050821E-2</v>
      </c>
      <c r="N51" s="188"/>
      <c r="O51" s="172"/>
      <c r="P51" s="172" cm="1">
        <f t="array" ref="P51">ROUND(IFERROR(INDEX('Detail inputs'!$B$3:$K$196,MATCH($B51&amp;$C51&amp;$E51&amp;$G51&amp;P$5,'Detail inputs'!$B$3:$B$196&amp;'Detail inputs'!$D$3:$D$196&amp;'Detail inputs'!$F$3:$F$196&amp;'Detail inputs'!$G$3:$G$196&amp;'Detail inputs'!$H$3:$H$196,0),MATCH(P$4,'Detail inputs'!$B$3:$K$3,0)),0)*SUM(P47:P50), 2)</f>
        <v>1.07</v>
      </c>
      <c r="Q51" s="172">
        <f t="shared" si="26"/>
        <v>5.2430000000000003</v>
      </c>
      <c r="R51" s="191">
        <f>IFERROR(Q51/Q52,"")</f>
        <v>5.6673728813559324E-2</v>
      </c>
      <c r="S51" s="63"/>
    </row>
    <row r="52" spans="1:19" s="20" customFormat="1" x14ac:dyDescent="0.25">
      <c r="A52" s="3"/>
      <c r="B52" s="3" t="str">
        <f t="shared" si="23"/>
        <v>Endeavour</v>
      </c>
      <c r="C52" s="3" t="str">
        <f t="shared" si="23"/>
        <v>Residential</v>
      </c>
      <c r="D52" s="3" t="str">
        <f t="shared" si="23"/>
        <v>without CL</v>
      </c>
      <c r="E52" s="3" t="s">
        <v>22</v>
      </c>
      <c r="F52" s="175">
        <f t="array" ref="F52">IFERROR(INDEX(Usage!$B$5:$P$18,MATCH($B52,Usage!$B$5:$B$18,0),MATCH($C52&amp;$D52&amp;$E52&amp;"Total",Usage!$B$5:$S$5&amp;Usage!$B$6:$S$6&amp;Usage!$B$7:$S$7&amp;Usage!$B$13:$S$13,0)),0)</f>
        <v>4900</v>
      </c>
      <c r="G52" s="3" t="s">
        <v>61</v>
      </c>
      <c r="H52" s="172"/>
      <c r="I52" s="172" cm="1">
        <f t="array" ref="I52">INDEX('Key inputs'!$B$17:$N$41,MATCH($B52&amp;$C52&amp;$E52,'Key inputs'!$B$17:$B$41&amp;'Key inputs'!$C$17:$C$41&amp;'Key inputs'!$D$17:$D$41,0),MATCH($A$2&amp;I$4,'Key inputs'!$B$18:$N$18&amp;'Key inputs'!$B$19:$N$19,0))</f>
        <v>20.82</v>
      </c>
      <c r="J52" s="172">
        <f t="shared" si="24"/>
        <v>102.018</v>
      </c>
      <c r="K52" s="192"/>
      <c r="L52" s="197"/>
      <c r="M52" s="192">
        <f t="shared" si="25"/>
        <v>-9.3179634966378488E-2</v>
      </c>
      <c r="N52" s="197"/>
      <c r="O52" s="172"/>
      <c r="P52" s="172" cm="1">
        <f t="array" ref="P52">INDEX('Key inputs'!$B$17:$N$41,MATCH($B52&amp;$C52&amp;$E52,'Key inputs'!$B$17:$B$41&amp;'Key inputs'!$C$17:$C$41&amp;'Key inputs'!$D$17:$D$41,0),MATCH($A$2&amp;P$4,'Key inputs'!$B$18:$N$18&amp;'Key inputs'!$B$19:$N$19,0))</f>
        <v>18.88</v>
      </c>
      <c r="Q52" s="172">
        <f t="shared" si="26"/>
        <v>92.512</v>
      </c>
      <c r="R52" s="192"/>
    </row>
    <row r="53" spans="1:19" s="20" customFormat="1" outlineLevel="1" x14ac:dyDescent="0.25">
      <c r="A53" s="3"/>
      <c r="B53" s="3" t="str">
        <f t="shared" si="23"/>
        <v>Endeavour</v>
      </c>
      <c r="C53" s="3" t="str">
        <f t="shared" si="23"/>
        <v>Residential</v>
      </c>
      <c r="D53" s="3" t="str">
        <f t="shared" si="23"/>
        <v>without CL</v>
      </c>
      <c r="E53" s="3"/>
      <c r="F53" s="175"/>
      <c r="G53" s="3" t="s">
        <v>41</v>
      </c>
      <c r="H53" s="172"/>
      <c r="I53" s="172"/>
      <c r="J53" s="172">
        <f>J52*GST</f>
        <v>10.2018</v>
      </c>
      <c r="K53" s="192"/>
      <c r="L53" s="197"/>
      <c r="M53" s="192"/>
      <c r="N53" s="197"/>
      <c r="O53" s="172"/>
      <c r="P53" s="172"/>
      <c r="Q53" s="172">
        <f>Q52*GST</f>
        <v>9.2512000000000008</v>
      </c>
      <c r="R53" s="193"/>
    </row>
    <row r="54" spans="1:19" s="20" customFormat="1" x14ac:dyDescent="0.25">
      <c r="A54" s="3"/>
      <c r="B54" s="3" t="str">
        <f t="shared" si="23"/>
        <v>Endeavour</v>
      </c>
      <c r="C54" s="3" t="str">
        <f t="shared" si="23"/>
        <v>Residential</v>
      </c>
      <c r="D54" s="3" t="str">
        <f t="shared" si="23"/>
        <v>without CL</v>
      </c>
      <c r="E54" s="3"/>
      <c r="F54" s="175"/>
      <c r="G54" s="5" t="s">
        <v>87</v>
      </c>
      <c r="H54" s="174"/>
      <c r="I54" s="174"/>
      <c r="J54" s="174">
        <f>SUM(J52:J53)</f>
        <v>112.21980000000001</v>
      </c>
      <c r="K54" s="193"/>
      <c r="L54" s="198"/>
      <c r="M54" s="193">
        <f>IF(OR(J54=0,Q54=""),"",Q54/J54-1)</f>
        <v>-9.3179634966378599E-2</v>
      </c>
      <c r="N54" s="198"/>
      <c r="O54" s="174"/>
      <c r="P54" s="174"/>
      <c r="Q54" s="174">
        <f>SUM(Q52:Q53)</f>
        <v>101.7632</v>
      </c>
      <c r="R54" s="193"/>
    </row>
    <row r="55" spans="1:19" s="20" customFormat="1" x14ac:dyDescent="0.25">
      <c r="A55" s="3"/>
      <c r="B55" s="3"/>
      <c r="C55" s="3"/>
      <c r="D55" s="3"/>
      <c r="E55" s="3"/>
      <c r="F55" s="175"/>
      <c r="G55" s="3"/>
      <c r="H55" s="172"/>
      <c r="I55" s="172"/>
      <c r="J55" s="172"/>
      <c r="K55" s="191"/>
      <c r="L55" s="197"/>
      <c r="M55" s="191"/>
      <c r="N55" s="197"/>
      <c r="O55" s="172"/>
      <c r="P55" s="172"/>
      <c r="Q55" s="172"/>
      <c r="R55" s="191"/>
    </row>
    <row r="56" spans="1:19" s="20" customFormat="1" x14ac:dyDescent="0.25">
      <c r="A56" s="3"/>
      <c r="B56" s="5" t="s">
        <v>4</v>
      </c>
      <c r="C56" s="5" t="s">
        <v>6</v>
      </c>
      <c r="D56" s="5" t="s">
        <v>147</v>
      </c>
      <c r="E56" s="3"/>
      <c r="F56" s="175"/>
      <c r="G56" s="3"/>
      <c r="H56" s="172"/>
      <c r="I56" s="172"/>
      <c r="J56" s="172"/>
      <c r="K56" s="191"/>
      <c r="L56" s="197"/>
      <c r="M56" s="191"/>
      <c r="N56" s="197"/>
      <c r="O56" s="172"/>
      <c r="P56" s="172"/>
      <c r="Q56" s="172"/>
      <c r="R56" s="191"/>
    </row>
    <row r="57" spans="1:19" s="20" customFormat="1" outlineLevel="1" x14ac:dyDescent="0.25">
      <c r="A57" s="3"/>
      <c r="B57" s="3" t="str">
        <f t="shared" ref="B57:B70" si="27">B56</f>
        <v>Endeavour</v>
      </c>
      <c r="C57" s="3" t="str">
        <f t="shared" ref="C57:C70" si="28">C56</f>
        <v>Residential</v>
      </c>
      <c r="D57" s="3" t="str">
        <f t="shared" ref="D57:D70" si="29">D56</f>
        <v>with CL</v>
      </c>
      <c r="E57" s="3" t="s">
        <v>22</v>
      </c>
      <c r="F57" s="175">
        <f t="array" ref="F57">IFERROR(INDEX(Usage!$B$5:$P$18,MATCH($B57,Usage!$B$5:$B$18,0),MATCH($C57&amp;$D57&amp;$E57&amp;"Total",Usage!$B$5:$S$5&amp;Usage!$B$6:$S$6&amp;Usage!$B$7:$S$7&amp;Usage!$B$13:$S$13,0)),0)</f>
        <v>5200</v>
      </c>
      <c r="G57" s="3" t="s">
        <v>61</v>
      </c>
      <c r="H57" s="172"/>
      <c r="I57" s="172">
        <f>I52</f>
        <v>20.82</v>
      </c>
      <c r="J57" s="172">
        <f t="shared" ref="J57:J69" si="30">IF(AND(H57="",I57=""),"",H57+I57*$F57/1000)</f>
        <v>108.264</v>
      </c>
      <c r="K57" s="191"/>
      <c r="L57" s="197"/>
      <c r="M57" s="191">
        <f>IF(OR(J57=0,Q57=""),"",Q57/J57-1)</f>
        <v>-9.3179634966378377E-2</v>
      </c>
      <c r="N57" s="197"/>
      <c r="O57" s="172"/>
      <c r="P57" s="172">
        <f>P52</f>
        <v>18.88</v>
      </c>
      <c r="Q57" s="172">
        <f t="shared" ref="Q57:Q69" si="31">IF(AND(O57="",P57=""),"",O57+P57*$F57/1000)</f>
        <v>98.176000000000002</v>
      </c>
      <c r="R57" s="191"/>
    </row>
    <row r="58" spans="1:19" s="20" customFormat="1" outlineLevel="1" x14ac:dyDescent="0.25">
      <c r="A58" s="3"/>
      <c r="B58" s="3" t="str">
        <f t="shared" si="27"/>
        <v>Endeavour</v>
      </c>
      <c r="C58" s="3" t="str">
        <f t="shared" si="28"/>
        <v>Residential</v>
      </c>
      <c r="D58" s="3" t="str">
        <f t="shared" si="29"/>
        <v>with CL</v>
      </c>
      <c r="E58" s="3" t="s">
        <v>16</v>
      </c>
      <c r="F58" s="175">
        <f t="array" ref="F58">IFERROR(INDEX(Usage!$B$5:$P$18,MATCH($B58,Usage!$B$5:$B$18,0),MATCH($C58&amp;$D58&amp;$E58,Usage!$B$5:$S$5&amp;Usage!$B$6:$S$6&amp;Usage!$B$7:$S$7,0)),0)</f>
        <v>1474</v>
      </c>
      <c r="G58" s="3" t="s">
        <v>80</v>
      </c>
      <c r="H58" s="172"/>
      <c r="I58" s="172">
        <f t="array" ref="I58">IFERROR(INDEX('Detail inputs'!$B$3:$K$196,MATCH($B58&amp;$G58&amp;I$5,'Detail inputs'!$B$3:$B$196&amp;'Detail inputs'!$G$3:$G$196&amp;'Detail inputs'!$H$3:$H$196,0),MATCH(I$4,'Detail inputs'!$B$3:$K$3,0)),0)</f>
        <v>5.13</v>
      </c>
      <c r="J58" s="172">
        <f t="shared" si="30"/>
        <v>7.5616199999999996</v>
      </c>
      <c r="K58" s="191">
        <f>IFERROR(J58/J63,"")</f>
        <v>0.24639769452449564</v>
      </c>
      <c r="L58" s="188"/>
      <c r="M58" s="191">
        <f t="shared" ref="M58:M70" si="32">IF(OR(J58=0,Q58=""),"",Q58/J58-1)</f>
        <v>0.41715399610136461</v>
      </c>
      <c r="N58" s="188"/>
      <c r="O58" s="172"/>
      <c r="P58" s="172">
        <f t="array" ref="P58">IFERROR(INDEX('Detail inputs'!$B$3:$K$196,MATCH($B58&amp;$G58&amp;P$5,'Detail inputs'!$B$3:$B$196&amp;'Detail inputs'!$G$3:$G$196&amp;'Detail inputs'!$H$3:$H$196,0),MATCH(P$4,'Detail inputs'!$B$3:$K$3,0)),0)</f>
        <v>7.27</v>
      </c>
      <c r="Q58" s="172">
        <f t="shared" si="31"/>
        <v>10.71598</v>
      </c>
      <c r="R58" s="191">
        <f>IFERROR(Q58/Q63,"")</f>
        <v>0.3850635593220339</v>
      </c>
    </row>
    <row r="59" spans="1:19" s="20" customFormat="1" outlineLevel="1" x14ac:dyDescent="0.25">
      <c r="A59" s="3"/>
      <c r="B59" s="3" t="str">
        <f t="shared" si="27"/>
        <v>Endeavour</v>
      </c>
      <c r="C59" s="3" t="str">
        <f t="shared" si="28"/>
        <v>Residential</v>
      </c>
      <c r="D59" s="3" t="str">
        <f t="shared" si="29"/>
        <v>with CL</v>
      </c>
      <c r="E59" s="3" t="s">
        <v>16</v>
      </c>
      <c r="F59" s="175">
        <f t="array" ref="F59">IFERROR(INDEX(Usage!$B$5:$P$18,MATCH($B59,Usage!$B$5:$B$18,0),MATCH($C59&amp;$D59&amp;$E59,Usage!$B$5:$S$5&amp;Usage!$B$6:$S$6&amp;Usage!$B$7:$S$7,0)),0)</f>
        <v>1474</v>
      </c>
      <c r="G59" s="3" t="s">
        <v>81</v>
      </c>
      <c r="H59" s="172"/>
      <c r="I59" s="172">
        <f t="array" ref="I59">IFERROR(INDEX('Detail inputs'!$B$3:$K$196,MATCH($B59&amp;$G59&amp;I$5,'Detail inputs'!$B$3:$B$196&amp;'Detail inputs'!$G$3:$G$196&amp;'Detail inputs'!$H$3:$H$196,0),MATCH(I$4,'Detail inputs'!$B$3:$K$3,0)),0)</f>
        <v>10.9</v>
      </c>
      <c r="J59" s="172">
        <f t="shared" si="30"/>
        <v>16.066600000000001</v>
      </c>
      <c r="K59" s="191">
        <f>IFERROR(J59/J63,"")</f>
        <v>0.52353506243996162</v>
      </c>
      <c r="L59" s="188"/>
      <c r="M59" s="191">
        <f t="shared" si="32"/>
        <v>-0.37064220183486229</v>
      </c>
      <c r="N59" s="188"/>
      <c r="O59" s="172"/>
      <c r="P59" s="172">
        <f t="array" ref="P59">IFERROR(INDEX('Detail inputs'!$B$3:$K$196,MATCH($B59&amp;$G59&amp;P$5,'Detail inputs'!$B$3:$B$196&amp;'Detail inputs'!$G$3:$G$196&amp;'Detail inputs'!$H$3:$H$196,0),MATCH(P$4,'Detail inputs'!$B$3:$K$3,0)),0)</f>
        <v>6.86</v>
      </c>
      <c r="Q59" s="172">
        <f t="shared" si="31"/>
        <v>10.111640000000001</v>
      </c>
      <c r="R59" s="191">
        <f>IFERROR(Q59/Q63,"")</f>
        <v>0.36334745762711868</v>
      </c>
    </row>
    <row r="60" spans="1:19" s="20" customFormat="1" outlineLevel="1" x14ac:dyDescent="0.25">
      <c r="A60" s="3"/>
      <c r="B60" s="3" t="str">
        <f t="shared" si="27"/>
        <v>Endeavour</v>
      </c>
      <c r="C60" s="3" t="str">
        <f t="shared" si="28"/>
        <v>Residential</v>
      </c>
      <c r="D60" s="3" t="str">
        <f t="shared" si="29"/>
        <v>with CL</v>
      </c>
      <c r="E60" s="3" t="s">
        <v>16</v>
      </c>
      <c r="F60" s="175">
        <f t="array" ref="F60">IFERROR(INDEX(Usage!$B$5:$P$18,MATCH($B60,Usage!$B$5:$B$18,0),MATCH($C60&amp;$D60&amp;$E60,Usage!$B$5:$S$5&amp;Usage!$B$6:$S$6&amp;Usage!$B$7:$S$7,0)),0)</f>
        <v>1474</v>
      </c>
      <c r="G60" s="3" t="s">
        <v>82</v>
      </c>
      <c r="H60" s="172"/>
      <c r="I60" s="172">
        <f t="array" ref="I60">IFERROR(INDEX('Detail inputs'!$B$3:$K$196,MATCH($B60&amp;$G60&amp;I$5,'Detail inputs'!$B$3:$B$196&amp;'Detail inputs'!$G$3:$G$196&amp;'Detail inputs'!$H$3:$H$196,0),MATCH(I$4,'Detail inputs'!$B$3:$K$3,0)),0)</f>
        <v>3.39</v>
      </c>
      <c r="J60" s="172">
        <f t="shared" si="30"/>
        <v>4.9968600000000007</v>
      </c>
      <c r="K60" s="191">
        <f>IFERROR(J60/J63,"")</f>
        <v>0.16282420749279541</v>
      </c>
      <c r="L60" s="188"/>
      <c r="M60" s="191">
        <f t="shared" si="32"/>
        <v>-3.8348082595870414E-2</v>
      </c>
      <c r="N60" s="188"/>
      <c r="O60" s="172"/>
      <c r="P60" s="172">
        <f t="array" ref="P60">IFERROR(INDEX('Detail inputs'!$B$3:$K$196,MATCH($B60&amp;$G60&amp;P$5,'Detail inputs'!$B$3:$B$196&amp;'Detail inputs'!$G$3:$G$196&amp;'Detail inputs'!$H$3:$H$196,0),MATCH(P$4,'Detail inputs'!$B$3:$K$3,0)),0)</f>
        <v>3.26</v>
      </c>
      <c r="Q60" s="172">
        <f t="shared" si="31"/>
        <v>4.8052399999999995</v>
      </c>
      <c r="R60" s="191">
        <f>IFERROR(Q60/Q63,"")</f>
        <v>0.17266949152542371</v>
      </c>
    </row>
    <row r="61" spans="1:19" s="20" customFormat="1" outlineLevel="1" x14ac:dyDescent="0.25">
      <c r="A61" s="3"/>
      <c r="B61" s="3" t="str">
        <f t="shared" si="27"/>
        <v>Endeavour</v>
      </c>
      <c r="C61" s="3" t="str">
        <f t="shared" si="28"/>
        <v>Residential</v>
      </c>
      <c r="D61" s="3" t="str">
        <f t="shared" si="29"/>
        <v>with CL</v>
      </c>
      <c r="E61" s="3" t="s">
        <v>16</v>
      </c>
      <c r="F61" s="175">
        <f t="array" ref="F61">IFERROR(INDEX(Usage!$B$5:$P$18,MATCH($B61,Usage!$B$5:$B$18,0),MATCH($C61&amp;$D61&amp;$E61,Usage!$B$5:$S$5&amp;Usage!$B$6:$S$6&amp;Usage!$B$7:$S$7,0)),0)</f>
        <v>1474</v>
      </c>
      <c r="G61" s="3" t="s">
        <v>198</v>
      </c>
      <c r="H61" s="172"/>
      <c r="I61" s="172">
        <f t="array" ref="I61">IFERROR(INDEX('Detail inputs'!$B$3:$K$196,MATCH($B61&amp;$G61&amp;I$5,'Detail inputs'!$B$3:$B$196&amp;'Detail inputs'!$G$3:$G$196&amp;'Detail inputs'!$H$3:$H$196,0),MATCH(I$4,'Detail inputs'!$B$3:$K$3,0)),0)</f>
        <v>0.21803668755877201</v>
      </c>
      <c r="J61" s="172">
        <f t="shared" si="30"/>
        <v>0.32138607746162995</v>
      </c>
      <c r="K61" s="191">
        <f>IFERROR(J61/J63,"")</f>
        <v>1.0472463379383862E-2</v>
      </c>
      <c r="L61" s="188"/>
      <c r="M61" s="191">
        <f t="shared" si="32"/>
        <v>0.92628132770907445</v>
      </c>
      <c r="N61" s="188"/>
      <c r="O61" s="172"/>
      <c r="P61" s="172">
        <f t="array" ref="P61">IFERROR(INDEX('Detail inputs'!$B$3:$K$196,MATCH($B61&amp;$G61&amp;P$5,'Detail inputs'!$B$3:$B$196&amp;'Detail inputs'!$G$3:$G$196&amp;'Detail inputs'!$H$3:$H$196,0),MATCH(P$4,'Detail inputs'!$B$3:$K$3,0)),0)</f>
        <v>0.42</v>
      </c>
      <c r="Q61" s="172">
        <f t="shared" si="31"/>
        <v>0.61907999999999996</v>
      </c>
      <c r="R61" s="191">
        <f>IFERROR(Q61/Q63,"")</f>
        <v>2.2245762711864406E-2</v>
      </c>
    </row>
    <row r="62" spans="1:19" s="20" customFormat="1" outlineLevel="1" x14ac:dyDescent="0.25">
      <c r="A62" s="3"/>
      <c r="B62" s="3" t="str">
        <f t="shared" si="27"/>
        <v>Endeavour</v>
      </c>
      <c r="C62" s="3" t="str">
        <f t="shared" si="28"/>
        <v>Residential</v>
      </c>
      <c r="D62" s="3" t="str">
        <f t="shared" si="29"/>
        <v>with CL</v>
      </c>
      <c r="E62" s="3" t="s">
        <v>16</v>
      </c>
      <c r="F62" s="175">
        <f t="array" ref="F62">IFERROR(INDEX(Usage!$B$5:$P$18,MATCH($B62,Usage!$B$5:$B$18,0),MATCH($C62&amp;$D62&amp;$E62,Usage!$B$5:$S$5&amp;Usage!$B$6:$S$6&amp;Usage!$B$7:$S$7,0)),0)</f>
        <v>1474</v>
      </c>
      <c r="G62" s="3" t="s">
        <v>79</v>
      </c>
      <c r="H62" s="172"/>
      <c r="I62" s="172" cm="1">
        <f t="array" ref="I62">ROUND(IFERROR(INDEX('Detail inputs'!$B$3:$K$196,MATCH($B62&amp;$C62&amp;$E62&amp;$G62&amp;I$5,'Detail inputs'!$B$3:$B$196&amp;'Detail inputs'!$D$3:$D$196&amp;'Detail inputs'!$F$3:$F$196&amp;'Detail inputs'!$G$3:$G$196&amp;'Detail inputs'!$H$3:$H$196,0),MATCH(I$4,'Detail inputs'!$B$3:$K$3,0)),0)*SUM(I58:I61), 2)</f>
        <v>1.18</v>
      </c>
      <c r="J62" s="172">
        <f t="shared" si="30"/>
        <v>1.73932</v>
      </c>
      <c r="K62" s="191">
        <f>IFERROR(J62/J63,"")</f>
        <v>5.6676272814601344E-2</v>
      </c>
      <c r="L62" s="188"/>
      <c r="M62" s="191">
        <f t="shared" si="32"/>
        <v>-9.3220338983050821E-2</v>
      </c>
      <c r="N62" s="188"/>
      <c r="O62" s="172"/>
      <c r="P62" s="172" cm="1">
        <f t="array" ref="P62">ROUND(IFERROR(INDEX('Detail inputs'!$B$3:$K$196,MATCH($B62&amp;$C62&amp;$E62&amp;$G62&amp;P$5,'Detail inputs'!$B$3:$B$196&amp;'Detail inputs'!$D$3:$D$196&amp;'Detail inputs'!$F$3:$F$196&amp;'Detail inputs'!$G$3:$G$196&amp;'Detail inputs'!$H$3:$H$196,0),MATCH(P$4,'Detail inputs'!$B$3:$K$3,0)),0)*SUM(P58:P61), 2)</f>
        <v>1.07</v>
      </c>
      <c r="Q62" s="172">
        <f t="shared" si="31"/>
        <v>1.57718</v>
      </c>
      <c r="R62" s="191">
        <f>IFERROR(Q62/Q63,"")</f>
        <v>5.6673728813559324E-2</v>
      </c>
    </row>
    <row r="63" spans="1:19" s="20" customFormat="1" outlineLevel="1" x14ac:dyDescent="0.25">
      <c r="A63" s="3"/>
      <c r="B63" s="3" t="str">
        <f t="shared" si="27"/>
        <v>Endeavour</v>
      </c>
      <c r="C63" s="3" t="str">
        <f t="shared" si="28"/>
        <v>Residential</v>
      </c>
      <c r="D63" s="3" t="str">
        <f t="shared" si="29"/>
        <v>with CL</v>
      </c>
      <c r="E63" s="3" t="s">
        <v>16</v>
      </c>
      <c r="F63" s="175">
        <f t="array" ref="F63">IFERROR(INDEX(Usage!$B$5:$P$18,MATCH($B63,Usage!$B$5:$B$18,0),MATCH($C63&amp;$D63&amp;$E63,Usage!$B$5:$S$5&amp;Usage!$B$6:$S$6&amp;Usage!$B$7:$S$7,0)),0)</f>
        <v>1474</v>
      </c>
      <c r="G63" s="3" t="s">
        <v>61</v>
      </c>
      <c r="H63" s="172"/>
      <c r="I63" s="172">
        <f t="array" ref="I63">INDEX('Key inputs'!$B$17:$N$41,MATCH($B63&amp;$C63&amp;$E63,'Key inputs'!$B$17:$B$41&amp;'Key inputs'!$C$17:$C$41&amp;'Key inputs'!$D$17:$D$41,0),MATCH($A$2&amp;I$4,'Key inputs'!$B$18:$N$18&amp;'Key inputs'!$B$19:$N$19,0))</f>
        <v>20.82</v>
      </c>
      <c r="J63" s="172">
        <f t="shared" si="30"/>
        <v>30.688680000000002</v>
      </c>
      <c r="K63" s="192"/>
      <c r="L63" s="197"/>
      <c r="M63" s="192">
        <f t="shared" si="32"/>
        <v>-9.3179634966378488E-2</v>
      </c>
      <c r="N63" s="197"/>
      <c r="O63" s="172"/>
      <c r="P63" s="172">
        <f t="array" ref="P63">INDEX('Key inputs'!$B$17:$N$41,MATCH($B63&amp;$C63&amp;$E63,'Key inputs'!$B$17:$B$41&amp;'Key inputs'!$C$17:$C$41&amp;'Key inputs'!$D$17:$D$41,0),MATCH($A$2&amp;P$4,'Key inputs'!$B$18:$N$18&amp;'Key inputs'!$B$19:$N$19,0))</f>
        <v>18.88</v>
      </c>
      <c r="Q63" s="172">
        <f t="shared" si="31"/>
        <v>27.82912</v>
      </c>
      <c r="R63" s="192"/>
    </row>
    <row r="64" spans="1:19" s="20" customFormat="1" outlineLevel="1" x14ac:dyDescent="0.25">
      <c r="A64" s="3"/>
      <c r="B64" s="3" t="str">
        <f t="shared" si="27"/>
        <v>Endeavour</v>
      </c>
      <c r="C64" s="3" t="str">
        <f t="shared" si="28"/>
        <v>Residential</v>
      </c>
      <c r="D64" s="3" t="str">
        <f t="shared" si="29"/>
        <v>with CL</v>
      </c>
      <c r="E64" s="3" t="s">
        <v>17</v>
      </c>
      <c r="F64" s="175">
        <f t="array" ref="F64">IFERROR(INDEX(Usage!$B$5:$P$18,MATCH($B64,Usage!$B$5:$B$18,0),MATCH($C64&amp;$D64&amp;$E64,Usage!$B$5:$S$5&amp;Usage!$B$6:$S$6&amp;Usage!$B$7:$S$7,0)),0)</f>
        <v>726</v>
      </c>
      <c r="G64" s="3" t="s">
        <v>80</v>
      </c>
      <c r="H64" s="172"/>
      <c r="I64" s="172">
        <f t="array" ref="I64">IFERROR(INDEX('Detail inputs'!$B$3:$K$196,MATCH($B64&amp;$G64&amp;I$5,'Detail inputs'!$B$3:$B$196&amp;'Detail inputs'!$G$3:$G$196&amp;'Detail inputs'!$H$3:$H$196,0),MATCH(I$4,'Detail inputs'!$B$3:$K$3,0)),0)</f>
        <v>5.13</v>
      </c>
      <c r="J64" s="172">
        <f t="shared" si="30"/>
        <v>3.72438</v>
      </c>
      <c r="K64" s="191">
        <f>IFERROR(J64/J69,"")</f>
        <v>0.24639769452449567</v>
      </c>
      <c r="L64" s="188"/>
      <c r="M64" s="191">
        <f t="shared" si="32"/>
        <v>0.41715399610136439</v>
      </c>
      <c r="N64" s="188"/>
      <c r="O64" s="172"/>
      <c r="P64" s="172">
        <f t="array" ref="P64">IFERROR(INDEX('Detail inputs'!$B$3:$K$196,MATCH($B64&amp;$G64&amp;P$5,'Detail inputs'!$B$3:$B$196&amp;'Detail inputs'!$G$3:$G$196&amp;'Detail inputs'!$H$3:$H$196,0),MATCH(P$4,'Detail inputs'!$B$3:$K$3,0)),0)</f>
        <v>7.27</v>
      </c>
      <c r="Q64" s="172">
        <f t="shared" si="31"/>
        <v>5.2780199999999997</v>
      </c>
      <c r="R64" s="191">
        <f>IFERROR(Q64/Q69,"")</f>
        <v>0.3850635593220339</v>
      </c>
    </row>
    <row r="65" spans="1:18" s="20" customFormat="1" outlineLevel="1" x14ac:dyDescent="0.25">
      <c r="A65" s="3"/>
      <c r="B65" s="3" t="str">
        <f t="shared" si="27"/>
        <v>Endeavour</v>
      </c>
      <c r="C65" s="3" t="str">
        <f t="shared" si="28"/>
        <v>Residential</v>
      </c>
      <c r="D65" s="3" t="str">
        <f t="shared" si="29"/>
        <v>with CL</v>
      </c>
      <c r="E65" s="3" t="s">
        <v>17</v>
      </c>
      <c r="F65" s="175">
        <f t="array" ref="F65">IFERROR(INDEX(Usage!$B$5:$P$18,MATCH($B65,Usage!$B$5:$B$18,0),MATCH($C65&amp;$D65&amp;$E65,Usage!$B$5:$S$5&amp;Usage!$B$6:$S$6&amp;Usage!$B$7:$S$7,0)),0)</f>
        <v>726</v>
      </c>
      <c r="G65" s="3" t="s">
        <v>81</v>
      </c>
      <c r="H65" s="172"/>
      <c r="I65" s="172">
        <f t="array" ref="I65">IFERROR(INDEX('Detail inputs'!$B$3:$K$196,MATCH($B65&amp;$G65&amp;I$5,'Detail inputs'!$B$3:$B$196&amp;'Detail inputs'!$G$3:$G$196&amp;'Detail inputs'!$H$3:$H$196,0),MATCH(I$4,'Detail inputs'!$B$3:$K$3,0)),0)</f>
        <v>10.9</v>
      </c>
      <c r="J65" s="172">
        <f t="shared" si="30"/>
        <v>7.9134000000000002</v>
      </c>
      <c r="K65" s="192">
        <f>IFERROR(J65/J69,"")</f>
        <v>0.52353506243996162</v>
      </c>
      <c r="L65" s="189"/>
      <c r="M65" s="192">
        <f t="shared" si="32"/>
        <v>-0.37064220183486229</v>
      </c>
      <c r="N65" s="189"/>
      <c r="O65" s="172"/>
      <c r="P65" s="172">
        <f t="array" ref="P65">IFERROR(INDEX('Detail inputs'!$B$3:$K$196,MATCH($B65&amp;$G65&amp;P$5,'Detail inputs'!$B$3:$B$196&amp;'Detail inputs'!$G$3:$G$196&amp;'Detail inputs'!$H$3:$H$196,0),MATCH(P$4,'Detail inputs'!$B$3:$K$3,0)),0)</f>
        <v>6.86</v>
      </c>
      <c r="Q65" s="172">
        <f t="shared" si="31"/>
        <v>4.980360000000001</v>
      </c>
      <c r="R65" s="192">
        <f>IFERROR(Q65/Q69,"")</f>
        <v>0.36334745762711873</v>
      </c>
    </row>
    <row r="66" spans="1:18" s="20" customFormat="1" outlineLevel="1" x14ac:dyDescent="0.25">
      <c r="A66" s="3"/>
      <c r="B66" s="3" t="str">
        <f t="shared" si="27"/>
        <v>Endeavour</v>
      </c>
      <c r="C66" s="3" t="str">
        <f t="shared" si="28"/>
        <v>Residential</v>
      </c>
      <c r="D66" s="3" t="str">
        <f t="shared" si="29"/>
        <v>with CL</v>
      </c>
      <c r="E66" s="3" t="s">
        <v>17</v>
      </c>
      <c r="F66" s="175">
        <f t="array" ref="F66">IFERROR(INDEX(Usage!$B$5:$P$18,MATCH($B66,Usage!$B$5:$B$18,0),MATCH($C66&amp;$D66&amp;$E66,Usage!$B$5:$S$5&amp;Usage!$B$6:$S$6&amp;Usage!$B$7:$S$7,0)),0)</f>
        <v>726</v>
      </c>
      <c r="G66" s="3" t="s">
        <v>82</v>
      </c>
      <c r="H66" s="172"/>
      <c r="I66" s="172">
        <f t="array" ref="I66">IFERROR(INDEX('Detail inputs'!$B$3:$K$196,MATCH($B66&amp;$G66&amp;I$5,'Detail inputs'!$B$3:$B$196&amp;'Detail inputs'!$G$3:$G$196&amp;'Detail inputs'!$H$3:$H$196,0),MATCH(I$4,'Detail inputs'!$B$3:$K$3,0)),0)</f>
        <v>3.39</v>
      </c>
      <c r="J66" s="172">
        <f t="shared" si="30"/>
        <v>2.4611399999999999</v>
      </c>
      <c r="K66" s="192">
        <f>IFERROR(J66/J69,"")</f>
        <v>0.16282420749279539</v>
      </c>
      <c r="L66" s="189"/>
      <c r="M66" s="192">
        <f t="shared" si="32"/>
        <v>-3.8348082595870303E-2</v>
      </c>
      <c r="N66" s="189"/>
      <c r="O66" s="172"/>
      <c r="P66" s="172">
        <f t="array" ref="P66">IFERROR(INDEX('Detail inputs'!$B$3:$K$196,MATCH($B66&amp;$G66&amp;P$5,'Detail inputs'!$B$3:$B$196&amp;'Detail inputs'!$G$3:$G$196&amp;'Detail inputs'!$H$3:$H$196,0),MATCH(P$4,'Detail inputs'!$B$3:$K$3,0)),0)</f>
        <v>3.26</v>
      </c>
      <c r="Q66" s="172">
        <f t="shared" si="31"/>
        <v>2.3667599999999998</v>
      </c>
      <c r="R66" s="192">
        <f>IFERROR(Q66/Q69,"")</f>
        <v>0.17266949152542371</v>
      </c>
    </row>
    <row r="67" spans="1:18" s="20" customFormat="1" outlineLevel="1" x14ac:dyDescent="0.25">
      <c r="A67" s="3"/>
      <c r="B67" s="3" t="str">
        <f t="shared" si="27"/>
        <v>Endeavour</v>
      </c>
      <c r="C67" s="3" t="str">
        <f t="shared" si="28"/>
        <v>Residential</v>
      </c>
      <c r="D67" s="3" t="str">
        <f t="shared" si="29"/>
        <v>with CL</v>
      </c>
      <c r="E67" s="3" t="s">
        <v>17</v>
      </c>
      <c r="F67" s="175">
        <f t="array" ref="F67">IFERROR(INDEX(Usage!$B$5:$P$18,MATCH($B67,Usage!$B$5:$B$18,0),MATCH($C67&amp;$D67&amp;$E67,Usage!$B$5:$S$5&amp;Usage!$B$6:$S$6&amp;Usage!$B$7:$S$7,0)),0)</f>
        <v>726</v>
      </c>
      <c r="G67" s="3" t="s">
        <v>198</v>
      </c>
      <c r="H67" s="172"/>
      <c r="I67" s="172">
        <f t="array" ref="I67">IFERROR(INDEX('Detail inputs'!$B$3:$K$196,MATCH($B67&amp;$G67&amp;I$5,'Detail inputs'!$B$3:$B$196&amp;'Detail inputs'!$G$3:$G$196&amp;'Detail inputs'!$H$3:$H$196,0),MATCH(I$4,'Detail inputs'!$B$3:$K$3,0)),0)</f>
        <v>0.21803668755877201</v>
      </c>
      <c r="J67" s="172">
        <f t="shared" si="30"/>
        <v>0.15829463516766848</v>
      </c>
      <c r="K67" s="192">
        <f>IFERROR(J67/J69,"")</f>
        <v>1.0472463379383862E-2</v>
      </c>
      <c r="L67" s="189"/>
      <c r="M67" s="192">
        <f t="shared" si="32"/>
        <v>0.92628132770907468</v>
      </c>
      <c r="N67" s="189"/>
      <c r="O67" s="172"/>
      <c r="P67" s="172">
        <f t="array" ref="P67">IFERROR(INDEX('Detail inputs'!$B$3:$K$196,MATCH($B67&amp;$G67&amp;P$5,'Detail inputs'!$B$3:$B$196&amp;'Detail inputs'!$G$3:$G$196&amp;'Detail inputs'!$H$3:$H$196,0),MATCH(P$4,'Detail inputs'!$B$3:$K$3,0)),0)</f>
        <v>0.42</v>
      </c>
      <c r="Q67" s="172">
        <f t="shared" si="31"/>
        <v>0.30492000000000002</v>
      </c>
      <c r="R67" s="192">
        <f>IFERROR(Q67/Q69,"")</f>
        <v>2.224576271186441E-2</v>
      </c>
    </row>
    <row r="68" spans="1:18" s="20" customFormat="1" outlineLevel="1" x14ac:dyDescent="0.25">
      <c r="A68" s="3"/>
      <c r="B68" s="3" t="str">
        <f t="shared" si="27"/>
        <v>Endeavour</v>
      </c>
      <c r="C68" s="3" t="str">
        <f t="shared" si="28"/>
        <v>Residential</v>
      </c>
      <c r="D68" s="3" t="str">
        <f t="shared" si="29"/>
        <v>with CL</v>
      </c>
      <c r="E68" s="3" t="s">
        <v>17</v>
      </c>
      <c r="F68" s="175">
        <f t="array" ref="F68">IFERROR(INDEX(Usage!$B$5:$P$18,MATCH($B68,Usage!$B$5:$B$18,0),MATCH($C68&amp;$D68&amp;$E68,Usage!$B$5:$S$5&amp;Usage!$B$6:$S$6&amp;Usage!$B$7:$S$7,0)),0)</f>
        <v>726</v>
      </c>
      <c r="G68" s="3" t="s">
        <v>79</v>
      </c>
      <c r="H68" s="172"/>
      <c r="I68" s="172" cm="1">
        <f t="array" ref="I68">ROUND(IFERROR(INDEX('Detail inputs'!$B$3:$K$196,MATCH($B68&amp;$C68&amp;$E68&amp;$G68&amp;I$5,'Detail inputs'!$B$3:$B$196&amp;'Detail inputs'!$D$3:$D$196&amp;'Detail inputs'!$F$3:$F$196&amp;'Detail inputs'!$G$3:$G$196&amp;'Detail inputs'!$H$3:$H$196,0),MATCH(I$4,'Detail inputs'!$B$3:$K$3,0)),0)*SUM(I64:I67), 2)</f>
        <v>1.18</v>
      </c>
      <c r="J68" s="172">
        <f t="shared" si="30"/>
        <v>0.85668</v>
      </c>
      <c r="K68" s="192">
        <f>IFERROR(J68/J69,"")</f>
        <v>5.6676272814601344E-2</v>
      </c>
      <c r="L68" s="189"/>
      <c r="M68" s="192">
        <f t="shared" si="32"/>
        <v>-9.3220338983050821E-2</v>
      </c>
      <c r="N68" s="189"/>
      <c r="O68" s="172"/>
      <c r="P68" s="172" cm="1">
        <f t="array" ref="P68">ROUND(IFERROR(INDEX('Detail inputs'!$B$3:$K$196,MATCH($B68&amp;$C68&amp;$E68&amp;$G68&amp;P$5,'Detail inputs'!$B$3:$B$196&amp;'Detail inputs'!$D$3:$D$196&amp;'Detail inputs'!$F$3:$F$196&amp;'Detail inputs'!$G$3:$G$196&amp;'Detail inputs'!$H$3:$H$196,0),MATCH(P$4,'Detail inputs'!$B$3:$K$3,0)),0)*SUM(P64:P67), 2)</f>
        <v>1.07</v>
      </c>
      <c r="Q68" s="172">
        <f t="shared" si="31"/>
        <v>0.77682000000000007</v>
      </c>
      <c r="R68" s="192">
        <f>IFERROR(Q68/Q69,"")</f>
        <v>5.6673728813559324E-2</v>
      </c>
    </row>
    <row r="69" spans="1:18" s="20" customFormat="1" outlineLevel="1" x14ac:dyDescent="0.25">
      <c r="A69" s="3"/>
      <c r="B69" s="3" t="str">
        <f t="shared" si="27"/>
        <v>Endeavour</v>
      </c>
      <c r="C69" s="3" t="str">
        <f t="shared" si="28"/>
        <v>Residential</v>
      </c>
      <c r="D69" s="3" t="str">
        <f t="shared" si="29"/>
        <v>with CL</v>
      </c>
      <c r="E69" s="3" t="s">
        <v>17</v>
      </c>
      <c r="F69" s="175">
        <f t="array" ref="F69">IFERROR(INDEX(Usage!$B$5:$P$18,MATCH($B69,Usage!$B$5:$B$18,0),MATCH($C69&amp;$D69&amp;$E69,Usage!$B$5:$S$5&amp;Usage!$B$6:$S$6&amp;Usage!$B$7:$S$7,0)),0)</f>
        <v>726</v>
      </c>
      <c r="G69" s="3" t="s">
        <v>61</v>
      </c>
      <c r="H69" s="172"/>
      <c r="I69" s="172">
        <f t="array" ref="I69">INDEX('Key inputs'!$B$17:$N$41,MATCH($B69&amp;$C69&amp;$E69,'Key inputs'!$B$17:$B$41&amp;'Key inputs'!$C$17:$C$41&amp;'Key inputs'!$D$17:$D$41,0),MATCH($A$2&amp;I$4,'Key inputs'!$B$18:$N$18&amp;'Key inputs'!$B$19:$N$19,0))</f>
        <v>20.82</v>
      </c>
      <c r="J69" s="172">
        <f t="shared" si="30"/>
        <v>15.115320000000001</v>
      </c>
      <c r="K69" s="192"/>
      <c r="L69" s="197"/>
      <c r="M69" s="192">
        <f t="shared" si="32"/>
        <v>-9.3179634966378488E-2</v>
      </c>
      <c r="N69" s="197"/>
      <c r="O69" s="172"/>
      <c r="P69" s="172">
        <f t="array" ref="P69">INDEX('Key inputs'!$B$17:$N$41,MATCH($B69&amp;$C69&amp;$E69,'Key inputs'!$B$17:$B$41&amp;'Key inputs'!$C$17:$C$41&amp;'Key inputs'!$D$17:$D$41,0),MATCH($A$2&amp;P$4,'Key inputs'!$B$18:$N$18&amp;'Key inputs'!$B$19:$N$19,0))</f>
        <v>18.88</v>
      </c>
      <c r="Q69" s="172">
        <f t="shared" si="31"/>
        <v>13.70688</v>
      </c>
      <c r="R69" s="192"/>
    </row>
    <row r="70" spans="1:18" s="20" customFormat="1" x14ac:dyDescent="0.25">
      <c r="A70" s="3"/>
      <c r="B70" s="3" t="str">
        <f t="shared" si="27"/>
        <v>Endeavour</v>
      </c>
      <c r="C70" s="3" t="str">
        <f t="shared" si="28"/>
        <v>Residential</v>
      </c>
      <c r="D70" s="3" t="str">
        <f t="shared" si="29"/>
        <v>with CL</v>
      </c>
      <c r="E70" s="3" t="s">
        <v>61</v>
      </c>
      <c r="F70" s="175">
        <f t="array" ref="F70">IFERROR(INDEX(Usage!$B$5:$P$18,MATCH($B70,Usage!$B$5:$B$18,0),MATCH($C70&amp;$D70&amp;$E70,Usage!$B$5:$S$5&amp;Usage!$B$6:$S$6&amp;Usage!$B$7:$S$7,0)),0)</f>
        <v>7400</v>
      </c>
      <c r="G70" s="3" t="s">
        <v>61</v>
      </c>
      <c r="H70" s="172"/>
      <c r="I70" s="172">
        <f>I57+I63+I69</f>
        <v>62.46</v>
      </c>
      <c r="J70" s="172">
        <f>J57+J63+J69</f>
        <v>154.06799999999998</v>
      </c>
      <c r="K70" s="192"/>
      <c r="L70" s="197"/>
      <c r="M70" s="192">
        <f t="shared" si="32"/>
        <v>-9.3179634966378266E-2</v>
      </c>
      <c r="N70" s="197"/>
      <c r="O70" s="172"/>
      <c r="P70" s="172">
        <f>P57+P63+P69</f>
        <v>56.64</v>
      </c>
      <c r="Q70" s="172">
        <f>Q57+Q63+Q69</f>
        <v>139.71200000000002</v>
      </c>
      <c r="R70" s="192"/>
    </row>
    <row r="71" spans="1:18" s="20" customFormat="1" outlineLevel="1" x14ac:dyDescent="0.25">
      <c r="A71" s="3"/>
      <c r="B71" s="3" t="str">
        <f t="shared" ref="B71:D72" si="33">B70</f>
        <v>Endeavour</v>
      </c>
      <c r="C71" s="3" t="str">
        <f t="shared" si="33"/>
        <v>Residential</v>
      </c>
      <c r="D71" s="3" t="str">
        <f t="shared" si="33"/>
        <v>with CL</v>
      </c>
      <c r="E71" s="3"/>
      <c r="F71" s="175"/>
      <c r="G71" s="3" t="s">
        <v>41</v>
      </c>
      <c r="H71" s="172"/>
      <c r="I71" s="172"/>
      <c r="J71" s="172">
        <f>J70*GST</f>
        <v>15.406799999999999</v>
      </c>
      <c r="K71" s="192"/>
      <c r="L71" s="197"/>
      <c r="M71" s="192"/>
      <c r="N71" s="197"/>
      <c r="O71" s="172"/>
      <c r="P71" s="172"/>
      <c r="Q71" s="172">
        <f>Q70*GST</f>
        <v>13.971200000000003</v>
      </c>
      <c r="R71" s="193"/>
    </row>
    <row r="72" spans="1:18" s="20" customFormat="1" x14ac:dyDescent="0.25">
      <c r="A72" s="3"/>
      <c r="B72" s="3" t="str">
        <f t="shared" si="33"/>
        <v>Endeavour</v>
      </c>
      <c r="C72" s="3" t="str">
        <f t="shared" si="33"/>
        <v>Residential</v>
      </c>
      <c r="D72" s="3" t="str">
        <f t="shared" si="33"/>
        <v>with CL</v>
      </c>
      <c r="E72" s="3"/>
      <c r="F72" s="175"/>
      <c r="G72" s="5" t="s">
        <v>87</v>
      </c>
      <c r="H72" s="174"/>
      <c r="I72" s="174"/>
      <c r="J72" s="174">
        <f>SUM(J70:J71)</f>
        <v>169.47479999999999</v>
      </c>
      <c r="K72" s="193"/>
      <c r="L72" s="198"/>
      <c r="M72" s="193">
        <f>IF(OR(J72=0,Q72=""),"",Q72/J72-1)</f>
        <v>-9.3179634966378266E-2</v>
      </c>
      <c r="N72" s="198"/>
      <c r="O72" s="174"/>
      <c r="P72" s="174"/>
      <c r="Q72" s="174">
        <f>SUM(Q70:Q71)</f>
        <v>153.68320000000003</v>
      </c>
      <c r="R72" s="193"/>
    </row>
    <row r="73" spans="1:18" s="20" customFormat="1" x14ac:dyDescent="0.25">
      <c r="A73" s="3"/>
      <c r="B73" s="3"/>
      <c r="C73" s="3"/>
      <c r="D73" s="3"/>
      <c r="E73" s="3"/>
      <c r="F73" s="175"/>
      <c r="G73" s="3"/>
      <c r="H73" s="172"/>
      <c r="I73" s="172"/>
      <c r="J73" s="172"/>
      <c r="K73" s="191"/>
      <c r="L73" s="197"/>
      <c r="M73" s="191"/>
      <c r="N73" s="197"/>
      <c r="O73" s="172"/>
      <c r="P73" s="172"/>
      <c r="Q73" s="172"/>
      <c r="R73" s="191"/>
    </row>
    <row r="74" spans="1:18" s="20" customFormat="1" x14ac:dyDescent="0.25">
      <c r="A74" s="3"/>
      <c r="B74" s="5" t="s">
        <v>4</v>
      </c>
      <c r="C74" s="5" t="s">
        <v>15</v>
      </c>
      <c r="D74" s="5" t="s">
        <v>146</v>
      </c>
      <c r="E74" s="3"/>
      <c r="F74" s="175"/>
      <c r="G74" s="3"/>
      <c r="H74" s="172"/>
      <c r="I74" s="172"/>
      <c r="J74" s="172"/>
      <c r="K74" s="191"/>
      <c r="L74" s="197"/>
      <c r="M74" s="191"/>
      <c r="N74" s="197"/>
      <c r="O74" s="172"/>
      <c r="P74" s="172"/>
      <c r="Q74" s="172"/>
      <c r="R74" s="191"/>
    </row>
    <row r="75" spans="1:18" s="20" customFormat="1" outlineLevel="1" x14ac:dyDescent="0.25">
      <c r="A75" s="3"/>
      <c r="B75" s="3" t="str">
        <f t="shared" ref="B75:D82" si="34">B74</f>
        <v>Endeavour</v>
      </c>
      <c r="C75" s="3" t="str">
        <f t="shared" si="34"/>
        <v>Small business</v>
      </c>
      <c r="D75" s="3" t="str">
        <f t="shared" si="34"/>
        <v>without CL</v>
      </c>
      <c r="E75" s="3" t="s">
        <v>22</v>
      </c>
      <c r="F75" s="175">
        <f t="array" ref="F75">IFERROR(INDEX(Usage!$B$5:$P$18,MATCH($B75,Usage!$B$5:$B$18,0),MATCH($C75&amp;$D75&amp;$E75,Usage!$B$5:$S$5&amp;Usage!$B$6:$S$6&amp;Usage!$B$7:$S$7,0)),0)</f>
        <v>10000</v>
      </c>
      <c r="G75" s="3" t="s">
        <v>80</v>
      </c>
      <c r="H75" s="172"/>
      <c r="I75" s="172">
        <f t="array" ref="I75">IFERROR(INDEX('Detail inputs'!$B$3:$K$196,MATCH($B75&amp;$G75&amp;I$5,'Detail inputs'!$B$3:$B$196&amp;'Detail inputs'!$G$3:$G$196&amp;'Detail inputs'!$H$3:$H$196,0),MATCH(I$4,'Detail inputs'!$B$3:$K$3,0)),0)</f>
        <v>5.13</v>
      </c>
      <c r="J75" s="172">
        <f t="shared" ref="J75:J80" si="35">IF(AND(H75="",I75=""),"",H75+I75*$F75/1000)</f>
        <v>51.3</v>
      </c>
      <c r="K75" s="191">
        <f>IFERROR(J75/J80,"")</f>
        <v>0.24639769452449567</v>
      </c>
      <c r="L75" s="188"/>
      <c r="M75" s="191">
        <f t="shared" ref="M75:M80" si="36">IF(OR(J75=0,Q75=""),"",Q75/J75-1)</f>
        <v>0.41715399610136461</v>
      </c>
      <c r="N75" s="188"/>
      <c r="O75" s="172"/>
      <c r="P75" s="172">
        <f t="array" ref="P75">IFERROR(INDEX('Detail inputs'!$B$3:$K$196,MATCH($B75&amp;$G75&amp;P$5,'Detail inputs'!$B$3:$B$196&amp;'Detail inputs'!$G$3:$G$196&amp;'Detail inputs'!$H$3:$H$196,0),MATCH(P$4,'Detail inputs'!$B$3:$K$3,0)),0)</f>
        <v>7.27</v>
      </c>
      <c r="Q75" s="172">
        <f t="shared" ref="Q75:Q80" si="37">IF(AND(O75="",P75=""),"",O75+P75*$F75/1000)</f>
        <v>72.7</v>
      </c>
      <c r="R75" s="191">
        <f>IFERROR(Q75/Q80,"")</f>
        <v>0.3850635593220339</v>
      </c>
    </row>
    <row r="76" spans="1:18" s="20" customFormat="1" outlineLevel="1" x14ac:dyDescent="0.25">
      <c r="A76" s="3"/>
      <c r="B76" s="3" t="str">
        <f t="shared" si="34"/>
        <v>Endeavour</v>
      </c>
      <c r="C76" s="3" t="str">
        <f t="shared" si="34"/>
        <v>Small business</v>
      </c>
      <c r="D76" s="3" t="str">
        <f t="shared" si="34"/>
        <v>without CL</v>
      </c>
      <c r="E76" s="3" t="s">
        <v>22</v>
      </c>
      <c r="F76" s="175">
        <f t="array" ref="F76">IFERROR(INDEX(Usage!$B$5:$P$18,MATCH($B76,Usage!$B$5:$B$18,0),MATCH($C76&amp;$D76&amp;$E76,Usage!$B$5:$S$5&amp;Usage!$B$6:$S$6&amp;Usage!$B$7:$S$7,0)),0)</f>
        <v>10000</v>
      </c>
      <c r="G76" s="3" t="s">
        <v>81</v>
      </c>
      <c r="H76" s="172"/>
      <c r="I76" s="172">
        <f t="array" ref="I76">IFERROR(INDEX('Detail inputs'!$B$3:$K$196,MATCH($B76&amp;$G76&amp;I$5,'Detail inputs'!$B$3:$B$196&amp;'Detail inputs'!$G$3:$G$196&amp;'Detail inputs'!$H$3:$H$196,0),MATCH(I$4,'Detail inputs'!$B$3:$K$3,0)),0)</f>
        <v>10.9</v>
      </c>
      <c r="J76" s="172">
        <f t="shared" si="35"/>
        <v>109</v>
      </c>
      <c r="K76" s="191">
        <f>IFERROR(J76/J80,"")</f>
        <v>0.52353506243996162</v>
      </c>
      <c r="L76" s="188"/>
      <c r="M76" s="191">
        <f t="shared" si="36"/>
        <v>-0.37064220183486241</v>
      </c>
      <c r="N76" s="188"/>
      <c r="O76" s="172"/>
      <c r="P76" s="172">
        <f t="array" ref="P76">IFERROR(INDEX('Detail inputs'!$B$3:$K$196,MATCH($B76&amp;$G76&amp;P$5,'Detail inputs'!$B$3:$B$196&amp;'Detail inputs'!$G$3:$G$196&amp;'Detail inputs'!$H$3:$H$196,0),MATCH(P$4,'Detail inputs'!$B$3:$K$3,0)),0)</f>
        <v>6.86</v>
      </c>
      <c r="Q76" s="172">
        <f t="shared" si="37"/>
        <v>68.599999999999994</v>
      </c>
      <c r="R76" s="191">
        <f>IFERROR(Q76/Q80,"")</f>
        <v>0.36334745762711862</v>
      </c>
    </row>
    <row r="77" spans="1:18" s="20" customFormat="1" outlineLevel="1" x14ac:dyDescent="0.25">
      <c r="A77" s="3"/>
      <c r="B77" s="3" t="str">
        <f t="shared" si="34"/>
        <v>Endeavour</v>
      </c>
      <c r="C77" s="3" t="str">
        <f t="shared" si="34"/>
        <v>Small business</v>
      </c>
      <c r="D77" s="3" t="str">
        <f t="shared" si="34"/>
        <v>without CL</v>
      </c>
      <c r="E77" s="3" t="s">
        <v>22</v>
      </c>
      <c r="F77" s="175">
        <f t="array" ref="F77">IFERROR(INDEX(Usage!$B$5:$P$18,MATCH($B77,Usage!$B$5:$B$18,0),MATCH($C77&amp;$D77&amp;$E77,Usage!$B$5:$S$5&amp;Usage!$B$6:$S$6&amp;Usage!$B$7:$S$7,0)),0)</f>
        <v>10000</v>
      </c>
      <c r="G77" s="3" t="s">
        <v>82</v>
      </c>
      <c r="H77" s="172"/>
      <c r="I77" s="172">
        <f t="array" ref="I77">IFERROR(INDEX('Detail inputs'!$B$3:$K$196,MATCH($B77&amp;$G77&amp;I$5,'Detail inputs'!$B$3:$B$196&amp;'Detail inputs'!$G$3:$G$196&amp;'Detail inputs'!$H$3:$H$196,0),MATCH(I$4,'Detail inputs'!$B$3:$K$3,0)),0)</f>
        <v>3.39</v>
      </c>
      <c r="J77" s="172">
        <f t="shared" si="35"/>
        <v>33.9</v>
      </c>
      <c r="K77" s="191">
        <f>IFERROR(J77/J80,"")</f>
        <v>0.16282420749279539</v>
      </c>
      <c r="L77" s="188"/>
      <c r="M77" s="191">
        <f t="shared" si="36"/>
        <v>-3.8348082595870303E-2</v>
      </c>
      <c r="N77" s="188"/>
      <c r="O77" s="172"/>
      <c r="P77" s="172">
        <f t="array" ref="P77">IFERROR(INDEX('Detail inputs'!$B$3:$K$196,MATCH($B77&amp;$G77&amp;P$5,'Detail inputs'!$B$3:$B$196&amp;'Detail inputs'!$G$3:$G$196&amp;'Detail inputs'!$H$3:$H$196,0),MATCH(P$4,'Detail inputs'!$B$3:$K$3,0)),0)</f>
        <v>3.26</v>
      </c>
      <c r="Q77" s="172">
        <f t="shared" si="37"/>
        <v>32.599999999999994</v>
      </c>
      <c r="R77" s="191">
        <f>IFERROR(Q77/Q80,"")</f>
        <v>0.17266949152542369</v>
      </c>
    </row>
    <row r="78" spans="1:18" s="20" customFormat="1" outlineLevel="1" x14ac:dyDescent="0.25">
      <c r="A78" s="3"/>
      <c r="B78" s="3" t="str">
        <f t="shared" si="34"/>
        <v>Endeavour</v>
      </c>
      <c r="C78" s="3" t="str">
        <f t="shared" si="34"/>
        <v>Small business</v>
      </c>
      <c r="D78" s="3" t="str">
        <f t="shared" si="34"/>
        <v>without CL</v>
      </c>
      <c r="E78" s="3" t="s">
        <v>22</v>
      </c>
      <c r="F78" s="175">
        <f t="array" ref="F78">IFERROR(INDEX(Usage!$B$5:$P$18,MATCH($B78,Usage!$B$5:$B$18,0),MATCH($C78&amp;$D78&amp;$E78,Usage!$B$5:$S$5&amp;Usage!$B$6:$S$6&amp;Usage!$B$7:$S$7,0)),0)</f>
        <v>10000</v>
      </c>
      <c r="G78" s="3" t="s">
        <v>198</v>
      </c>
      <c r="H78" s="172"/>
      <c r="I78" s="172">
        <f t="array" ref="I78">IFERROR(INDEX('Detail inputs'!$B$3:$K$196,MATCH($B78&amp;$G78&amp;I$5,'Detail inputs'!$B$3:$B$196&amp;'Detail inputs'!$G$3:$G$196&amp;'Detail inputs'!$H$3:$H$196,0),MATCH(I$4,'Detail inputs'!$B$3:$K$3,0)),0)</f>
        <v>0.21803668755877201</v>
      </c>
      <c r="J78" s="172">
        <f t="shared" si="35"/>
        <v>2.1803668755877204</v>
      </c>
      <c r="K78" s="191">
        <f>IFERROR(J78/J80,"")</f>
        <v>1.0472463379383864E-2</v>
      </c>
      <c r="L78" s="188"/>
      <c r="M78" s="191">
        <f t="shared" si="36"/>
        <v>0.92628132770907445</v>
      </c>
      <c r="N78" s="188"/>
      <c r="O78" s="172"/>
      <c r="P78" s="172">
        <f t="array" ref="P78">IFERROR(INDEX('Detail inputs'!$B$3:$K$196,MATCH($B78&amp;$G78&amp;P$5,'Detail inputs'!$B$3:$B$196&amp;'Detail inputs'!$G$3:$G$196&amp;'Detail inputs'!$H$3:$H$196,0),MATCH(P$4,'Detail inputs'!$B$3:$K$3,0)),0)</f>
        <v>0.42</v>
      </c>
      <c r="Q78" s="172">
        <f t="shared" si="37"/>
        <v>4.2</v>
      </c>
      <c r="R78" s="191">
        <f>IFERROR(Q78/Q80,"")</f>
        <v>2.2245762711864406E-2</v>
      </c>
    </row>
    <row r="79" spans="1:18" s="20" customFormat="1" outlineLevel="1" x14ac:dyDescent="0.25">
      <c r="A79" s="3"/>
      <c r="B79" s="3" t="str">
        <f t="shared" si="34"/>
        <v>Endeavour</v>
      </c>
      <c r="C79" s="3" t="str">
        <f t="shared" si="34"/>
        <v>Small business</v>
      </c>
      <c r="D79" s="3" t="str">
        <f t="shared" si="34"/>
        <v>without CL</v>
      </c>
      <c r="E79" s="3" t="s">
        <v>22</v>
      </c>
      <c r="F79" s="175">
        <f t="array" ref="F79">IFERROR(INDEX(Usage!$B$5:$P$18,MATCH($B79,Usage!$B$5:$B$18,0),MATCH($C79&amp;$D79&amp;$E79,Usage!$B$5:$S$5&amp;Usage!$B$6:$S$6&amp;Usage!$B$7:$S$7,0)),0)</f>
        <v>10000</v>
      </c>
      <c r="G79" s="3" t="s">
        <v>79</v>
      </c>
      <c r="H79" s="172"/>
      <c r="I79" s="172" cm="1">
        <f t="array" ref="I79">ROUND(IFERROR(INDEX('Detail inputs'!$B$3:$K$196,MATCH($B79&amp;$C79&amp;$E79&amp;$G79&amp;I$5,'Detail inputs'!$B$3:$B$196&amp;'Detail inputs'!$D$3:$D$196&amp;'Detail inputs'!$F$3:$F$196&amp;'Detail inputs'!$G$3:$G$196&amp;'Detail inputs'!$H$3:$H$196,0),MATCH(I$4,'Detail inputs'!$B$3:$K$3,0)),0)*SUM(I75:I78), 2)</f>
        <v>1.18</v>
      </c>
      <c r="J79" s="172">
        <f t="shared" si="35"/>
        <v>11.8</v>
      </c>
      <c r="K79" s="191">
        <f>IFERROR(J79/J80,"")</f>
        <v>5.6676272814601351E-2</v>
      </c>
      <c r="L79" s="188"/>
      <c r="M79" s="191">
        <f t="shared" si="36"/>
        <v>-9.3220338983050932E-2</v>
      </c>
      <c r="N79" s="188"/>
      <c r="O79" s="172"/>
      <c r="P79" s="172" cm="1">
        <f t="array" ref="P79">ROUND(IFERROR(INDEX('Detail inputs'!$B$3:$K$196,MATCH($B79&amp;$C79&amp;$E79&amp;$G79&amp;P$5,'Detail inputs'!$B$3:$B$196&amp;'Detail inputs'!$D$3:$D$196&amp;'Detail inputs'!$F$3:$F$196&amp;'Detail inputs'!$G$3:$G$196&amp;'Detail inputs'!$H$3:$H$196,0),MATCH(P$4,'Detail inputs'!$B$3:$K$3,0)),0)*SUM(P75:P78), 2)</f>
        <v>1.07</v>
      </c>
      <c r="Q79" s="172">
        <f t="shared" si="37"/>
        <v>10.7</v>
      </c>
      <c r="R79" s="191">
        <f>IFERROR(Q79/Q80,"")</f>
        <v>5.6673728813559317E-2</v>
      </c>
    </row>
    <row r="80" spans="1:18" s="20" customFormat="1" x14ac:dyDescent="0.25">
      <c r="A80" s="3"/>
      <c r="B80" s="3" t="str">
        <f t="shared" si="34"/>
        <v>Endeavour</v>
      </c>
      <c r="C80" s="3" t="str">
        <f t="shared" si="34"/>
        <v>Small business</v>
      </c>
      <c r="D80" s="3" t="str">
        <f t="shared" si="34"/>
        <v>without CL</v>
      </c>
      <c r="E80" s="3" t="s">
        <v>22</v>
      </c>
      <c r="F80" s="175">
        <f t="array" ref="F80">IFERROR(INDEX(Usage!$B$5:$P$18,MATCH($B80,Usage!$B$5:$B$18,0),MATCH($C80&amp;$D80&amp;$E80,Usage!$B$5:$S$5&amp;Usage!$B$6:$S$6&amp;Usage!$B$7:$S$7,0)),0)</f>
        <v>10000</v>
      </c>
      <c r="G80" s="3" t="s">
        <v>61</v>
      </c>
      <c r="H80" s="172"/>
      <c r="I80" s="172">
        <f t="array" ref="I80">INDEX('Key inputs'!$B$17:$N$41,MATCH($B80&amp;$C80&amp;$E80,'Key inputs'!$B$17:$B$41&amp;'Key inputs'!$C$17:$C$41&amp;'Key inputs'!$D$17:$D$41,0),MATCH($A$2&amp;I$4,'Key inputs'!$B$18:$N$18&amp;'Key inputs'!$B$19:$N$19,0))</f>
        <v>20.82</v>
      </c>
      <c r="J80" s="172">
        <f t="shared" si="35"/>
        <v>208.2</v>
      </c>
      <c r="K80" s="192"/>
      <c r="L80" s="197"/>
      <c r="M80" s="192">
        <f t="shared" si="36"/>
        <v>-9.3179634966378377E-2</v>
      </c>
      <c r="N80" s="197"/>
      <c r="O80" s="172"/>
      <c r="P80" s="172">
        <f t="array" ref="P80">INDEX('Key inputs'!$B$17:$N$41,MATCH($B80&amp;$C80&amp;$E80,'Key inputs'!$B$17:$B$41&amp;'Key inputs'!$C$17:$C$41&amp;'Key inputs'!$D$17:$D$41,0),MATCH($A$2&amp;P$4,'Key inputs'!$B$18:$N$18&amp;'Key inputs'!$B$19:$N$19,0))</f>
        <v>18.88</v>
      </c>
      <c r="Q80" s="172">
        <f t="shared" si="37"/>
        <v>188.8</v>
      </c>
      <c r="R80" s="192"/>
    </row>
    <row r="81" spans="1:18" s="20" customFormat="1" outlineLevel="1" x14ac:dyDescent="0.25">
      <c r="A81" s="3"/>
      <c r="B81" s="3" t="str">
        <f t="shared" si="34"/>
        <v>Endeavour</v>
      </c>
      <c r="C81" s="3" t="str">
        <f t="shared" si="34"/>
        <v>Small business</v>
      </c>
      <c r="D81" s="3" t="str">
        <f t="shared" si="34"/>
        <v>without CL</v>
      </c>
      <c r="E81" s="3"/>
      <c r="F81" s="175"/>
      <c r="G81" s="3" t="s">
        <v>41</v>
      </c>
      <c r="H81" s="172"/>
      <c r="I81" s="172"/>
      <c r="J81" s="172">
        <f>J80*GST</f>
        <v>20.82</v>
      </c>
      <c r="K81" s="192"/>
      <c r="L81" s="197"/>
      <c r="M81" s="192"/>
      <c r="N81" s="197"/>
      <c r="O81" s="172"/>
      <c r="P81" s="172"/>
      <c r="Q81" s="172">
        <f>Q80*GST</f>
        <v>18.880000000000003</v>
      </c>
      <c r="R81" s="191"/>
    </row>
    <row r="82" spans="1:18" s="20" customFormat="1" x14ac:dyDescent="0.25">
      <c r="A82" s="3"/>
      <c r="B82" s="3" t="str">
        <f t="shared" si="34"/>
        <v>Endeavour</v>
      </c>
      <c r="C82" s="3" t="str">
        <f t="shared" si="34"/>
        <v>Small business</v>
      </c>
      <c r="D82" s="3" t="str">
        <f t="shared" si="34"/>
        <v>without CL</v>
      </c>
      <c r="E82" s="3"/>
      <c r="F82" s="175"/>
      <c r="G82" s="5" t="s">
        <v>87</v>
      </c>
      <c r="H82" s="174"/>
      <c r="I82" s="174"/>
      <c r="J82" s="174">
        <f>SUM(J80:J81)</f>
        <v>229.01999999999998</v>
      </c>
      <c r="K82" s="193"/>
      <c r="L82" s="198"/>
      <c r="M82" s="193">
        <f>IF(OR(J82=0,Q82=""),"",Q82/J82-1)</f>
        <v>-9.3179634966378377E-2</v>
      </c>
      <c r="N82" s="198"/>
      <c r="O82" s="174"/>
      <c r="P82" s="174"/>
      <c r="Q82" s="174">
        <f>SUM(Q80:Q81)</f>
        <v>207.68</v>
      </c>
      <c r="R82" s="191"/>
    </row>
    <row r="83" spans="1:18" s="20" customFormat="1" x14ac:dyDescent="0.25">
      <c r="A83" s="3"/>
      <c r="B83" s="3"/>
      <c r="C83" s="3"/>
      <c r="D83" s="3"/>
      <c r="E83" s="3"/>
      <c r="F83" s="175"/>
      <c r="G83" s="3"/>
      <c r="H83" s="172"/>
      <c r="I83" s="172"/>
      <c r="J83" s="172"/>
      <c r="K83" s="191"/>
      <c r="L83" s="197"/>
      <c r="M83" s="191"/>
      <c r="N83" s="197"/>
      <c r="O83" s="172"/>
      <c r="P83" s="172"/>
      <c r="Q83" s="172"/>
      <c r="R83" s="191"/>
    </row>
    <row r="84" spans="1:18" s="20" customFormat="1" x14ac:dyDescent="0.25">
      <c r="A84" s="3"/>
      <c r="B84" s="5" t="s">
        <v>3</v>
      </c>
      <c r="C84" s="5" t="s">
        <v>6</v>
      </c>
      <c r="D84" s="5" t="s">
        <v>146</v>
      </c>
      <c r="E84" s="3"/>
      <c r="F84" s="175"/>
      <c r="G84" s="3"/>
      <c r="H84" s="172"/>
      <c r="I84" s="172"/>
      <c r="J84" s="172"/>
      <c r="K84" s="191"/>
      <c r="L84" s="197"/>
      <c r="M84" s="191"/>
      <c r="N84" s="197"/>
      <c r="O84" s="172"/>
      <c r="P84" s="172"/>
      <c r="Q84" s="172"/>
      <c r="R84" s="191"/>
    </row>
    <row r="85" spans="1:18" s="20" customFormat="1" outlineLevel="1" x14ac:dyDescent="0.25">
      <c r="A85" s="3"/>
      <c r="B85" s="3" t="str">
        <f t="shared" ref="B85:D92" si="38">B84</f>
        <v>Essential</v>
      </c>
      <c r="C85" s="3" t="str">
        <f t="shared" si="38"/>
        <v>Residential</v>
      </c>
      <c r="D85" s="3" t="str">
        <f t="shared" si="38"/>
        <v>without CL</v>
      </c>
      <c r="E85" s="3" t="s">
        <v>22</v>
      </c>
      <c r="F85" s="175">
        <f t="array" ref="F85">IFERROR(INDEX(Usage!$B$5:$P$18,MATCH($B85,Usage!$B$5:$B$18,0),MATCH($C85&amp;$D85&amp;$E85&amp;"Total",Usage!$B$5:$S$5&amp;Usage!$B$6:$S$6&amp;Usage!$B$7:$S$7&amp;Usage!$B$13:$S$13,0)),0)</f>
        <v>4600</v>
      </c>
      <c r="G85" s="3" t="s">
        <v>80</v>
      </c>
      <c r="H85" s="172"/>
      <c r="I85" s="172">
        <f t="array" ref="I85">IFERROR(INDEX('Detail inputs'!$B$3:$K$196,MATCH($B85&amp;$G85&amp;I$5,'Detail inputs'!$B$3:$B$196&amp;'Detail inputs'!$G$3:$G$196&amp;'Detail inputs'!$H$3:$H$196,0),MATCH(I$4,'Detail inputs'!$B$3:$K$3,0)),0)</f>
        <v>5.13</v>
      </c>
      <c r="J85" s="172">
        <f t="shared" ref="J85:J90" si="39">IF(AND(H85="",I85=""),"",H85+I85*$F85/1000)</f>
        <v>23.597999999999999</v>
      </c>
      <c r="K85" s="191">
        <f>IFERROR(J85/J90,"")</f>
        <v>0.25085574572127139</v>
      </c>
      <c r="L85" s="188"/>
      <c r="M85" s="191">
        <f t="shared" ref="M85:M90" si="40">IF(OR(J85=0,Q85=""),"",Q85/J85-1)</f>
        <v>0.41715399610136461</v>
      </c>
      <c r="N85" s="188"/>
      <c r="O85" s="172"/>
      <c r="P85" s="172">
        <f t="array" ref="P85">IFERROR(INDEX('Detail inputs'!$B$3:$K$196,MATCH($B85&amp;$G85&amp;P$5,'Detail inputs'!$B$3:$B$196&amp;'Detail inputs'!$G$3:$G$196&amp;'Detail inputs'!$H$3:$H$196,0),MATCH(P$4,'Detail inputs'!$B$3:$K$3,0)),0)</f>
        <v>7.27</v>
      </c>
      <c r="Q85" s="172">
        <f t="shared" ref="Q85:Q90" si="41">IF(AND(O85="",P85=""),"",O85+P85*$F85/1000)</f>
        <v>33.442</v>
      </c>
      <c r="R85" s="191">
        <f>IFERROR(Q85/Q90,"")</f>
        <v>0.39467969598262753</v>
      </c>
    </row>
    <row r="86" spans="1:18" s="20" customFormat="1" outlineLevel="1" x14ac:dyDescent="0.25">
      <c r="A86" s="3"/>
      <c r="B86" s="3" t="str">
        <f t="shared" si="38"/>
        <v>Essential</v>
      </c>
      <c r="C86" s="3" t="str">
        <f t="shared" si="38"/>
        <v>Residential</v>
      </c>
      <c r="D86" s="3" t="str">
        <f t="shared" si="38"/>
        <v>without CL</v>
      </c>
      <c r="E86" s="3" t="s">
        <v>22</v>
      </c>
      <c r="F86" s="175">
        <f t="array" ref="F86">IFERROR(INDEX(Usage!$B$5:$P$18,MATCH($B86,Usage!$B$5:$B$18,0),MATCH($C86&amp;$D86&amp;$E86&amp;"Total",Usage!$B$5:$S$5&amp;Usage!$B$6:$S$6&amp;Usage!$B$7:$S$7&amp;Usage!$B$13:$S$13,0)),0)</f>
        <v>4600</v>
      </c>
      <c r="G86" s="3" t="s">
        <v>81</v>
      </c>
      <c r="H86" s="172"/>
      <c r="I86" s="172">
        <f t="array" ref="I86">IFERROR(INDEX('Detail inputs'!$B$3:$K$196,MATCH($B86&amp;$G86&amp;I$5,'Detail inputs'!$B$3:$B$196&amp;'Detail inputs'!$G$3:$G$196&amp;'Detail inputs'!$H$3:$H$196,0),MATCH(I$4,'Detail inputs'!$B$3:$K$3,0)),0)</f>
        <v>10.9</v>
      </c>
      <c r="J86" s="172">
        <f t="shared" si="39"/>
        <v>50.14</v>
      </c>
      <c r="K86" s="191">
        <f>IFERROR(J86/J90,"")</f>
        <v>0.5330073349633252</v>
      </c>
      <c r="L86" s="188"/>
      <c r="M86" s="191">
        <f t="shared" si="40"/>
        <v>-0.37064220183486241</v>
      </c>
      <c r="N86" s="188"/>
      <c r="O86" s="172"/>
      <c r="P86" s="172">
        <f t="array" ref="P86">IFERROR(INDEX('Detail inputs'!$B$3:$K$196,MATCH($B86&amp;$G86&amp;P$5,'Detail inputs'!$B$3:$B$196&amp;'Detail inputs'!$G$3:$G$196&amp;'Detail inputs'!$H$3:$H$196,0),MATCH(P$4,'Detail inputs'!$B$3:$K$3,0)),0)</f>
        <v>6.86</v>
      </c>
      <c r="Q86" s="172">
        <f t="shared" si="41"/>
        <v>31.556000000000001</v>
      </c>
      <c r="R86" s="191">
        <f>IFERROR(Q86/Q90,"")</f>
        <v>0.37242128121606943</v>
      </c>
    </row>
    <row r="87" spans="1:18" s="20" customFormat="1" outlineLevel="1" x14ac:dyDescent="0.25">
      <c r="A87" s="3"/>
      <c r="B87" s="3" t="str">
        <f t="shared" si="38"/>
        <v>Essential</v>
      </c>
      <c r="C87" s="3" t="str">
        <f t="shared" si="38"/>
        <v>Residential</v>
      </c>
      <c r="D87" s="3" t="str">
        <f t="shared" si="38"/>
        <v>without CL</v>
      </c>
      <c r="E87" s="3" t="s">
        <v>22</v>
      </c>
      <c r="F87" s="175">
        <f t="array" ref="F87">IFERROR(INDEX(Usage!$B$5:$P$18,MATCH($B87,Usage!$B$5:$B$18,0),MATCH($C87&amp;$D87&amp;$E87&amp;"Total",Usage!$B$5:$S$5&amp;Usage!$B$6:$S$6&amp;Usage!$B$7:$S$7&amp;Usage!$B$13:$S$13,0)),0)</f>
        <v>4600</v>
      </c>
      <c r="G87" s="3" t="s">
        <v>82</v>
      </c>
      <c r="H87" s="172"/>
      <c r="I87" s="172">
        <f t="array" ref="I87">IFERROR(INDEX('Detail inputs'!$B$3:$K$196,MATCH($B87&amp;$G87&amp;I$5,'Detail inputs'!$B$3:$B$196&amp;'Detail inputs'!$G$3:$G$196&amp;'Detail inputs'!$H$3:$H$196,0),MATCH(I$4,'Detail inputs'!$B$3:$K$3,0)),0)</f>
        <v>3.39</v>
      </c>
      <c r="J87" s="172">
        <f t="shared" si="39"/>
        <v>15.593999999999999</v>
      </c>
      <c r="K87" s="191">
        <f>IFERROR(J87/J90,"")</f>
        <v>0.16577017114914425</v>
      </c>
      <c r="L87" s="188"/>
      <c r="M87" s="191">
        <f t="shared" si="40"/>
        <v>-3.8348082595870303E-2</v>
      </c>
      <c r="N87" s="188"/>
      <c r="O87" s="172"/>
      <c r="P87" s="172">
        <f t="array" ref="P87">IFERROR(INDEX('Detail inputs'!$B$3:$K$196,MATCH($B87&amp;$G87&amp;P$5,'Detail inputs'!$B$3:$B$196&amp;'Detail inputs'!$G$3:$G$196&amp;'Detail inputs'!$H$3:$H$196,0),MATCH(P$4,'Detail inputs'!$B$3:$K$3,0)),0)</f>
        <v>3.26</v>
      </c>
      <c r="Q87" s="172">
        <f t="shared" si="41"/>
        <v>14.995999999999999</v>
      </c>
      <c r="R87" s="191">
        <f>IFERROR(Q87/Q90,"")</f>
        <v>0.17698154180238868</v>
      </c>
    </row>
    <row r="88" spans="1:18" s="20" customFormat="1" outlineLevel="1" x14ac:dyDescent="0.25">
      <c r="A88" s="3"/>
      <c r="B88" s="3" t="str">
        <f t="shared" si="38"/>
        <v>Essential</v>
      </c>
      <c r="C88" s="3" t="str">
        <f t="shared" si="38"/>
        <v>Residential</v>
      </c>
      <c r="D88" s="3" t="str">
        <f t="shared" si="38"/>
        <v>without CL</v>
      </c>
      <c r="E88" s="3" t="s">
        <v>22</v>
      </c>
      <c r="F88" s="175">
        <f t="array" ref="F88">IFERROR(INDEX(Usage!$B$5:$P$18,MATCH($B88,Usage!$B$5:$B$18,0),MATCH($C88&amp;$D88&amp;$E88&amp;"Total",Usage!$B$5:$S$5&amp;Usage!$B$6:$S$6&amp;Usage!$B$7:$S$7&amp;Usage!$B$13:$S$13,0)),0)</f>
        <v>4600</v>
      </c>
      <c r="G88" s="3" t="s">
        <v>198</v>
      </c>
      <c r="H88" s="172"/>
      <c r="I88" s="172" cm="1">
        <f t="array" ref="I88">IFERROR(INDEX('Detail inputs'!$B$3:$K$196,MATCH($B88&amp;$G88&amp;I$5,'Detail inputs'!$B$3:$B$196&amp;'Detail inputs'!$G$3:$G$196&amp;'Detail inputs'!$H$3:$H$196,0),MATCH(I$4,'Detail inputs'!$B$3:$K$3,0)),0)</f>
        <v>0.22</v>
      </c>
      <c r="J88" s="172">
        <f t="shared" si="39"/>
        <v>1.012</v>
      </c>
      <c r="K88" s="191">
        <f>IFERROR(J88/J90,"")</f>
        <v>1.0757946210268949E-2</v>
      </c>
      <c r="L88" s="188"/>
      <c r="M88" s="191">
        <f t="shared" si="40"/>
        <v>0.90909090909090895</v>
      </c>
      <c r="N88" s="188"/>
      <c r="O88" s="172"/>
      <c r="P88" s="172">
        <f t="array" ref="P88">IFERROR(INDEX('Detail inputs'!$B$3:$K$196,MATCH($B88&amp;$G88&amp;P$5,'Detail inputs'!$B$3:$B$196&amp;'Detail inputs'!$G$3:$G$196&amp;'Detail inputs'!$H$3:$H$196,0),MATCH(P$4,'Detail inputs'!$B$3:$K$3,0)),0)</f>
        <v>0.42</v>
      </c>
      <c r="Q88" s="172">
        <f t="shared" si="41"/>
        <v>1.9319999999999999</v>
      </c>
      <c r="R88" s="191">
        <f>IFERROR(Q88/Q90,"")</f>
        <v>2.2801302931596087E-2</v>
      </c>
    </row>
    <row r="89" spans="1:18" s="20" customFormat="1" outlineLevel="1" x14ac:dyDescent="0.25">
      <c r="A89" s="3"/>
      <c r="B89" s="3" t="str">
        <f t="shared" si="38"/>
        <v>Essential</v>
      </c>
      <c r="C89" s="3" t="str">
        <f t="shared" si="38"/>
        <v>Residential</v>
      </c>
      <c r="D89" s="3" t="str">
        <f t="shared" si="38"/>
        <v>without CL</v>
      </c>
      <c r="E89" s="3" t="s">
        <v>22</v>
      </c>
      <c r="F89" s="175">
        <f t="array" ref="F89">IFERROR(INDEX(Usage!$B$5:$P$18,MATCH($B89,Usage!$B$5:$B$18,0),MATCH($C89&amp;$D89&amp;$E89&amp;"Total",Usage!$B$5:$S$5&amp;Usage!$B$6:$S$6&amp;Usage!$B$7:$S$7&amp;Usage!$B$13:$S$13,0)),0)</f>
        <v>4600</v>
      </c>
      <c r="G89" s="3" t="s">
        <v>79</v>
      </c>
      <c r="H89" s="172"/>
      <c r="I89" s="172" cm="1">
        <f t="array" ref="I89">ROUND(IFERROR(INDEX('Detail inputs'!$B$3:$K$196,MATCH($B89&amp;$C89&amp;$E89&amp;$G89&amp;I$5,'Detail inputs'!$B$3:$B$196&amp;'Detail inputs'!$D$3:$D$196&amp;'Detail inputs'!$F$3:$F$196&amp;'Detail inputs'!$G$3:$G$196&amp;'Detail inputs'!$H$3:$H$196,0),MATCH(I$4,'Detail inputs'!$B$3:$K$3,0)),0)*SUM(I85:I88), 2)</f>
        <v>0.81</v>
      </c>
      <c r="J89" s="172">
        <f t="shared" si="39"/>
        <v>3.7260000000000004</v>
      </c>
      <c r="K89" s="191">
        <f>IFERROR(J89/J90,"")</f>
        <v>3.960880195599023E-2</v>
      </c>
      <c r="L89" s="188"/>
      <c r="M89" s="191">
        <f t="shared" si="40"/>
        <v>-0.24691358024691368</v>
      </c>
      <c r="N89" s="188"/>
      <c r="O89" s="172"/>
      <c r="P89" s="172" cm="1">
        <f t="array" ref="P89">ROUND(IFERROR(INDEX('Detail inputs'!$B$3:$K$196,MATCH($B89&amp;$C89&amp;$E89&amp;$G89&amp;P$5,'Detail inputs'!$B$3:$B$196&amp;'Detail inputs'!$D$3:$D$196&amp;'Detail inputs'!$F$3:$F$196&amp;'Detail inputs'!$G$3:$G$196&amp;'Detail inputs'!$H$3:$H$196,0),MATCH(P$4,'Detail inputs'!$B$3:$K$3,0)),0)*SUM(P85:P88), 2)</f>
        <v>0.61</v>
      </c>
      <c r="Q89" s="172">
        <f t="shared" si="41"/>
        <v>2.806</v>
      </c>
      <c r="R89" s="191">
        <f>IFERROR(Q89/Q90,"")</f>
        <v>3.3116178067318126E-2</v>
      </c>
    </row>
    <row r="90" spans="1:18" s="20" customFormat="1" x14ac:dyDescent="0.25">
      <c r="A90" s="3"/>
      <c r="B90" s="3" t="str">
        <f t="shared" si="38"/>
        <v>Essential</v>
      </c>
      <c r="C90" s="3" t="str">
        <f t="shared" si="38"/>
        <v>Residential</v>
      </c>
      <c r="D90" s="3" t="str">
        <f t="shared" si="38"/>
        <v>without CL</v>
      </c>
      <c r="E90" s="3" t="s">
        <v>22</v>
      </c>
      <c r="F90" s="175">
        <f t="array" ref="F90">IFERROR(INDEX(Usage!$B$5:$P$18,MATCH($B90,Usage!$B$5:$B$18,0),MATCH($C90&amp;$D90&amp;$E90&amp;"Total",Usage!$B$5:$S$5&amp;Usage!$B$6:$S$6&amp;Usage!$B$7:$S$7&amp;Usage!$B$13:$S$13,0)),0)</f>
        <v>4600</v>
      </c>
      <c r="G90" s="3" t="s">
        <v>61</v>
      </c>
      <c r="H90" s="172"/>
      <c r="I90" s="172" cm="1">
        <f t="array" ref="I90">INDEX('Key inputs'!$B$17:$N$41,MATCH($B90&amp;$C90&amp;$E90,'Key inputs'!$B$17:$B$41&amp;'Key inputs'!$C$17:$C$41&amp;'Key inputs'!$D$17:$D$41,0),MATCH($A$2&amp;I$4,'Key inputs'!$B$18:$N$18&amp;'Key inputs'!$B$19:$N$19,0))</f>
        <v>20.45</v>
      </c>
      <c r="J90" s="172">
        <f t="shared" si="39"/>
        <v>94.07</v>
      </c>
      <c r="K90" s="192"/>
      <c r="L90" s="197"/>
      <c r="M90" s="192">
        <f t="shared" si="40"/>
        <v>-9.9266503667481465E-2</v>
      </c>
      <c r="N90" s="197"/>
      <c r="O90" s="172"/>
      <c r="P90" s="172" cm="1">
        <f t="array" ref="P90">INDEX('Key inputs'!$B$17:$N$41,MATCH($B90&amp;$C90&amp;$E90,'Key inputs'!$B$17:$B$41&amp;'Key inputs'!$C$17:$C$41&amp;'Key inputs'!$D$17:$D$41,0),MATCH($A$2&amp;P$4,'Key inputs'!$B$18:$N$18&amp;'Key inputs'!$B$19:$N$19,0))</f>
        <v>18.420000000000002</v>
      </c>
      <c r="Q90" s="172">
        <f t="shared" si="41"/>
        <v>84.732000000000014</v>
      </c>
      <c r="R90" s="192"/>
    </row>
    <row r="91" spans="1:18" s="20" customFormat="1" outlineLevel="1" x14ac:dyDescent="0.25">
      <c r="A91" s="3"/>
      <c r="B91" s="3" t="str">
        <f t="shared" si="38"/>
        <v>Essential</v>
      </c>
      <c r="C91" s="3" t="str">
        <f t="shared" si="38"/>
        <v>Residential</v>
      </c>
      <c r="D91" s="3" t="str">
        <f t="shared" si="38"/>
        <v>without CL</v>
      </c>
      <c r="E91" s="3"/>
      <c r="F91" s="175"/>
      <c r="G91" s="3" t="s">
        <v>41</v>
      </c>
      <c r="H91" s="172"/>
      <c r="I91" s="172"/>
      <c r="J91" s="172">
        <f>J90*GST</f>
        <v>9.407</v>
      </c>
      <c r="K91" s="192"/>
      <c r="L91" s="197"/>
      <c r="M91" s="192"/>
      <c r="N91" s="197"/>
      <c r="O91" s="172"/>
      <c r="P91" s="172"/>
      <c r="Q91" s="172">
        <f>Q90*GST</f>
        <v>8.4732000000000021</v>
      </c>
      <c r="R91" s="193"/>
    </row>
    <row r="92" spans="1:18" s="20" customFormat="1" x14ac:dyDescent="0.25">
      <c r="A92" s="3"/>
      <c r="B92" s="3" t="str">
        <f t="shared" si="38"/>
        <v>Essential</v>
      </c>
      <c r="C92" s="3" t="str">
        <f t="shared" si="38"/>
        <v>Residential</v>
      </c>
      <c r="D92" s="3" t="str">
        <f t="shared" si="38"/>
        <v>without CL</v>
      </c>
      <c r="E92" s="3"/>
      <c r="F92" s="175"/>
      <c r="G92" s="5" t="s">
        <v>87</v>
      </c>
      <c r="H92" s="174"/>
      <c r="I92" s="174"/>
      <c r="J92" s="174">
        <f>SUM(J90:J91)</f>
        <v>103.47699999999999</v>
      </c>
      <c r="K92" s="193"/>
      <c r="L92" s="198"/>
      <c r="M92" s="193">
        <f>IF(OR(J92=0,Q92=""),"",Q92/J92-1)</f>
        <v>-9.9266503667481354E-2</v>
      </c>
      <c r="N92" s="198"/>
      <c r="O92" s="174"/>
      <c r="P92" s="174"/>
      <c r="Q92" s="174">
        <f>SUM(Q90:Q91)</f>
        <v>93.205200000000019</v>
      </c>
      <c r="R92" s="193"/>
    </row>
    <row r="93" spans="1:18" s="20" customFormat="1" x14ac:dyDescent="0.25">
      <c r="A93" s="3"/>
      <c r="B93" s="3"/>
      <c r="C93" s="3"/>
      <c r="D93" s="3"/>
      <c r="E93" s="3"/>
      <c r="F93" s="175"/>
      <c r="G93" s="3"/>
      <c r="H93" s="172"/>
      <c r="I93" s="172"/>
      <c r="J93" s="172"/>
      <c r="K93" s="191"/>
      <c r="L93" s="197"/>
      <c r="M93" s="191"/>
      <c r="N93" s="197"/>
      <c r="O93" s="172"/>
      <c r="P93" s="172"/>
      <c r="Q93" s="172"/>
      <c r="R93" s="191"/>
    </row>
    <row r="94" spans="1:18" s="20" customFormat="1" x14ac:dyDescent="0.25">
      <c r="A94" s="3"/>
      <c r="B94" s="5" t="s">
        <v>3</v>
      </c>
      <c r="C94" s="5" t="s">
        <v>6</v>
      </c>
      <c r="D94" s="5" t="s">
        <v>147</v>
      </c>
      <c r="E94" s="3"/>
      <c r="F94" s="175"/>
      <c r="G94" s="3"/>
      <c r="H94" s="172"/>
      <c r="I94" s="172"/>
      <c r="J94" s="172"/>
      <c r="K94" s="191"/>
      <c r="L94" s="197"/>
      <c r="M94" s="191"/>
      <c r="N94" s="197"/>
      <c r="O94" s="172"/>
      <c r="P94" s="172"/>
      <c r="Q94" s="172"/>
      <c r="R94" s="191"/>
    </row>
    <row r="95" spans="1:18" s="20" customFormat="1" outlineLevel="1" x14ac:dyDescent="0.25">
      <c r="A95" s="3"/>
      <c r="B95" s="3" t="str">
        <f t="shared" ref="B95:B108" si="42">B94</f>
        <v>Essential</v>
      </c>
      <c r="C95" s="3" t="str">
        <f t="shared" ref="C95:C108" si="43">C94</f>
        <v>Residential</v>
      </c>
      <c r="D95" s="3" t="str">
        <f t="shared" ref="D95:D108" si="44">D94</f>
        <v>with CL</v>
      </c>
      <c r="E95" s="3" t="s">
        <v>22</v>
      </c>
      <c r="F95" s="175">
        <f t="array" ref="F95">IFERROR(INDEX(Usage!$B$5:$P$18,MATCH($B95,Usage!$B$5:$B$18,0),MATCH($C95&amp;$D95&amp;$E95&amp;"Total",Usage!$B$5:$S$5&amp;Usage!$B$6:$S$6&amp;Usage!$B$7:$S$7&amp;Usage!$B$13:$S$13,0)),0)</f>
        <v>4600</v>
      </c>
      <c r="G95" s="3" t="s">
        <v>61</v>
      </c>
      <c r="H95" s="172"/>
      <c r="I95" s="172">
        <f>I90</f>
        <v>20.45</v>
      </c>
      <c r="J95" s="172">
        <f t="shared" ref="J95:J107" si="45">IF(AND(H95="",I95=""),"",H95+I95*$F95/1000)</f>
        <v>94.07</v>
      </c>
      <c r="K95" s="191"/>
      <c r="L95" s="197"/>
      <c r="M95" s="191">
        <f>IF(OR(J95=0,Q95=""),"",Q95/J95-1)</f>
        <v>-9.9266503667481465E-2</v>
      </c>
      <c r="N95" s="197"/>
      <c r="O95" s="172"/>
      <c r="P95" s="172">
        <f>P90</f>
        <v>18.420000000000002</v>
      </c>
      <c r="Q95" s="172">
        <f t="shared" ref="Q95:Q107" si="46">IF(AND(O95="",P95=""),"",O95+P95*$F95/1000)</f>
        <v>84.732000000000014</v>
      </c>
      <c r="R95" s="191"/>
    </row>
    <row r="96" spans="1:18" s="20" customFormat="1" outlineLevel="1" x14ac:dyDescent="0.25">
      <c r="A96" s="3"/>
      <c r="B96" s="3" t="str">
        <f t="shared" si="42"/>
        <v>Essential</v>
      </c>
      <c r="C96" s="3" t="str">
        <f t="shared" si="43"/>
        <v>Residential</v>
      </c>
      <c r="D96" s="3" t="str">
        <f t="shared" si="44"/>
        <v>with CL</v>
      </c>
      <c r="E96" s="3" t="s">
        <v>16</v>
      </c>
      <c r="F96" s="175">
        <f t="array" ref="F96">IFERROR(INDEX(Usage!$B$5:$P$18,MATCH($B96,Usage!$B$5:$B$18,0),MATCH($C96&amp;$D96&amp;$E96,Usage!$B$5:$S$5&amp;Usage!$B$6:$S$6&amp;Usage!$B$7:$S$7,0)),0)</f>
        <v>1540</v>
      </c>
      <c r="G96" s="3" t="s">
        <v>80</v>
      </c>
      <c r="H96" s="172"/>
      <c r="I96" s="172">
        <f t="array" ref="I96">IFERROR(INDEX('Detail inputs'!$B$3:$K$196,MATCH($B96&amp;$G96&amp;I$5,'Detail inputs'!$B$3:$B$196&amp;'Detail inputs'!$G$3:$G$196&amp;'Detail inputs'!$H$3:$H$196,0),MATCH(I$4,'Detail inputs'!$B$3:$K$3,0)),0)</f>
        <v>5.13</v>
      </c>
      <c r="J96" s="172">
        <f t="shared" si="45"/>
        <v>7.9001999999999999</v>
      </c>
      <c r="K96" s="191">
        <f>IFERROR(J96/J101,"")</f>
        <v>0.25085574572127139</v>
      </c>
      <c r="L96" s="188"/>
      <c r="M96" s="191">
        <f t="shared" ref="M96:M108" si="47">IF(OR(J96=0,Q96=""),"",Q96/J96-1)</f>
        <v>0.41715399610136439</v>
      </c>
      <c r="N96" s="188"/>
      <c r="O96" s="172"/>
      <c r="P96" s="172">
        <f t="array" ref="P96">IFERROR(INDEX('Detail inputs'!$B$3:$K$196,MATCH($B96&amp;$G96&amp;P$5,'Detail inputs'!$B$3:$B$196&amp;'Detail inputs'!$G$3:$G$196&amp;'Detail inputs'!$H$3:$H$196,0),MATCH(P$4,'Detail inputs'!$B$3:$K$3,0)),0)</f>
        <v>7.27</v>
      </c>
      <c r="Q96" s="172">
        <f t="shared" si="46"/>
        <v>11.195799999999998</v>
      </c>
      <c r="R96" s="191">
        <f>IFERROR(Q96/Q101,"")</f>
        <v>0.39467969598262753</v>
      </c>
    </row>
    <row r="97" spans="1:18" s="20" customFormat="1" outlineLevel="1" x14ac:dyDescent="0.25">
      <c r="A97" s="3"/>
      <c r="B97" s="3" t="str">
        <f t="shared" si="42"/>
        <v>Essential</v>
      </c>
      <c r="C97" s="3" t="str">
        <f t="shared" si="43"/>
        <v>Residential</v>
      </c>
      <c r="D97" s="3" t="str">
        <f t="shared" si="44"/>
        <v>with CL</v>
      </c>
      <c r="E97" s="3" t="s">
        <v>16</v>
      </c>
      <c r="F97" s="175">
        <f t="array" ref="F97">IFERROR(INDEX(Usage!$B$5:$P$18,MATCH($B97,Usage!$B$5:$B$18,0),MATCH($C97&amp;$D97&amp;$E97,Usage!$B$5:$S$5&amp;Usage!$B$6:$S$6&amp;Usage!$B$7:$S$7,0)),0)</f>
        <v>1540</v>
      </c>
      <c r="G97" s="3" t="s">
        <v>81</v>
      </c>
      <c r="H97" s="172"/>
      <c r="I97" s="172">
        <f t="array" ref="I97">IFERROR(INDEX('Detail inputs'!$B$3:$K$196,MATCH($B97&amp;$G97&amp;I$5,'Detail inputs'!$B$3:$B$196&amp;'Detail inputs'!$G$3:$G$196&amp;'Detail inputs'!$H$3:$H$196,0),MATCH(I$4,'Detail inputs'!$B$3:$K$3,0)),0)</f>
        <v>10.9</v>
      </c>
      <c r="J97" s="172">
        <f t="shared" si="45"/>
        <v>16.786000000000001</v>
      </c>
      <c r="K97" s="191">
        <f>IFERROR(J97/J101,"")</f>
        <v>0.5330073349633252</v>
      </c>
      <c r="L97" s="188"/>
      <c r="M97" s="191">
        <f t="shared" si="47"/>
        <v>-0.37064220183486252</v>
      </c>
      <c r="N97" s="188"/>
      <c r="O97" s="172"/>
      <c r="P97" s="172">
        <f t="array" ref="P97">IFERROR(INDEX('Detail inputs'!$B$3:$K$196,MATCH($B97&amp;$G97&amp;P$5,'Detail inputs'!$B$3:$B$196&amp;'Detail inputs'!$G$3:$G$196&amp;'Detail inputs'!$H$3:$H$196,0),MATCH(P$4,'Detail inputs'!$B$3:$K$3,0)),0)</f>
        <v>6.86</v>
      </c>
      <c r="Q97" s="172">
        <f t="shared" si="46"/>
        <v>10.564399999999999</v>
      </c>
      <c r="R97" s="191">
        <f>IFERROR(Q97/Q101,"")</f>
        <v>0.37242128121606943</v>
      </c>
    </row>
    <row r="98" spans="1:18" s="20" customFormat="1" outlineLevel="1" x14ac:dyDescent="0.25">
      <c r="A98" s="3"/>
      <c r="B98" s="3" t="str">
        <f t="shared" si="42"/>
        <v>Essential</v>
      </c>
      <c r="C98" s="3" t="str">
        <f t="shared" si="43"/>
        <v>Residential</v>
      </c>
      <c r="D98" s="3" t="str">
        <f t="shared" si="44"/>
        <v>with CL</v>
      </c>
      <c r="E98" s="3" t="s">
        <v>16</v>
      </c>
      <c r="F98" s="175">
        <f t="array" ref="F98">IFERROR(INDEX(Usage!$B$5:$P$18,MATCH($B98,Usage!$B$5:$B$18,0),MATCH($C98&amp;$D98&amp;$E98,Usage!$B$5:$S$5&amp;Usage!$B$6:$S$6&amp;Usage!$B$7:$S$7,0)),0)</f>
        <v>1540</v>
      </c>
      <c r="G98" s="3" t="s">
        <v>82</v>
      </c>
      <c r="H98" s="172"/>
      <c r="I98" s="172">
        <f t="array" ref="I98">IFERROR(INDEX('Detail inputs'!$B$3:$K$196,MATCH($B98&amp;$G98&amp;I$5,'Detail inputs'!$B$3:$B$196&amp;'Detail inputs'!$G$3:$G$196&amp;'Detail inputs'!$H$3:$H$196,0),MATCH(I$4,'Detail inputs'!$B$3:$K$3,0)),0)</f>
        <v>3.39</v>
      </c>
      <c r="J98" s="172">
        <f t="shared" si="45"/>
        <v>5.2206000000000001</v>
      </c>
      <c r="K98" s="191">
        <f>IFERROR(J98/J101,"")</f>
        <v>0.16577017114914427</v>
      </c>
      <c r="L98" s="188"/>
      <c r="M98" s="191">
        <f t="shared" si="47"/>
        <v>-3.8348082595870303E-2</v>
      </c>
      <c r="N98" s="188"/>
      <c r="O98" s="172"/>
      <c r="P98" s="172">
        <f t="array" ref="P98">IFERROR(INDEX('Detail inputs'!$B$3:$K$196,MATCH($B98&amp;$G98&amp;P$5,'Detail inputs'!$B$3:$B$196&amp;'Detail inputs'!$G$3:$G$196&amp;'Detail inputs'!$H$3:$H$196,0),MATCH(P$4,'Detail inputs'!$B$3:$K$3,0)),0)</f>
        <v>3.26</v>
      </c>
      <c r="Q98" s="172">
        <f t="shared" si="46"/>
        <v>5.0203999999999995</v>
      </c>
      <c r="R98" s="191">
        <f>IFERROR(Q98/Q101,"")</f>
        <v>0.17698154180238868</v>
      </c>
    </row>
    <row r="99" spans="1:18" s="20" customFormat="1" outlineLevel="1" x14ac:dyDescent="0.25">
      <c r="A99" s="3"/>
      <c r="B99" s="3" t="str">
        <f t="shared" si="42"/>
        <v>Essential</v>
      </c>
      <c r="C99" s="3" t="str">
        <f t="shared" si="43"/>
        <v>Residential</v>
      </c>
      <c r="D99" s="3" t="str">
        <f t="shared" si="44"/>
        <v>with CL</v>
      </c>
      <c r="E99" s="3" t="s">
        <v>16</v>
      </c>
      <c r="F99" s="175">
        <f t="array" ref="F99">IFERROR(INDEX(Usage!$B$5:$P$18,MATCH($B99,Usage!$B$5:$B$18,0),MATCH($C99&amp;$D99&amp;$E99,Usage!$B$5:$S$5&amp;Usage!$B$6:$S$6&amp;Usage!$B$7:$S$7,0)),0)</f>
        <v>1540</v>
      </c>
      <c r="G99" s="3" t="s">
        <v>198</v>
      </c>
      <c r="H99" s="172"/>
      <c r="I99" s="172">
        <f t="array" ref="I99">IFERROR(INDEX('Detail inputs'!$B$3:$K$196,MATCH($B99&amp;$G99&amp;I$5,'Detail inputs'!$B$3:$B$196&amp;'Detail inputs'!$G$3:$G$196&amp;'Detail inputs'!$H$3:$H$196,0),MATCH(I$4,'Detail inputs'!$B$3:$K$3,0)),0)</f>
        <v>0.22</v>
      </c>
      <c r="J99" s="172">
        <f t="shared" si="45"/>
        <v>0.33879999999999999</v>
      </c>
      <c r="K99" s="191">
        <f>IFERROR(J99/J101,"")</f>
        <v>1.0757946210268949E-2</v>
      </c>
      <c r="L99" s="188"/>
      <c r="M99" s="191">
        <f t="shared" si="47"/>
        <v>0.90909090909090895</v>
      </c>
      <c r="N99" s="188"/>
      <c r="O99" s="172"/>
      <c r="P99" s="172">
        <f t="array" ref="P99">IFERROR(INDEX('Detail inputs'!$B$3:$K$196,MATCH($B99&amp;$G99&amp;P$5,'Detail inputs'!$B$3:$B$196&amp;'Detail inputs'!$G$3:$G$196&amp;'Detail inputs'!$H$3:$H$196,0),MATCH(P$4,'Detail inputs'!$B$3:$K$3,0)),0)</f>
        <v>0.42</v>
      </c>
      <c r="Q99" s="172">
        <f t="shared" si="46"/>
        <v>0.64679999999999993</v>
      </c>
      <c r="R99" s="191">
        <f>IFERROR(Q99/Q101,"")</f>
        <v>2.2801302931596087E-2</v>
      </c>
    </row>
    <row r="100" spans="1:18" s="20" customFormat="1" outlineLevel="1" x14ac:dyDescent="0.25">
      <c r="A100" s="3"/>
      <c r="B100" s="3" t="str">
        <f t="shared" si="42"/>
        <v>Essential</v>
      </c>
      <c r="C100" s="3" t="str">
        <f t="shared" si="43"/>
        <v>Residential</v>
      </c>
      <c r="D100" s="3" t="str">
        <f t="shared" si="44"/>
        <v>with CL</v>
      </c>
      <c r="E100" s="3" t="s">
        <v>16</v>
      </c>
      <c r="F100" s="175">
        <f t="array" ref="F100">IFERROR(INDEX(Usage!$B$5:$P$18,MATCH($B100,Usage!$B$5:$B$18,0),MATCH($C100&amp;$D100&amp;$E100,Usage!$B$5:$S$5&amp;Usage!$B$6:$S$6&amp;Usage!$B$7:$S$7,0)),0)</f>
        <v>1540</v>
      </c>
      <c r="G100" s="3" t="s">
        <v>79</v>
      </c>
      <c r="H100" s="172"/>
      <c r="I100" s="172" cm="1">
        <f t="array" ref="I100">ROUND(IFERROR(INDEX('Detail inputs'!$B$3:$K$196,MATCH($B100&amp;$C100&amp;$E100&amp;$G100&amp;I$5,'Detail inputs'!$B$3:$B$196&amp;'Detail inputs'!$D$3:$D$196&amp;'Detail inputs'!$F$3:$F$196&amp;'Detail inputs'!$G$3:$G$196&amp;'Detail inputs'!$H$3:$H$196,0),MATCH(I$4,'Detail inputs'!$B$3:$K$3,0)),0)*SUM(I96:I99), 2)</f>
        <v>0.81</v>
      </c>
      <c r="J100" s="172">
        <f t="shared" si="45"/>
        <v>1.2474000000000001</v>
      </c>
      <c r="K100" s="191">
        <f>IFERROR(J100/J101,"")</f>
        <v>3.9608801955990224E-2</v>
      </c>
      <c r="L100" s="188"/>
      <c r="M100" s="191">
        <f t="shared" si="47"/>
        <v>-0.24691358024691357</v>
      </c>
      <c r="N100" s="188"/>
      <c r="O100" s="172"/>
      <c r="P100" s="172" cm="1">
        <f t="array" ref="P100">ROUND(IFERROR(INDEX('Detail inputs'!$B$3:$K$196,MATCH($B100&amp;$C100&amp;$E100&amp;$G100&amp;P$5,'Detail inputs'!$B$3:$B$196&amp;'Detail inputs'!$D$3:$D$196&amp;'Detail inputs'!$F$3:$F$196&amp;'Detail inputs'!$G$3:$G$196&amp;'Detail inputs'!$H$3:$H$196,0),MATCH(P$4,'Detail inputs'!$B$3:$K$3,0)),0)*SUM(P96:P99), 2)</f>
        <v>0.61</v>
      </c>
      <c r="Q100" s="172">
        <f t="shared" si="46"/>
        <v>0.93940000000000001</v>
      </c>
      <c r="R100" s="191">
        <f>IFERROR(Q100/Q101,"")</f>
        <v>3.3116178067318133E-2</v>
      </c>
    </row>
    <row r="101" spans="1:18" s="20" customFormat="1" outlineLevel="1" x14ac:dyDescent="0.25">
      <c r="A101" s="3"/>
      <c r="B101" s="3" t="str">
        <f t="shared" si="42"/>
        <v>Essential</v>
      </c>
      <c r="C101" s="3" t="str">
        <f t="shared" si="43"/>
        <v>Residential</v>
      </c>
      <c r="D101" s="3" t="str">
        <f t="shared" si="44"/>
        <v>with CL</v>
      </c>
      <c r="E101" s="3" t="s">
        <v>16</v>
      </c>
      <c r="F101" s="175">
        <f t="array" ref="F101">IFERROR(INDEX(Usage!$B$5:$P$18,MATCH($B101,Usage!$B$5:$B$18,0),MATCH($C101&amp;$D101&amp;$E101,Usage!$B$5:$S$5&amp;Usage!$B$6:$S$6&amp;Usage!$B$7:$S$7,0)),0)</f>
        <v>1540</v>
      </c>
      <c r="G101" s="3" t="s">
        <v>61</v>
      </c>
      <c r="H101" s="172"/>
      <c r="I101" s="172">
        <f t="array" ref="I101">INDEX('Key inputs'!$B$17:$N$41,MATCH($B101&amp;$C101&amp;$E101,'Key inputs'!$B$17:$B$41&amp;'Key inputs'!$C$17:$C$41&amp;'Key inputs'!$D$17:$D$41,0),MATCH($A$2&amp;I$4,'Key inputs'!$B$18:$N$18&amp;'Key inputs'!$B$19:$N$19,0))</f>
        <v>20.45</v>
      </c>
      <c r="J101" s="172">
        <f t="shared" si="45"/>
        <v>31.492999999999999</v>
      </c>
      <c r="K101" s="192"/>
      <c r="L101" s="197"/>
      <c r="M101" s="192">
        <f t="shared" si="47"/>
        <v>-9.9266503667481576E-2</v>
      </c>
      <c r="N101" s="197"/>
      <c r="O101" s="172"/>
      <c r="P101" s="172">
        <f t="array" ref="P101">INDEX('Key inputs'!$B$17:$N$41,MATCH($B101&amp;$C101&amp;$E101,'Key inputs'!$B$17:$B$41&amp;'Key inputs'!$C$17:$C$41&amp;'Key inputs'!$D$17:$D$41,0),MATCH($A$2&amp;P$4,'Key inputs'!$B$18:$N$18&amp;'Key inputs'!$B$19:$N$19,0))</f>
        <v>18.420000000000002</v>
      </c>
      <c r="Q101" s="172">
        <f t="shared" si="46"/>
        <v>28.366800000000001</v>
      </c>
      <c r="R101" s="192"/>
    </row>
    <row r="102" spans="1:18" s="20" customFormat="1" outlineLevel="1" x14ac:dyDescent="0.25">
      <c r="A102" s="3"/>
      <c r="B102" s="3" t="str">
        <f t="shared" si="42"/>
        <v>Essential</v>
      </c>
      <c r="C102" s="3" t="str">
        <f t="shared" si="43"/>
        <v>Residential</v>
      </c>
      <c r="D102" s="3" t="str">
        <f t="shared" si="44"/>
        <v>with CL</v>
      </c>
      <c r="E102" s="3" t="s">
        <v>17</v>
      </c>
      <c r="F102" s="175">
        <f t="array" ref="F102">IFERROR(INDEX(Usage!$B$5:$P$18,MATCH($B102,Usage!$B$5:$B$18,0),MATCH($C102&amp;$D102&amp;$E102,Usage!$B$5:$S$5&amp;Usage!$B$6:$S$6&amp;Usage!$B$7:$S$7,0)),0)</f>
        <v>460</v>
      </c>
      <c r="G102" s="3" t="s">
        <v>80</v>
      </c>
      <c r="H102" s="172"/>
      <c r="I102" s="172">
        <f t="array" ref="I102">IFERROR(INDEX('Detail inputs'!$B$3:$K$196,MATCH($B102&amp;$G102&amp;I$5,'Detail inputs'!$B$3:$B$196&amp;'Detail inputs'!$G$3:$G$196&amp;'Detail inputs'!$H$3:$H$196,0),MATCH(I$4,'Detail inputs'!$B$3:$K$3,0)),0)</f>
        <v>5.13</v>
      </c>
      <c r="J102" s="172">
        <f t="shared" si="45"/>
        <v>2.3597999999999999</v>
      </c>
      <c r="K102" s="191">
        <f>IFERROR(J102/J107,"")</f>
        <v>0.25085574572127139</v>
      </c>
      <c r="L102" s="188"/>
      <c r="M102" s="191">
        <f t="shared" si="47"/>
        <v>0.41715399610136461</v>
      </c>
      <c r="N102" s="188"/>
      <c r="O102" s="172"/>
      <c r="P102" s="172">
        <f t="array" ref="P102">IFERROR(INDEX('Detail inputs'!$B$3:$K$196,MATCH($B102&amp;$G102&amp;P$5,'Detail inputs'!$B$3:$B$196&amp;'Detail inputs'!$G$3:$G$196&amp;'Detail inputs'!$H$3:$H$196,0),MATCH(P$4,'Detail inputs'!$B$3:$K$3,0)),0)</f>
        <v>7.27</v>
      </c>
      <c r="Q102" s="172">
        <f t="shared" si="46"/>
        <v>3.3441999999999998</v>
      </c>
      <c r="R102" s="191">
        <f>IFERROR(Q102/Q107,"")</f>
        <v>0.39467969598262753</v>
      </c>
    </row>
    <row r="103" spans="1:18" s="20" customFormat="1" outlineLevel="1" x14ac:dyDescent="0.25">
      <c r="A103" s="3"/>
      <c r="B103" s="3" t="str">
        <f t="shared" si="42"/>
        <v>Essential</v>
      </c>
      <c r="C103" s="3" t="str">
        <f t="shared" si="43"/>
        <v>Residential</v>
      </c>
      <c r="D103" s="3" t="str">
        <f t="shared" si="44"/>
        <v>with CL</v>
      </c>
      <c r="E103" s="3" t="s">
        <v>17</v>
      </c>
      <c r="F103" s="175">
        <f t="array" ref="F103">IFERROR(INDEX(Usage!$B$5:$P$18,MATCH($B103,Usage!$B$5:$B$18,0),MATCH($C103&amp;$D103&amp;$E103,Usage!$B$5:$S$5&amp;Usage!$B$6:$S$6&amp;Usage!$B$7:$S$7,0)),0)</f>
        <v>460</v>
      </c>
      <c r="G103" s="3" t="s">
        <v>81</v>
      </c>
      <c r="H103" s="172"/>
      <c r="I103" s="172">
        <f t="array" ref="I103">IFERROR(INDEX('Detail inputs'!$B$3:$K$196,MATCH($B103&amp;$G103&amp;I$5,'Detail inputs'!$B$3:$B$196&amp;'Detail inputs'!$G$3:$G$196&amp;'Detail inputs'!$H$3:$H$196,0),MATCH(I$4,'Detail inputs'!$B$3:$K$3,0)),0)</f>
        <v>10.9</v>
      </c>
      <c r="J103" s="172">
        <f t="shared" si="45"/>
        <v>5.0140000000000002</v>
      </c>
      <c r="K103" s="192">
        <f>IFERROR(J103/J107,"")</f>
        <v>0.5330073349633252</v>
      </c>
      <c r="L103" s="189"/>
      <c r="M103" s="192">
        <f t="shared" si="47"/>
        <v>-0.37064220183486241</v>
      </c>
      <c r="N103" s="189"/>
      <c r="O103" s="172"/>
      <c r="P103" s="172">
        <f t="array" ref="P103">IFERROR(INDEX('Detail inputs'!$B$3:$K$196,MATCH($B103&amp;$G103&amp;P$5,'Detail inputs'!$B$3:$B$196&amp;'Detail inputs'!$G$3:$G$196&amp;'Detail inputs'!$H$3:$H$196,0),MATCH(P$4,'Detail inputs'!$B$3:$K$3,0)),0)</f>
        <v>6.86</v>
      </c>
      <c r="Q103" s="172">
        <f t="shared" si="46"/>
        <v>3.1556000000000002</v>
      </c>
      <c r="R103" s="192">
        <f>IFERROR(Q103/Q107,"")</f>
        <v>0.37242128121606949</v>
      </c>
    </row>
    <row r="104" spans="1:18" s="20" customFormat="1" outlineLevel="1" x14ac:dyDescent="0.25">
      <c r="A104" s="3"/>
      <c r="B104" s="3" t="str">
        <f t="shared" si="42"/>
        <v>Essential</v>
      </c>
      <c r="C104" s="3" t="str">
        <f t="shared" si="43"/>
        <v>Residential</v>
      </c>
      <c r="D104" s="3" t="str">
        <f t="shared" si="44"/>
        <v>with CL</v>
      </c>
      <c r="E104" s="3" t="s">
        <v>17</v>
      </c>
      <c r="F104" s="175">
        <f t="array" ref="F104">IFERROR(INDEX(Usage!$B$5:$P$18,MATCH($B104,Usage!$B$5:$B$18,0),MATCH($C104&amp;$D104&amp;$E104,Usage!$B$5:$S$5&amp;Usage!$B$6:$S$6&amp;Usage!$B$7:$S$7,0)),0)</f>
        <v>460</v>
      </c>
      <c r="G104" s="3" t="s">
        <v>82</v>
      </c>
      <c r="H104" s="172"/>
      <c r="I104" s="172">
        <f t="array" ref="I104">IFERROR(INDEX('Detail inputs'!$B$3:$K$196,MATCH($B104&amp;$G104&amp;I$5,'Detail inputs'!$B$3:$B$196&amp;'Detail inputs'!$G$3:$G$196&amp;'Detail inputs'!$H$3:$H$196,0),MATCH(I$4,'Detail inputs'!$B$3:$K$3,0)),0)</f>
        <v>3.39</v>
      </c>
      <c r="J104" s="172">
        <f t="shared" si="45"/>
        <v>1.5594000000000001</v>
      </c>
      <c r="K104" s="192">
        <f>IFERROR(J104/J107,"")</f>
        <v>0.16577017114914427</v>
      </c>
      <c r="L104" s="189"/>
      <c r="M104" s="192">
        <f t="shared" si="47"/>
        <v>-3.8348082595870414E-2</v>
      </c>
      <c r="N104" s="189"/>
      <c r="O104" s="172"/>
      <c r="P104" s="172">
        <f t="array" ref="P104">IFERROR(INDEX('Detail inputs'!$B$3:$K$196,MATCH($B104&amp;$G104&amp;P$5,'Detail inputs'!$B$3:$B$196&amp;'Detail inputs'!$G$3:$G$196&amp;'Detail inputs'!$H$3:$H$196,0),MATCH(P$4,'Detail inputs'!$B$3:$K$3,0)),0)</f>
        <v>3.26</v>
      </c>
      <c r="Q104" s="172">
        <f t="shared" si="46"/>
        <v>1.4995999999999998</v>
      </c>
      <c r="R104" s="192">
        <f>IFERROR(Q104/Q107,"")</f>
        <v>0.17698154180238868</v>
      </c>
    </row>
    <row r="105" spans="1:18" s="20" customFormat="1" outlineLevel="1" x14ac:dyDescent="0.25">
      <c r="A105" s="3"/>
      <c r="B105" s="3" t="str">
        <f t="shared" si="42"/>
        <v>Essential</v>
      </c>
      <c r="C105" s="3" t="str">
        <f t="shared" si="43"/>
        <v>Residential</v>
      </c>
      <c r="D105" s="3" t="str">
        <f t="shared" si="44"/>
        <v>with CL</v>
      </c>
      <c r="E105" s="3" t="s">
        <v>17</v>
      </c>
      <c r="F105" s="175">
        <f t="array" ref="F105">IFERROR(INDEX(Usage!$B$5:$P$18,MATCH($B105,Usage!$B$5:$B$18,0),MATCH($C105&amp;$D105&amp;$E105,Usage!$B$5:$S$5&amp;Usage!$B$6:$S$6&amp;Usage!$B$7:$S$7,0)),0)</f>
        <v>460</v>
      </c>
      <c r="G105" s="3" t="s">
        <v>198</v>
      </c>
      <c r="H105" s="172"/>
      <c r="I105" s="172">
        <f t="array" ref="I105">IFERROR(INDEX('Detail inputs'!$B$3:$K$196,MATCH($B105&amp;$G105&amp;I$5,'Detail inputs'!$B$3:$B$196&amp;'Detail inputs'!$G$3:$G$196&amp;'Detail inputs'!$H$3:$H$196,0),MATCH(I$4,'Detail inputs'!$B$3:$K$3,0)),0)</f>
        <v>0.22</v>
      </c>
      <c r="J105" s="172">
        <f t="shared" si="45"/>
        <v>0.1012</v>
      </c>
      <c r="K105" s="192">
        <f>IFERROR(J105/J107,"")</f>
        <v>1.0757946210268949E-2</v>
      </c>
      <c r="L105" s="189"/>
      <c r="M105" s="192">
        <f t="shared" si="47"/>
        <v>0.90909090909090895</v>
      </c>
      <c r="N105" s="189"/>
      <c r="O105" s="172"/>
      <c r="P105" s="172">
        <f t="array" ref="P105">IFERROR(INDEX('Detail inputs'!$B$3:$K$196,MATCH($B105&amp;$G105&amp;P$5,'Detail inputs'!$B$3:$B$196&amp;'Detail inputs'!$G$3:$G$196&amp;'Detail inputs'!$H$3:$H$196,0),MATCH(P$4,'Detail inputs'!$B$3:$K$3,0)),0)</f>
        <v>0.42</v>
      </c>
      <c r="Q105" s="172">
        <f t="shared" si="46"/>
        <v>0.19319999999999998</v>
      </c>
      <c r="R105" s="192">
        <f>IFERROR(Q105/Q107,"")</f>
        <v>2.2801302931596087E-2</v>
      </c>
    </row>
    <row r="106" spans="1:18" s="20" customFormat="1" outlineLevel="1" x14ac:dyDescent="0.25">
      <c r="A106" s="3"/>
      <c r="B106" s="3" t="str">
        <f t="shared" si="42"/>
        <v>Essential</v>
      </c>
      <c r="C106" s="3" t="str">
        <f t="shared" si="43"/>
        <v>Residential</v>
      </c>
      <c r="D106" s="3" t="str">
        <f t="shared" si="44"/>
        <v>with CL</v>
      </c>
      <c r="E106" s="3" t="s">
        <v>17</v>
      </c>
      <c r="F106" s="175">
        <f t="array" ref="F106">IFERROR(INDEX(Usage!$B$5:$P$18,MATCH($B106,Usage!$B$5:$B$18,0),MATCH($C106&amp;$D106&amp;$E106,Usage!$B$5:$S$5&amp;Usage!$B$6:$S$6&amp;Usage!$B$7:$S$7,0)),0)</f>
        <v>460</v>
      </c>
      <c r="G106" s="3" t="s">
        <v>79</v>
      </c>
      <c r="H106" s="172"/>
      <c r="I106" s="172" cm="1">
        <f t="array" ref="I106">ROUND(IFERROR(INDEX('Detail inputs'!$B$3:$K$196,MATCH($B106&amp;$C106&amp;$E106&amp;$G106&amp;I$5,'Detail inputs'!$B$3:$B$196&amp;'Detail inputs'!$D$3:$D$196&amp;'Detail inputs'!$F$3:$F$196&amp;'Detail inputs'!$G$3:$G$196&amp;'Detail inputs'!$H$3:$H$196,0),MATCH(I$4,'Detail inputs'!$B$3:$K$3,0)),0)*SUM(I102:I105), 2)</f>
        <v>0.81</v>
      </c>
      <c r="J106" s="172">
        <f t="shared" si="45"/>
        <v>0.37260000000000004</v>
      </c>
      <c r="K106" s="192">
        <f>IFERROR(J106/J107,"")</f>
        <v>3.9608801955990224E-2</v>
      </c>
      <c r="L106" s="189"/>
      <c r="M106" s="192">
        <f t="shared" si="47"/>
        <v>-0.24691358024691379</v>
      </c>
      <c r="N106" s="189"/>
      <c r="O106" s="172"/>
      <c r="P106" s="172" cm="1">
        <f t="array" ref="P106">ROUND(IFERROR(INDEX('Detail inputs'!$B$3:$K$196,MATCH($B106&amp;$C106&amp;$E106&amp;$G106&amp;P$5,'Detail inputs'!$B$3:$B$196&amp;'Detail inputs'!$D$3:$D$196&amp;'Detail inputs'!$F$3:$F$196&amp;'Detail inputs'!$G$3:$G$196&amp;'Detail inputs'!$H$3:$H$196,0),MATCH(P$4,'Detail inputs'!$B$3:$K$3,0)),0)*SUM(P102:P105), 2)</f>
        <v>0.61</v>
      </c>
      <c r="Q106" s="172">
        <f t="shared" si="46"/>
        <v>0.28059999999999996</v>
      </c>
      <c r="R106" s="192">
        <f>IFERROR(Q106/Q107,"")</f>
        <v>3.3116178067318126E-2</v>
      </c>
    </row>
    <row r="107" spans="1:18" s="20" customFormat="1" outlineLevel="1" x14ac:dyDescent="0.25">
      <c r="A107" s="3"/>
      <c r="B107" s="3" t="str">
        <f t="shared" si="42"/>
        <v>Essential</v>
      </c>
      <c r="C107" s="3" t="str">
        <f t="shared" si="43"/>
        <v>Residential</v>
      </c>
      <c r="D107" s="3" t="str">
        <f t="shared" si="44"/>
        <v>with CL</v>
      </c>
      <c r="E107" s="3" t="s">
        <v>17</v>
      </c>
      <c r="F107" s="175">
        <f t="array" ref="F107">IFERROR(INDEX(Usage!$B$5:$P$18,MATCH($B107,Usage!$B$5:$B$18,0),MATCH($C107&amp;$D107&amp;$E107,Usage!$B$5:$S$5&amp;Usage!$B$6:$S$6&amp;Usage!$B$7:$S$7,0)),0)</f>
        <v>460</v>
      </c>
      <c r="G107" s="3" t="s">
        <v>61</v>
      </c>
      <c r="H107" s="172"/>
      <c r="I107" s="172">
        <f t="array" ref="I107">INDEX('Key inputs'!$B$17:$N$41,MATCH($B107&amp;$C107&amp;$E107,'Key inputs'!$B$17:$B$41&amp;'Key inputs'!$C$17:$C$41&amp;'Key inputs'!$D$17:$D$41,0),MATCH($A$2&amp;I$4,'Key inputs'!$B$18:$N$18&amp;'Key inputs'!$B$19:$N$19,0))</f>
        <v>20.45</v>
      </c>
      <c r="J107" s="172">
        <f t="shared" si="45"/>
        <v>9.407</v>
      </c>
      <c r="K107" s="192"/>
      <c r="L107" s="197"/>
      <c r="M107" s="192">
        <f t="shared" si="47"/>
        <v>-9.9266503667481687E-2</v>
      </c>
      <c r="N107" s="197"/>
      <c r="O107" s="172"/>
      <c r="P107" s="172">
        <f t="array" ref="P107">INDEX('Key inputs'!$B$17:$N$41,MATCH($B107&amp;$C107&amp;$E107,'Key inputs'!$B$17:$B$41&amp;'Key inputs'!$C$17:$C$41&amp;'Key inputs'!$D$17:$D$41,0),MATCH($A$2&amp;P$4,'Key inputs'!$B$18:$N$18&amp;'Key inputs'!$B$19:$N$19,0))</f>
        <v>18.420000000000002</v>
      </c>
      <c r="Q107" s="172">
        <f t="shared" si="46"/>
        <v>8.4732000000000003</v>
      </c>
      <c r="R107" s="192"/>
    </row>
    <row r="108" spans="1:18" s="20" customFormat="1" x14ac:dyDescent="0.25">
      <c r="A108" s="3"/>
      <c r="B108" s="3" t="str">
        <f t="shared" si="42"/>
        <v>Essential</v>
      </c>
      <c r="C108" s="3" t="str">
        <f t="shared" si="43"/>
        <v>Residential</v>
      </c>
      <c r="D108" s="3" t="str">
        <f t="shared" si="44"/>
        <v>with CL</v>
      </c>
      <c r="E108" s="3" t="s">
        <v>61</v>
      </c>
      <c r="F108" s="175">
        <f t="array" ref="F108">IFERROR(INDEX(Usage!$B$5:$P$18,MATCH($B108,Usage!$B$5:$B$18,0),MATCH($C108&amp;$D108&amp;$E108,Usage!$B$5:$S$5&amp;Usage!$B$6:$S$6&amp;Usage!$B$7:$S$7,0)),0)</f>
        <v>6600</v>
      </c>
      <c r="G108" s="3" t="s">
        <v>61</v>
      </c>
      <c r="H108" s="172"/>
      <c r="I108" s="172">
        <f>I95+I101+I107</f>
        <v>61.349999999999994</v>
      </c>
      <c r="J108" s="172">
        <f>J95+J101+J107</f>
        <v>134.97</v>
      </c>
      <c r="K108" s="192"/>
      <c r="L108" s="197"/>
      <c r="M108" s="192">
        <f t="shared" si="47"/>
        <v>-9.9266503667481576E-2</v>
      </c>
      <c r="N108" s="197"/>
      <c r="O108" s="172"/>
      <c r="P108" s="172">
        <f>P95+P101+P107</f>
        <v>55.260000000000005</v>
      </c>
      <c r="Q108" s="172">
        <f>Q95+Q101+Q107</f>
        <v>121.57200000000002</v>
      </c>
      <c r="R108" s="192"/>
    </row>
    <row r="109" spans="1:18" s="20" customFormat="1" outlineLevel="1" x14ac:dyDescent="0.25">
      <c r="A109" s="3"/>
      <c r="B109" s="3" t="str">
        <f t="shared" ref="B109:D110" si="48">B108</f>
        <v>Essential</v>
      </c>
      <c r="C109" s="3" t="str">
        <f t="shared" si="48"/>
        <v>Residential</v>
      </c>
      <c r="D109" s="3" t="str">
        <f t="shared" si="48"/>
        <v>with CL</v>
      </c>
      <c r="E109" s="3"/>
      <c r="F109" s="175"/>
      <c r="G109" s="3" t="s">
        <v>41</v>
      </c>
      <c r="H109" s="172"/>
      <c r="I109" s="172"/>
      <c r="J109" s="172">
        <f>J108*GST</f>
        <v>13.497</v>
      </c>
      <c r="K109" s="192"/>
      <c r="L109" s="197"/>
      <c r="M109" s="192"/>
      <c r="N109" s="197"/>
      <c r="O109" s="172"/>
      <c r="P109" s="172"/>
      <c r="Q109" s="172">
        <f>Q108*GST</f>
        <v>12.157200000000003</v>
      </c>
      <c r="R109" s="193"/>
    </row>
    <row r="110" spans="1:18" s="20" customFormat="1" x14ac:dyDescent="0.25">
      <c r="A110" s="3"/>
      <c r="B110" s="3" t="str">
        <f t="shared" si="48"/>
        <v>Essential</v>
      </c>
      <c r="C110" s="3" t="str">
        <f t="shared" si="48"/>
        <v>Residential</v>
      </c>
      <c r="D110" s="3" t="str">
        <f t="shared" si="48"/>
        <v>with CL</v>
      </c>
      <c r="E110" s="3"/>
      <c r="F110" s="175"/>
      <c r="G110" s="5" t="s">
        <v>87</v>
      </c>
      <c r="H110" s="174"/>
      <c r="I110" s="174"/>
      <c r="J110" s="174">
        <f>SUM(J108:J109)</f>
        <v>148.46699999999998</v>
      </c>
      <c r="K110" s="193"/>
      <c r="L110" s="198"/>
      <c r="M110" s="193">
        <f>IF(OR(J110=0,Q110=""),"",Q110/J110-1)</f>
        <v>-9.9266503667481465E-2</v>
      </c>
      <c r="N110" s="198"/>
      <c r="O110" s="174"/>
      <c r="P110" s="174"/>
      <c r="Q110" s="174">
        <f>SUM(Q108:Q109)</f>
        <v>133.72920000000002</v>
      </c>
      <c r="R110" s="193"/>
    </row>
    <row r="111" spans="1:18" s="20" customFormat="1" x14ac:dyDescent="0.25">
      <c r="A111" s="3"/>
      <c r="B111" s="3"/>
      <c r="C111" s="3"/>
      <c r="D111" s="3"/>
      <c r="E111" s="3"/>
      <c r="F111" s="175"/>
      <c r="G111" s="3"/>
      <c r="H111" s="172"/>
      <c r="I111" s="172"/>
      <c r="J111" s="172"/>
      <c r="K111" s="191"/>
      <c r="L111" s="197"/>
      <c r="M111" s="191"/>
      <c r="N111" s="197"/>
      <c r="O111" s="172"/>
      <c r="P111" s="172"/>
      <c r="Q111" s="172"/>
      <c r="R111" s="191"/>
    </row>
    <row r="112" spans="1:18" s="20" customFormat="1" x14ac:dyDescent="0.25">
      <c r="A112" s="3"/>
      <c r="B112" s="5" t="s">
        <v>3</v>
      </c>
      <c r="C112" s="5" t="s">
        <v>15</v>
      </c>
      <c r="D112" s="5" t="s">
        <v>146</v>
      </c>
      <c r="E112" s="3"/>
      <c r="F112" s="175"/>
      <c r="G112" s="3"/>
      <c r="H112" s="172"/>
      <c r="I112" s="172"/>
      <c r="J112" s="172"/>
      <c r="K112" s="191"/>
      <c r="L112" s="197"/>
      <c r="M112" s="191"/>
      <c r="N112" s="197"/>
      <c r="O112" s="172"/>
      <c r="P112" s="172"/>
      <c r="Q112" s="172"/>
      <c r="R112" s="191"/>
    </row>
    <row r="113" spans="1:18" s="20" customFormat="1" outlineLevel="1" x14ac:dyDescent="0.25">
      <c r="A113" s="3"/>
      <c r="B113" s="3" t="str">
        <f t="shared" ref="B113:D120" si="49">B112</f>
        <v>Essential</v>
      </c>
      <c r="C113" s="3" t="str">
        <f t="shared" si="49"/>
        <v>Small business</v>
      </c>
      <c r="D113" s="3" t="str">
        <f t="shared" si="49"/>
        <v>without CL</v>
      </c>
      <c r="E113" s="3" t="s">
        <v>22</v>
      </c>
      <c r="F113" s="175">
        <f t="array" ref="F113">IFERROR(INDEX(Usage!$B$5:$P$18,MATCH($B113,Usage!$B$5:$B$18,0),MATCH($C113&amp;$D113&amp;$E113,Usage!$B$5:$S$5&amp;Usage!$B$6:$S$6&amp;Usage!$B$7:$S$7,0)),0)</f>
        <v>10000</v>
      </c>
      <c r="G113" s="3" t="s">
        <v>80</v>
      </c>
      <c r="H113" s="172"/>
      <c r="I113" s="172">
        <f t="array" ref="I113">IFERROR(INDEX('Detail inputs'!$B$3:$K$196,MATCH($B113&amp;$G113&amp;I$5,'Detail inputs'!$B$3:$B$196&amp;'Detail inputs'!$G$3:$G$196&amp;'Detail inputs'!$H$3:$H$196,0),MATCH(I$4,'Detail inputs'!$B$3:$K$3,0)),0)</f>
        <v>5.13</v>
      </c>
      <c r="J113" s="172">
        <f t="shared" ref="J113:J118" si="50">IF(AND(H113="",I113=""),"",H113+I113*$F113/1000)</f>
        <v>51.3</v>
      </c>
      <c r="K113" s="191">
        <f>IFERROR(J113/J118,"")</f>
        <v>0.25085574572127139</v>
      </c>
      <c r="L113" s="188"/>
      <c r="M113" s="191">
        <f t="shared" ref="M113:M118" si="51">IF(OR(J113=0,Q113=""),"",Q113/J113-1)</f>
        <v>0.41715399610136461</v>
      </c>
      <c r="N113" s="188"/>
      <c r="O113" s="172"/>
      <c r="P113" s="172">
        <f t="array" ref="P113">IFERROR(INDEX('Detail inputs'!$B$3:$K$196,MATCH($B113&amp;$G113&amp;P$5,'Detail inputs'!$B$3:$B$196&amp;'Detail inputs'!$G$3:$G$196&amp;'Detail inputs'!$H$3:$H$196,0),MATCH(P$4,'Detail inputs'!$B$3:$K$3,0)),0)</f>
        <v>7.27</v>
      </c>
      <c r="Q113" s="172">
        <f t="shared" ref="Q113:Q118" si="52">IF(AND(O113="",P113=""),"",O113+P113*$F113/1000)</f>
        <v>72.7</v>
      </c>
      <c r="R113" s="191">
        <f>IFERROR(Q113/Q118,"")</f>
        <v>0.39467969598262753</v>
      </c>
    </row>
    <row r="114" spans="1:18" s="20" customFormat="1" outlineLevel="1" x14ac:dyDescent="0.25">
      <c r="A114" s="3"/>
      <c r="B114" s="3" t="str">
        <f t="shared" si="49"/>
        <v>Essential</v>
      </c>
      <c r="C114" s="3" t="str">
        <f t="shared" si="49"/>
        <v>Small business</v>
      </c>
      <c r="D114" s="3" t="str">
        <f t="shared" si="49"/>
        <v>without CL</v>
      </c>
      <c r="E114" s="3" t="s">
        <v>22</v>
      </c>
      <c r="F114" s="175">
        <f t="array" ref="F114">IFERROR(INDEX(Usage!$B$5:$P$18,MATCH($B114,Usage!$B$5:$B$18,0),MATCH($C114&amp;$D114&amp;$E114,Usage!$B$5:$S$5&amp;Usage!$B$6:$S$6&amp;Usage!$B$7:$S$7,0)),0)</f>
        <v>10000</v>
      </c>
      <c r="G114" s="3" t="s">
        <v>81</v>
      </c>
      <c r="H114" s="172"/>
      <c r="I114" s="172">
        <f t="array" ref="I114">IFERROR(INDEX('Detail inputs'!$B$3:$K$196,MATCH($B114&amp;$G114&amp;I$5,'Detail inputs'!$B$3:$B$196&amp;'Detail inputs'!$G$3:$G$196&amp;'Detail inputs'!$H$3:$H$196,0),MATCH(I$4,'Detail inputs'!$B$3:$K$3,0)),0)</f>
        <v>10.9</v>
      </c>
      <c r="J114" s="172">
        <f t="shared" si="50"/>
        <v>109</v>
      </c>
      <c r="K114" s="191">
        <f>IFERROR(J114/J118,"")</f>
        <v>0.5330073349633252</v>
      </c>
      <c r="L114" s="188"/>
      <c r="M114" s="191">
        <f t="shared" si="51"/>
        <v>-0.37064220183486241</v>
      </c>
      <c r="N114" s="188"/>
      <c r="O114" s="172"/>
      <c r="P114" s="172">
        <f t="array" ref="P114">IFERROR(INDEX('Detail inputs'!$B$3:$K$196,MATCH($B114&amp;$G114&amp;P$5,'Detail inputs'!$B$3:$B$196&amp;'Detail inputs'!$G$3:$G$196&amp;'Detail inputs'!$H$3:$H$196,0),MATCH(P$4,'Detail inputs'!$B$3:$K$3,0)),0)</f>
        <v>6.86</v>
      </c>
      <c r="Q114" s="172">
        <f t="shared" si="52"/>
        <v>68.599999999999994</v>
      </c>
      <c r="R114" s="191">
        <f>IFERROR(Q114/Q118,"")</f>
        <v>0.37242128121606943</v>
      </c>
    </row>
    <row r="115" spans="1:18" s="20" customFormat="1" outlineLevel="1" x14ac:dyDescent="0.25">
      <c r="A115" s="3"/>
      <c r="B115" s="3" t="str">
        <f t="shared" si="49"/>
        <v>Essential</v>
      </c>
      <c r="C115" s="3" t="str">
        <f t="shared" si="49"/>
        <v>Small business</v>
      </c>
      <c r="D115" s="3" t="str">
        <f t="shared" si="49"/>
        <v>without CL</v>
      </c>
      <c r="E115" s="3" t="s">
        <v>22</v>
      </c>
      <c r="F115" s="175">
        <f t="array" ref="F115">IFERROR(INDEX(Usage!$B$5:$P$18,MATCH($B115,Usage!$B$5:$B$18,0),MATCH($C115&amp;$D115&amp;$E115,Usage!$B$5:$S$5&amp;Usage!$B$6:$S$6&amp;Usage!$B$7:$S$7,0)),0)</f>
        <v>10000</v>
      </c>
      <c r="G115" s="3" t="s">
        <v>82</v>
      </c>
      <c r="H115" s="172"/>
      <c r="I115" s="172">
        <f t="array" ref="I115">IFERROR(INDEX('Detail inputs'!$B$3:$K$196,MATCH($B115&amp;$G115&amp;I$5,'Detail inputs'!$B$3:$B$196&amp;'Detail inputs'!$G$3:$G$196&amp;'Detail inputs'!$H$3:$H$196,0),MATCH(I$4,'Detail inputs'!$B$3:$K$3,0)),0)</f>
        <v>3.39</v>
      </c>
      <c r="J115" s="172">
        <f t="shared" si="50"/>
        <v>33.9</v>
      </c>
      <c r="K115" s="191">
        <f>IFERROR(J115/J118,"")</f>
        <v>0.16577017114914425</v>
      </c>
      <c r="L115" s="188"/>
      <c r="M115" s="191">
        <f t="shared" si="51"/>
        <v>-3.8348082595870303E-2</v>
      </c>
      <c r="N115" s="188"/>
      <c r="O115" s="172"/>
      <c r="P115" s="172">
        <f t="array" ref="P115">IFERROR(INDEX('Detail inputs'!$B$3:$K$196,MATCH($B115&amp;$G115&amp;P$5,'Detail inputs'!$B$3:$B$196&amp;'Detail inputs'!$G$3:$G$196&amp;'Detail inputs'!$H$3:$H$196,0),MATCH(P$4,'Detail inputs'!$B$3:$K$3,0)),0)</f>
        <v>3.26</v>
      </c>
      <c r="Q115" s="172">
        <f t="shared" si="52"/>
        <v>32.599999999999994</v>
      </c>
      <c r="R115" s="191">
        <f>IFERROR(Q115/Q118,"")</f>
        <v>0.17698154180238865</v>
      </c>
    </row>
    <row r="116" spans="1:18" s="20" customFormat="1" outlineLevel="1" x14ac:dyDescent="0.25">
      <c r="A116" s="3"/>
      <c r="B116" s="3" t="str">
        <f t="shared" si="49"/>
        <v>Essential</v>
      </c>
      <c r="C116" s="3" t="str">
        <f t="shared" si="49"/>
        <v>Small business</v>
      </c>
      <c r="D116" s="3" t="str">
        <f t="shared" si="49"/>
        <v>without CL</v>
      </c>
      <c r="E116" s="3" t="s">
        <v>22</v>
      </c>
      <c r="F116" s="175">
        <f t="array" ref="F116">IFERROR(INDEX(Usage!$B$5:$P$18,MATCH($B116,Usage!$B$5:$B$18,0),MATCH($C116&amp;$D116&amp;$E116,Usage!$B$5:$S$5&amp;Usage!$B$6:$S$6&amp;Usage!$B$7:$S$7,0)),0)</f>
        <v>10000</v>
      </c>
      <c r="G116" s="3" t="s">
        <v>198</v>
      </c>
      <c r="H116" s="172"/>
      <c r="I116" s="172">
        <f t="array" ref="I116">IFERROR(INDEX('Detail inputs'!$B$3:$K$196,MATCH($B116&amp;$G116&amp;I$5,'Detail inputs'!$B$3:$B$196&amp;'Detail inputs'!$G$3:$G$196&amp;'Detail inputs'!$H$3:$H$196,0),MATCH(I$4,'Detail inputs'!$B$3:$K$3,0)),0)</f>
        <v>0.22</v>
      </c>
      <c r="J116" s="172">
        <f t="shared" si="50"/>
        <v>2.2000000000000002</v>
      </c>
      <c r="K116" s="191">
        <f>IFERROR(J116/J118,"")</f>
        <v>1.0757946210268949E-2</v>
      </c>
      <c r="L116" s="188"/>
      <c r="M116" s="191">
        <f t="shared" si="51"/>
        <v>0.90909090909090895</v>
      </c>
      <c r="N116" s="188"/>
      <c r="O116" s="172"/>
      <c r="P116" s="172">
        <f t="array" ref="P116">IFERROR(INDEX('Detail inputs'!$B$3:$K$196,MATCH($B116&amp;$G116&amp;P$5,'Detail inputs'!$B$3:$B$196&amp;'Detail inputs'!$G$3:$G$196&amp;'Detail inputs'!$H$3:$H$196,0),MATCH(P$4,'Detail inputs'!$B$3:$K$3,0)),0)</f>
        <v>0.42</v>
      </c>
      <c r="Q116" s="172">
        <f t="shared" si="52"/>
        <v>4.2</v>
      </c>
      <c r="R116" s="191">
        <f>IFERROR(Q116/Q118,"")</f>
        <v>2.2801302931596091E-2</v>
      </c>
    </row>
    <row r="117" spans="1:18" s="20" customFormat="1" outlineLevel="1" x14ac:dyDescent="0.25">
      <c r="A117" s="3"/>
      <c r="B117" s="3" t="str">
        <f t="shared" si="49"/>
        <v>Essential</v>
      </c>
      <c r="C117" s="3" t="str">
        <f t="shared" si="49"/>
        <v>Small business</v>
      </c>
      <c r="D117" s="3" t="str">
        <f t="shared" si="49"/>
        <v>without CL</v>
      </c>
      <c r="E117" s="3" t="s">
        <v>22</v>
      </c>
      <c r="F117" s="175">
        <f t="array" ref="F117">IFERROR(INDEX(Usage!$B$5:$P$18,MATCH($B117,Usage!$B$5:$B$18,0),MATCH($C117&amp;$D117&amp;$E117,Usage!$B$5:$S$5&amp;Usage!$B$6:$S$6&amp;Usage!$B$7:$S$7,0)),0)</f>
        <v>10000</v>
      </c>
      <c r="G117" s="3" t="s">
        <v>79</v>
      </c>
      <c r="H117" s="172"/>
      <c r="I117" s="172" cm="1">
        <f t="array" ref="I117">ROUND(IFERROR(INDEX('Detail inputs'!$B$3:$K$196,MATCH($B117&amp;$C117&amp;$E117&amp;$G117&amp;I$5,'Detail inputs'!$B$3:$B$196&amp;'Detail inputs'!$D$3:$D$196&amp;'Detail inputs'!$F$3:$F$196&amp;'Detail inputs'!$G$3:$G$196&amp;'Detail inputs'!$H$3:$H$196,0),MATCH(I$4,'Detail inputs'!$B$3:$K$3,0)),0)*SUM(I113:I116), 2)</f>
        <v>0.81</v>
      </c>
      <c r="J117" s="172">
        <f t="shared" si="50"/>
        <v>8.1000000000000014</v>
      </c>
      <c r="K117" s="191">
        <f>IFERROR(J117/J118,"")</f>
        <v>3.960880195599023E-2</v>
      </c>
      <c r="L117" s="188"/>
      <c r="M117" s="191">
        <f t="shared" si="51"/>
        <v>-0.24691358024691379</v>
      </c>
      <c r="N117" s="188"/>
      <c r="O117" s="172"/>
      <c r="P117" s="172" cm="1">
        <f t="array" ref="P117">ROUND(IFERROR(INDEX('Detail inputs'!$B$3:$K$196,MATCH($B117&amp;$C117&amp;$E117&amp;$G117&amp;P$5,'Detail inputs'!$B$3:$B$196&amp;'Detail inputs'!$D$3:$D$196&amp;'Detail inputs'!$F$3:$F$196&amp;'Detail inputs'!$G$3:$G$196&amp;'Detail inputs'!$H$3:$H$196,0),MATCH(P$4,'Detail inputs'!$B$3:$K$3,0)),0)*SUM(P113:P116), 2)</f>
        <v>0.61</v>
      </c>
      <c r="Q117" s="172">
        <f t="shared" si="52"/>
        <v>6.1</v>
      </c>
      <c r="R117" s="191">
        <f>IFERROR(Q117/Q118,"")</f>
        <v>3.3116178067318126E-2</v>
      </c>
    </row>
    <row r="118" spans="1:18" s="20" customFormat="1" x14ac:dyDescent="0.25">
      <c r="A118" s="3"/>
      <c r="B118" s="3" t="str">
        <f t="shared" si="49"/>
        <v>Essential</v>
      </c>
      <c r="C118" s="3" t="str">
        <f t="shared" si="49"/>
        <v>Small business</v>
      </c>
      <c r="D118" s="3" t="str">
        <f t="shared" si="49"/>
        <v>without CL</v>
      </c>
      <c r="E118" s="3" t="s">
        <v>22</v>
      </c>
      <c r="F118" s="175">
        <f t="array" ref="F118">IFERROR(INDEX(Usage!$B$5:$P$18,MATCH($B118,Usage!$B$5:$B$18,0),MATCH($C118&amp;$D118&amp;$E118,Usage!$B$5:$S$5&amp;Usage!$B$6:$S$6&amp;Usage!$B$7:$S$7,0)),0)</f>
        <v>10000</v>
      </c>
      <c r="G118" s="3" t="s">
        <v>61</v>
      </c>
      <c r="H118" s="172"/>
      <c r="I118" s="172">
        <f t="array" ref="I118">INDEX('Key inputs'!$B$17:$N$41,MATCH($B118&amp;$C118&amp;$E118,'Key inputs'!$B$17:$B$41&amp;'Key inputs'!$C$17:$C$41&amp;'Key inputs'!$D$17:$D$41,0),MATCH($A$2&amp;I$4,'Key inputs'!$B$18:$N$18&amp;'Key inputs'!$B$19:$N$19,0))</f>
        <v>20.45</v>
      </c>
      <c r="J118" s="172">
        <f t="shared" si="50"/>
        <v>204.5</v>
      </c>
      <c r="K118" s="192"/>
      <c r="L118" s="197"/>
      <c r="M118" s="192">
        <f t="shared" si="51"/>
        <v>-9.9266503667481576E-2</v>
      </c>
      <c r="N118" s="197"/>
      <c r="O118" s="172"/>
      <c r="P118" s="172">
        <f t="array" ref="P118">INDEX('Key inputs'!$B$17:$N$41,MATCH($B118&amp;$C118&amp;$E118,'Key inputs'!$B$17:$B$41&amp;'Key inputs'!$C$17:$C$41&amp;'Key inputs'!$D$17:$D$41,0),MATCH($A$2&amp;P$4,'Key inputs'!$B$18:$N$18&amp;'Key inputs'!$B$19:$N$19,0))</f>
        <v>18.420000000000002</v>
      </c>
      <c r="Q118" s="172">
        <f t="shared" si="52"/>
        <v>184.20000000000002</v>
      </c>
      <c r="R118" s="192"/>
    </row>
    <row r="119" spans="1:18" s="20" customFormat="1" outlineLevel="1" x14ac:dyDescent="0.25">
      <c r="A119" s="3"/>
      <c r="B119" s="3" t="str">
        <f t="shared" si="49"/>
        <v>Essential</v>
      </c>
      <c r="C119" s="3" t="str">
        <f t="shared" si="49"/>
        <v>Small business</v>
      </c>
      <c r="D119" s="3" t="str">
        <f t="shared" si="49"/>
        <v>without CL</v>
      </c>
      <c r="E119" s="3"/>
      <c r="F119" s="175"/>
      <c r="G119" s="3" t="s">
        <v>41</v>
      </c>
      <c r="H119" s="172"/>
      <c r="I119" s="172"/>
      <c r="J119" s="172">
        <f>J118*GST</f>
        <v>20.450000000000003</v>
      </c>
      <c r="K119" s="192"/>
      <c r="L119" s="197"/>
      <c r="M119" s="192"/>
      <c r="N119" s="197"/>
      <c r="O119" s="172"/>
      <c r="P119" s="172"/>
      <c r="Q119" s="172">
        <f>Q118*GST</f>
        <v>18.420000000000002</v>
      </c>
      <c r="R119" s="191"/>
    </row>
    <row r="120" spans="1:18" s="20" customFormat="1" x14ac:dyDescent="0.25">
      <c r="A120" s="3"/>
      <c r="B120" s="3" t="str">
        <f t="shared" si="49"/>
        <v>Essential</v>
      </c>
      <c r="C120" s="3" t="str">
        <f t="shared" si="49"/>
        <v>Small business</v>
      </c>
      <c r="D120" s="3" t="str">
        <f t="shared" si="49"/>
        <v>without CL</v>
      </c>
      <c r="E120" s="3"/>
      <c r="F120" s="175"/>
      <c r="G120" s="5" t="s">
        <v>87</v>
      </c>
      <c r="H120" s="174"/>
      <c r="I120" s="174"/>
      <c r="J120" s="174">
        <f>SUM(J118:J119)</f>
        <v>224.95</v>
      </c>
      <c r="K120" s="193"/>
      <c r="L120" s="198"/>
      <c r="M120" s="193">
        <f>IF(OR(J120=0,Q120=""),"",Q120/J120-1)</f>
        <v>-9.9266503667481576E-2</v>
      </c>
      <c r="N120" s="198"/>
      <c r="O120" s="174"/>
      <c r="P120" s="174"/>
      <c r="Q120" s="174">
        <f>SUM(Q118:Q119)</f>
        <v>202.62</v>
      </c>
      <c r="R120" s="191"/>
    </row>
    <row r="121" spans="1:18" s="20" customFormat="1" x14ac:dyDescent="0.25">
      <c r="A121" s="3"/>
      <c r="B121" s="3"/>
      <c r="C121" s="3"/>
      <c r="D121" s="3"/>
      <c r="E121" s="3"/>
      <c r="F121" s="175"/>
      <c r="G121" s="3"/>
      <c r="H121" s="172"/>
      <c r="I121" s="172"/>
      <c r="J121" s="172"/>
      <c r="K121" s="191"/>
      <c r="L121" s="197"/>
      <c r="M121" s="191"/>
      <c r="N121" s="197"/>
      <c r="O121" s="172"/>
      <c r="P121" s="172"/>
      <c r="Q121" s="172"/>
      <c r="R121" s="191"/>
    </row>
    <row r="122" spans="1:18" s="20" customFormat="1" x14ac:dyDescent="0.25">
      <c r="A122" s="3"/>
      <c r="B122" s="5" t="s">
        <v>0</v>
      </c>
      <c r="C122" s="5" t="s">
        <v>6</v>
      </c>
      <c r="D122" s="5" t="s">
        <v>146</v>
      </c>
      <c r="E122" s="3"/>
      <c r="F122" s="175"/>
      <c r="G122" s="3"/>
      <c r="H122" s="172"/>
      <c r="I122" s="172"/>
      <c r="J122" s="172"/>
      <c r="K122" s="191"/>
      <c r="L122" s="197"/>
      <c r="M122" s="191"/>
      <c r="N122" s="197"/>
      <c r="O122" s="172"/>
      <c r="P122" s="172"/>
      <c r="Q122" s="172"/>
      <c r="R122" s="191"/>
    </row>
    <row r="123" spans="1:18" s="20" customFormat="1" outlineLevel="1" x14ac:dyDescent="0.25">
      <c r="A123" s="3"/>
      <c r="B123" s="3" t="str">
        <f t="shared" ref="B123:D128" si="53">B122</f>
        <v>Energex</v>
      </c>
      <c r="C123" s="3" t="str">
        <f t="shared" si="53"/>
        <v>Residential</v>
      </c>
      <c r="D123" s="3" t="str">
        <f t="shared" si="53"/>
        <v>without CL</v>
      </c>
      <c r="E123" s="3" t="s">
        <v>22</v>
      </c>
      <c r="F123" s="175">
        <f t="array" ref="F123">IFERROR(INDEX(Usage!$B$5:$P$18,MATCH($B123,Usage!$B$5:$B$18,0),MATCH($C123&amp;$D123&amp;$E123&amp;"Total",Usage!$B$5:$S$5&amp;Usage!$B$6:$S$6&amp;Usage!$B$7:$S$7&amp;Usage!$B$13:$S$13,0)),0)</f>
        <v>4600</v>
      </c>
      <c r="G123" s="3" t="s">
        <v>80</v>
      </c>
      <c r="H123" s="172"/>
      <c r="I123" s="172">
        <f t="array" ref="I123">IFERROR(INDEX('Detail inputs'!$B$3:$K$196,MATCH($B123&amp;$G123&amp;I$5,'Detail inputs'!$B$3:$B$196&amp;'Detail inputs'!$G$3:$G$196&amp;'Detail inputs'!$H$3:$H$196,0),MATCH(I$4,'Detail inputs'!$B$3:$K$3,0)),0)</f>
        <v>5.13</v>
      </c>
      <c r="J123" s="172">
        <f>IF(AND(H123="",I123=""),"",H123+I123*$F123/1000)</f>
        <v>23.597999999999999</v>
      </c>
      <c r="K123" s="191">
        <f>IFERROR(J123/J126,"")</f>
        <v>0.3</v>
      </c>
      <c r="L123" s="188"/>
      <c r="M123" s="191">
        <f>IF(OR(J123=0,Q123=""),"",Q123/J123-1)</f>
        <v>0.41715399610136461</v>
      </c>
      <c r="N123" s="188"/>
      <c r="O123" s="172"/>
      <c r="P123" s="172">
        <f t="array" ref="P123">IFERROR(INDEX('Detail inputs'!$B$3:$K$196,MATCH($B123&amp;$G123&amp;P$5,'Detail inputs'!$B$3:$B$196&amp;'Detail inputs'!$G$3:$G$196&amp;'Detail inputs'!$H$3:$H$196,0),MATCH(P$4,'Detail inputs'!$B$3:$K$3,0)),0)</f>
        <v>7.27</v>
      </c>
      <c r="Q123" s="172">
        <f>IF(AND(O123="",P123=""),"",O123+P123*$F123/1000)</f>
        <v>33.442</v>
      </c>
      <c r="R123" s="191">
        <f>IFERROR(Q123/Q126,"")</f>
        <v>0.48145695364238417</v>
      </c>
    </row>
    <row r="124" spans="1:18" s="20" customFormat="1" outlineLevel="1" x14ac:dyDescent="0.25">
      <c r="A124" s="3"/>
      <c r="B124" s="3" t="str">
        <f t="shared" si="53"/>
        <v>Energex</v>
      </c>
      <c r="C124" s="3" t="str">
        <f t="shared" si="53"/>
        <v>Residential</v>
      </c>
      <c r="D124" s="3" t="str">
        <f t="shared" si="53"/>
        <v>without CL</v>
      </c>
      <c r="E124" s="3" t="s">
        <v>22</v>
      </c>
      <c r="F124" s="175">
        <f t="array" ref="F124">IFERROR(INDEX(Usage!$B$5:$P$18,MATCH($B124,Usage!$B$5:$B$18,0),MATCH($C124&amp;$D124&amp;$E124&amp;"Total",Usage!$B$5:$S$5&amp;Usage!$B$6:$S$6&amp;Usage!$B$7:$S$7&amp;Usage!$B$13:$S$13,0)),0)</f>
        <v>4600</v>
      </c>
      <c r="G124" s="3" t="s">
        <v>81</v>
      </c>
      <c r="H124" s="172"/>
      <c r="I124" s="172">
        <f t="array" ref="I124">IFERROR(INDEX('Detail inputs'!$B$3:$K$196,MATCH($B124&amp;$G124&amp;I$5,'Detail inputs'!$B$3:$B$196&amp;'Detail inputs'!$G$3:$G$196&amp;'Detail inputs'!$H$3:$H$196,0),MATCH(I$4,'Detail inputs'!$B$3:$K$3,0)),0)</f>
        <v>10.9</v>
      </c>
      <c r="J124" s="172">
        <f>IF(AND(H124="",I124=""),"",H124+I124*$F124/1000)</f>
        <v>50.14</v>
      </c>
      <c r="K124" s="191">
        <f>IFERROR(J124/J126,"")</f>
        <v>0.63742690058479534</v>
      </c>
      <c r="L124" s="188"/>
      <c r="M124" s="191">
        <f>IF(OR(J124=0,Q124=""),"",Q124/J124-1)</f>
        <v>-0.37064220183486241</v>
      </c>
      <c r="N124" s="188"/>
      <c r="O124" s="172"/>
      <c r="P124" s="172">
        <f t="array" ref="P124">IFERROR(INDEX('Detail inputs'!$B$3:$K$196,MATCH($B124&amp;$G124&amp;P$5,'Detail inputs'!$B$3:$B$196&amp;'Detail inputs'!$G$3:$G$196&amp;'Detail inputs'!$H$3:$H$196,0),MATCH(P$4,'Detail inputs'!$B$3:$K$3,0)),0)</f>
        <v>6.86</v>
      </c>
      <c r="Q124" s="172">
        <f>IF(AND(O124="",P124=""),"",O124+P124*$F124/1000)</f>
        <v>31.556000000000001</v>
      </c>
      <c r="R124" s="191">
        <f>IFERROR(Q124/Q126,"")</f>
        <v>0.45430463576158947</v>
      </c>
    </row>
    <row r="125" spans="1:18" s="20" customFormat="1" outlineLevel="1" x14ac:dyDescent="0.25">
      <c r="A125" s="3"/>
      <c r="B125" s="3" t="str">
        <f t="shared" si="53"/>
        <v>Energex</v>
      </c>
      <c r="C125" s="3" t="str">
        <f t="shared" si="53"/>
        <v>Residential</v>
      </c>
      <c r="D125" s="3" t="str">
        <f t="shared" si="53"/>
        <v>without CL</v>
      </c>
      <c r="E125" s="3" t="s">
        <v>22</v>
      </c>
      <c r="F125" s="175">
        <f t="array" ref="F125">IFERROR(INDEX(Usage!$B$5:$P$18,MATCH($B125,Usage!$B$5:$B$18,0),MATCH($C125&amp;$D125&amp;$E125&amp;"Total",Usage!$B$5:$S$5&amp;Usage!$B$6:$S$6&amp;Usage!$B$7:$S$7&amp;Usage!$B$13:$S$13,0)),0)</f>
        <v>4600</v>
      </c>
      <c r="G125" s="3" t="s">
        <v>79</v>
      </c>
      <c r="H125" s="172"/>
      <c r="I125" s="172" cm="1">
        <f t="array" ref="I125">ROUND(IFERROR(INDEX('Detail inputs'!$B$3:$K$196,MATCH($B125&amp;$C125&amp;$E125&amp;$G125&amp;I$5,'Detail inputs'!$B$3:$B$196&amp;'Detail inputs'!$D$3:$D$196&amp;'Detail inputs'!$F$3:$F$196&amp;'Detail inputs'!$G$3:$G$196&amp;'Detail inputs'!$H$3:$H$196,0),MATCH(I$4,'Detail inputs'!$B$3:$K$3,0)),0)*SUM(I123:I124), 2)</f>
        <v>1.07</v>
      </c>
      <c r="J125" s="172">
        <f>IF(AND(H125="",I125=""),"",H125+I125*$F125/1000)</f>
        <v>4.9219999999999997</v>
      </c>
      <c r="K125" s="191">
        <f>IFERROR(J125/J126,"")</f>
        <v>6.2573099415204683E-2</v>
      </c>
      <c r="L125" s="188"/>
      <c r="M125" s="191">
        <f>IF(OR(J125=0,Q125=""),"",Q125/J125-1)</f>
        <v>-9.3457943925233655E-2</v>
      </c>
      <c r="N125" s="188"/>
      <c r="O125" s="172"/>
      <c r="P125" s="172" cm="1">
        <f t="array" ref="P125">ROUND(IFERROR(INDEX('Detail inputs'!$B$3:$K$196,MATCH($B125&amp;$C125&amp;$E125&amp;$G125&amp;P$5,'Detail inputs'!$B$3:$B$196&amp;'Detail inputs'!$D$3:$D$196&amp;'Detail inputs'!$F$3:$F$196&amp;'Detail inputs'!$G$3:$G$196&amp;'Detail inputs'!$H$3:$H$196,0),MATCH(P$4,'Detail inputs'!$B$3:$K$3,0)),0)*SUM(P123:P124), 2)</f>
        <v>0.97</v>
      </c>
      <c r="Q125" s="172">
        <f>IF(AND(O125="",P125=""),"",O125+P125*$F125/1000)</f>
        <v>4.4619999999999997</v>
      </c>
      <c r="R125" s="191">
        <f>IFERROR(Q125/Q126,"")</f>
        <v>6.4238410596026488E-2</v>
      </c>
    </row>
    <row r="126" spans="1:18" s="20" customFormat="1" x14ac:dyDescent="0.25">
      <c r="A126" s="3"/>
      <c r="B126" s="3" t="str">
        <f t="shared" si="53"/>
        <v>Energex</v>
      </c>
      <c r="C126" s="3" t="str">
        <f t="shared" si="53"/>
        <v>Residential</v>
      </c>
      <c r="D126" s="3" t="str">
        <f t="shared" si="53"/>
        <v>without CL</v>
      </c>
      <c r="E126" s="3" t="s">
        <v>22</v>
      </c>
      <c r="F126" s="175">
        <f t="array" ref="F126">IFERROR(INDEX(Usage!$B$5:$P$18,MATCH($B126,Usage!$B$5:$B$18,0),MATCH($C126&amp;$D126&amp;$E126&amp;"Total",Usage!$B$5:$S$5&amp;Usage!$B$6:$S$6&amp;Usage!$B$7:$S$7&amp;Usage!$B$13:$S$13,0)),0)</f>
        <v>4600</v>
      </c>
      <c r="G126" s="3" t="s">
        <v>61</v>
      </c>
      <c r="H126" s="172"/>
      <c r="I126" s="172">
        <f t="array" ref="I126">INDEX('Key inputs'!$B$17:$N$41,MATCH($B126&amp;$C126&amp;$E126,'Key inputs'!$B$17:$B$41&amp;'Key inputs'!$C$17:$C$41&amp;'Key inputs'!$D$17:$D$41,0),MATCH($A$2&amp;I$4,'Key inputs'!$B$18:$N$18&amp;'Key inputs'!$B$19:$N$19,0))</f>
        <v>17.100000000000001</v>
      </c>
      <c r="J126" s="172">
        <f>IF(AND(H126="",I126=""),"",H126+I126*$F126/1000)</f>
        <v>78.66</v>
      </c>
      <c r="K126" s="192"/>
      <c r="L126" s="197"/>
      <c r="M126" s="192">
        <f>IF(OR(J126=0,Q126=""),"",Q126/J126-1)</f>
        <v>-0.11695906432748537</v>
      </c>
      <c r="N126" s="197"/>
      <c r="O126" s="172"/>
      <c r="P126" s="172">
        <f t="array" ref="P126">INDEX('Key inputs'!$B$17:$N$41,MATCH($B126&amp;$C126&amp;$E126,'Key inputs'!$B$17:$B$41&amp;'Key inputs'!$C$17:$C$41&amp;'Key inputs'!$D$17:$D$41,0),MATCH($A$2&amp;P$4,'Key inputs'!$B$18:$N$18&amp;'Key inputs'!$B$19:$N$19,0))</f>
        <v>15.1</v>
      </c>
      <c r="Q126" s="172">
        <f>IF(AND(O126="",P126=""),"",O126+P126*$F126/1000)</f>
        <v>69.459999999999994</v>
      </c>
      <c r="R126" s="192"/>
    </row>
    <row r="127" spans="1:18" s="20" customFormat="1" outlineLevel="1" x14ac:dyDescent="0.25">
      <c r="A127" s="3"/>
      <c r="B127" s="3" t="str">
        <f t="shared" si="53"/>
        <v>Energex</v>
      </c>
      <c r="C127" s="3" t="str">
        <f t="shared" si="53"/>
        <v>Residential</v>
      </c>
      <c r="D127" s="3" t="str">
        <f t="shared" si="53"/>
        <v>without CL</v>
      </c>
      <c r="E127" s="3"/>
      <c r="F127" s="175"/>
      <c r="G127" s="3" t="s">
        <v>41</v>
      </c>
      <c r="H127" s="172"/>
      <c r="I127" s="172"/>
      <c r="J127" s="172">
        <f>J126*GST</f>
        <v>7.8659999999999997</v>
      </c>
      <c r="K127" s="192"/>
      <c r="L127" s="197"/>
      <c r="M127" s="192"/>
      <c r="N127" s="197"/>
      <c r="O127" s="172"/>
      <c r="P127" s="172"/>
      <c r="Q127" s="172">
        <f>Q126*GST</f>
        <v>6.9459999999999997</v>
      </c>
      <c r="R127" s="193"/>
    </row>
    <row r="128" spans="1:18" s="20" customFormat="1" x14ac:dyDescent="0.25">
      <c r="A128" s="3"/>
      <c r="B128" s="3" t="str">
        <f t="shared" si="53"/>
        <v>Energex</v>
      </c>
      <c r="C128" s="3" t="str">
        <f t="shared" si="53"/>
        <v>Residential</v>
      </c>
      <c r="D128" s="3" t="str">
        <f t="shared" si="53"/>
        <v>without CL</v>
      </c>
      <c r="E128" s="3"/>
      <c r="F128" s="175"/>
      <c r="G128" s="5" t="s">
        <v>87</v>
      </c>
      <c r="H128" s="174"/>
      <c r="I128" s="174"/>
      <c r="J128" s="174">
        <f>SUM(J126:J127)</f>
        <v>86.525999999999996</v>
      </c>
      <c r="K128" s="193"/>
      <c r="L128" s="198"/>
      <c r="M128" s="193">
        <f>IF(OR(J128=0,Q128=""),"",Q128/J128-1)</f>
        <v>-0.11695906432748548</v>
      </c>
      <c r="N128" s="198"/>
      <c r="O128" s="174"/>
      <c r="P128" s="174"/>
      <c r="Q128" s="174">
        <f>SUM(Q126:Q127)</f>
        <v>76.405999999999992</v>
      </c>
      <c r="R128" s="193"/>
    </row>
    <row r="129" spans="1:18" s="20" customFormat="1" x14ac:dyDescent="0.25">
      <c r="A129" s="3"/>
      <c r="B129" s="3"/>
      <c r="C129" s="3"/>
      <c r="D129" s="3"/>
      <c r="E129" s="3"/>
      <c r="F129" s="175"/>
      <c r="G129" s="3"/>
      <c r="H129" s="172"/>
      <c r="I129" s="172"/>
      <c r="J129" s="172"/>
      <c r="K129" s="191"/>
      <c r="L129" s="197"/>
      <c r="M129" s="191"/>
      <c r="N129" s="197"/>
      <c r="O129" s="172"/>
      <c r="P129" s="172"/>
      <c r="Q129" s="172"/>
      <c r="R129" s="191"/>
    </row>
    <row r="130" spans="1:18" s="20" customFormat="1" x14ac:dyDescent="0.25">
      <c r="A130" s="3"/>
      <c r="B130" s="5" t="s">
        <v>0</v>
      </c>
      <c r="C130" s="5" t="s">
        <v>6</v>
      </c>
      <c r="D130" s="5" t="s">
        <v>147</v>
      </c>
      <c r="E130" s="3"/>
      <c r="F130" s="175"/>
      <c r="G130" s="3"/>
      <c r="H130" s="172"/>
      <c r="I130" s="172"/>
      <c r="J130" s="172"/>
      <c r="K130" s="191"/>
      <c r="L130" s="197"/>
      <c r="M130" s="191"/>
      <c r="N130" s="197"/>
      <c r="O130" s="172"/>
      <c r="P130" s="172"/>
      <c r="Q130" s="172"/>
      <c r="R130" s="191"/>
    </row>
    <row r="131" spans="1:18" s="20" customFormat="1" outlineLevel="1" x14ac:dyDescent="0.25">
      <c r="A131" s="3"/>
      <c r="B131" s="3" t="str">
        <f t="shared" ref="B131:B140" si="54">B130</f>
        <v>Energex</v>
      </c>
      <c r="C131" s="3" t="str">
        <f t="shared" ref="C131:C140" si="55">C130</f>
        <v>Residential</v>
      </c>
      <c r="D131" s="3" t="str">
        <f t="shared" ref="D131:D140" si="56">D130</f>
        <v>with CL</v>
      </c>
      <c r="E131" s="3" t="s">
        <v>22</v>
      </c>
      <c r="F131" s="175">
        <f t="array" ref="F131">IFERROR(INDEX(Usage!$B$5:$P$18,MATCH($B131,Usage!$B$5:$B$18,0),MATCH($C131&amp;$D131&amp;$E131&amp;"Total",Usage!$B$5:$S$5&amp;Usage!$B$6:$S$6&amp;Usage!$B$7:$S$7&amp;Usage!$B$13:$S$13,0)),0)</f>
        <v>4400</v>
      </c>
      <c r="G131" s="3" t="s">
        <v>61</v>
      </c>
      <c r="H131" s="172"/>
      <c r="I131" s="172">
        <f>I126</f>
        <v>17.100000000000001</v>
      </c>
      <c r="J131" s="172">
        <f t="shared" ref="J131:J139" si="57">IF(AND(H131="",I131=""),"",H131+I131*$F131/1000)</f>
        <v>75.239999999999995</v>
      </c>
      <c r="K131" s="191"/>
      <c r="L131" s="197"/>
      <c r="M131" s="191">
        <f t="shared" ref="M131:M140" si="58">IF(OR(J131=0,Q131=""),"",Q131/J131-1)</f>
        <v>-0.11695906432748537</v>
      </c>
      <c r="N131" s="197"/>
      <c r="O131" s="172"/>
      <c r="P131" s="172">
        <f>P126</f>
        <v>15.1</v>
      </c>
      <c r="Q131" s="172">
        <f t="shared" ref="Q131:Q139" si="59">IF(AND(O131="",P131=""),"",O131+P131*$F131/1000)</f>
        <v>66.44</v>
      </c>
      <c r="R131" s="191"/>
    </row>
    <row r="132" spans="1:18" s="20" customFormat="1" outlineLevel="1" x14ac:dyDescent="0.25">
      <c r="A132" s="3"/>
      <c r="B132" s="3" t="str">
        <f t="shared" si="54"/>
        <v>Energex</v>
      </c>
      <c r="C132" s="3" t="str">
        <f t="shared" si="55"/>
        <v>Residential</v>
      </c>
      <c r="D132" s="3" t="str">
        <f t="shared" si="56"/>
        <v>with CL</v>
      </c>
      <c r="E132" s="3" t="s">
        <v>16</v>
      </c>
      <c r="F132" s="175">
        <f t="array" ref="F132">IFERROR(INDEX(Usage!$B$5:$P$18,MATCH($B132,Usage!$B$5:$B$18,0),MATCH($C132&amp;$D132&amp;$E132,Usage!$B$5:$S$5&amp;Usage!$B$6:$S$6&amp;Usage!$B$7:$S$7,0)),0)</f>
        <v>551</v>
      </c>
      <c r="G132" s="3" t="s">
        <v>80</v>
      </c>
      <c r="H132" s="172"/>
      <c r="I132" s="172">
        <f t="array" ref="I132">IFERROR(INDEX('Detail inputs'!$B$3:$K$196,MATCH($B132&amp;$G132&amp;I$5,'Detail inputs'!$B$3:$B$196&amp;'Detail inputs'!$G$3:$G$196&amp;'Detail inputs'!$H$3:$H$196,0),MATCH(I$4,'Detail inputs'!$B$3:$K$3,0)),0)</f>
        <v>5.13</v>
      </c>
      <c r="J132" s="172">
        <f t="shared" si="57"/>
        <v>2.8266300000000002</v>
      </c>
      <c r="K132" s="191">
        <f>IFERROR(J132/J135,"")</f>
        <v>0.3</v>
      </c>
      <c r="L132" s="188"/>
      <c r="M132" s="191">
        <f t="shared" si="58"/>
        <v>0.41715399610136439</v>
      </c>
      <c r="N132" s="188"/>
      <c r="O132" s="172"/>
      <c r="P132" s="172">
        <f t="array" ref="P132">IFERROR(INDEX('Detail inputs'!$B$3:$K$196,MATCH($B132&amp;$G132&amp;P$5,'Detail inputs'!$B$3:$B$196&amp;'Detail inputs'!$G$3:$G$196&amp;'Detail inputs'!$H$3:$H$196,0),MATCH(P$4,'Detail inputs'!$B$3:$K$3,0)),0)</f>
        <v>7.27</v>
      </c>
      <c r="Q132" s="172">
        <f t="shared" si="59"/>
        <v>4.0057700000000001</v>
      </c>
      <c r="R132" s="191">
        <f>IFERROR(Q132/Q135,"")</f>
        <v>0.48145695364238411</v>
      </c>
    </row>
    <row r="133" spans="1:18" s="20" customFormat="1" outlineLevel="1" x14ac:dyDescent="0.25">
      <c r="A133" s="3"/>
      <c r="B133" s="3" t="str">
        <f t="shared" si="54"/>
        <v>Energex</v>
      </c>
      <c r="C133" s="3" t="str">
        <f t="shared" si="55"/>
        <v>Residential</v>
      </c>
      <c r="D133" s="3" t="str">
        <f t="shared" si="56"/>
        <v>with CL</v>
      </c>
      <c r="E133" s="3" t="s">
        <v>16</v>
      </c>
      <c r="F133" s="175">
        <f t="array" ref="F133">IFERROR(INDEX(Usage!$B$5:$P$18,MATCH($B133,Usage!$B$5:$B$18,0),MATCH($C133&amp;$D133&amp;$E133,Usage!$B$5:$S$5&amp;Usage!$B$6:$S$6&amp;Usage!$B$7:$S$7,0)),0)</f>
        <v>551</v>
      </c>
      <c r="G133" s="3" t="s">
        <v>81</v>
      </c>
      <c r="H133" s="172"/>
      <c r="I133" s="172">
        <f t="array" ref="I133">IFERROR(INDEX('Detail inputs'!$B$3:$K$196,MATCH($B133&amp;$G133&amp;I$5,'Detail inputs'!$B$3:$B$196&amp;'Detail inputs'!$G$3:$G$196&amp;'Detail inputs'!$H$3:$H$196,0),MATCH(I$4,'Detail inputs'!$B$3:$K$3,0)),0)</f>
        <v>10.9</v>
      </c>
      <c r="J133" s="172">
        <f t="shared" si="57"/>
        <v>6.0059000000000005</v>
      </c>
      <c r="K133" s="191">
        <f>IFERROR(J133/J135,"")</f>
        <v>0.63742690058479534</v>
      </c>
      <c r="L133" s="188"/>
      <c r="M133" s="191">
        <f t="shared" si="58"/>
        <v>-0.37064220183486241</v>
      </c>
      <c r="N133" s="188"/>
      <c r="O133" s="172"/>
      <c r="P133" s="172">
        <f t="array" ref="P133">IFERROR(INDEX('Detail inputs'!$B$3:$K$196,MATCH($B133&amp;$G133&amp;P$5,'Detail inputs'!$B$3:$B$196&amp;'Detail inputs'!$G$3:$G$196&amp;'Detail inputs'!$H$3:$H$196,0),MATCH(P$4,'Detail inputs'!$B$3:$K$3,0)),0)</f>
        <v>6.86</v>
      </c>
      <c r="Q133" s="172">
        <f t="shared" si="59"/>
        <v>3.7798600000000002</v>
      </c>
      <c r="R133" s="191">
        <f>IFERROR(Q133/Q135,"")</f>
        <v>0.45430463576158941</v>
      </c>
    </row>
    <row r="134" spans="1:18" s="20" customFormat="1" outlineLevel="1" x14ac:dyDescent="0.25">
      <c r="A134" s="3"/>
      <c r="B134" s="3" t="str">
        <f t="shared" si="54"/>
        <v>Energex</v>
      </c>
      <c r="C134" s="3" t="str">
        <f t="shared" si="55"/>
        <v>Residential</v>
      </c>
      <c r="D134" s="3" t="str">
        <f t="shared" si="56"/>
        <v>with CL</v>
      </c>
      <c r="E134" s="3" t="s">
        <v>16</v>
      </c>
      <c r="F134" s="175">
        <f t="array" ref="F134">IFERROR(INDEX(Usage!$B$5:$P$18,MATCH($B134,Usage!$B$5:$B$18,0),MATCH($C134&amp;$D134&amp;$E134,Usage!$B$5:$S$5&amp;Usage!$B$6:$S$6&amp;Usage!$B$7:$S$7,0)),0)</f>
        <v>551</v>
      </c>
      <c r="G134" s="3" t="s">
        <v>79</v>
      </c>
      <c r="H134" s="172"/>
      <c r="I134" s="172" cm="1">
        <f t="array" ref="I134">ROUND(IFERROR(INDEX('Detail inputs'!$B$3:$K$196,MATCH($B134&amp;$C134&amp;$E134&amp;$G134&amp;I$5,'Detail inputs'!$B$3:$B$196&amp;'Detail inputs'!$D$3:$D$196&amp;'Detail inputs'!$F$3:$F$196&amp;'Detail inputs'!$G$3:$G$196&amp;'Detail inputs'!$H$3:$H$196,0),MATCH(I$4,'Detail inputs'!$B$3:$K$3,0)),0)*SUM(I132:I133), 2)</f>
        <v>1.07</v>
      </c>
      <c r="J134" s="172">
        <f t="shared" si="57"/>
        <v>0.58957000000000004</v>
      </c>
      <c r="K134" s="191">
        <f>IFERROR(J134/J135,"")</f>
        <v>6.2573099415204683E-2</v>
      </c>
      <c r="L134" s="188"/>
      <c r="M134" s="191">
        <f t="shared" si="58"/>
        <v>-9.3457943925233655E-2</v>
      </c>
      <c r="N134" s="188"/>
      <c r="O134" s="172"/>
      <c r="P134" s="172" cm="1">
        <f t="array" ref="P134">ROUND(IFERROR(INDEX('Detail inputs'!$B$3:$K$196,MATCH($B134&amp;$C134&amp;$E134&amp;$G134&amp;P$5,'Detail inputs'!$B$3:$B$196&amp;'Detail inputs'!$D$3:$D$196&amp;'Detail inputs'!$F$3:$F$196&amp;'Detail inputs'!$G$3:$G$196&amp;'Detail inputs'!$H$3:$H$196,0),MATCH(P$4,'Detail inputs'!$B$3:$K$3,0)),0)*SUM(P132:P133), 2)</f>
        <v>0.97</v>
      </c>
      <c r="Q134" s="172">
        <f t="shared" si="59"/>
        <v>0.53447</v>
      </c>
      <c r="R134" s="191">
        <f>IFERROR(Q134/Q135,"")</f>
        <v>6.4238410596026488E-2</v>
      </c>
    </row>
    <row r="135" spans="1:18" s="20" customFormat="1" outlineLevel="1" x14ac:dyDescent="0.25">
      <c r="A135" s="3"/>
      <c r="B135" s="3" t="str">
        <f t="shared" si="54"/>
        <v>Energex</v>
      </c>
      <c r="C135" s="3" t="str">
        <f t="shared" si="55"/>
        <v>Residential</v>
      </c>
      <c r="D135" s="3" t="str">
        <f t="shared" si="56"/>
        <v>with CL</v>
      </c>
      <c r="E135" s="3" t="s">
        <v>16</v>
      </c>
      <c r="F135" s="175">
        <f t="array" ref="F135">IFERROR(INDEX(Usage!$B$5:$P$18,MATCH($B135,Usage!$B$5:$B$18,0),MATCH($C135&amp;$D135&amp;$E135,Usage!$B$5:$S$5&amp;Usage!$B$6:$S$6&amp;Usage!$B$7:$S$7,0)),0)</f>
        <v>551</v>
      </c>
      <c r="G135" s="3" t="s">
        <v>61</v>
      </c>
      <c r="H135" s="172"/>
      <c r="I135" s="172">
        <f t="array" ref="I135">INDEX('Key inputs'!$B$17:$N$41,MATCH($B135&amp;$C135&amp;$E135,'Key inputs'!$B$17:$B$41&amp;'Key inputs'!$C$17:$C$41&amp;'Key inputs'!$D$17:$D$41,0),MATCH($A$2&amp;I$4,'Key inputs'!$B$18:$N$18&amp;'Key inputs'!$B$19:$N$19,0))</f>
        <v>17.100000000000001</v>
      </c>
      <c r="J135" s="172">
        <f t="shared" si="57"/>
        <v>9.4221000000000004</v>
      </c>
      <c r="K135" s="192"/>
      <c r="L135" s="197"/>
      <c r="M135" s="191">
        <f t="shared" si="58"/>
        <v>-0.11695906432748537</v>
      </c>
      <c r="N135" s="197"/>
      <c r="O135" s="172"/>
      <c r="P135" s="172">
        <f t="array" ref="P135">INDEX('Key inputs'!$B$17:$N$41,MATCH($B135&amp;$C135&amp;$E135,'Key inputs'!$B$17:$B$41&amp;'Key inputs'!$C$17:$C$41&amp;'Key inputs'!$D$17:$D$41,0),MATCH($A$2&amp;P$4,'Key inputs'!$B$18:$N$18&amp;'Key inputs'!$B$19:$N$19,0))</f>
        <v>15.1</v>
      </c>
      <c r="Q135" s="172">
        <f t="shared" si="59"/>
        <v>8.3201000000000001</v>
      </c>
      <c r="R135" s="192"/>
    </row>
    <row r="136" spans="1:18" s="20" customFormat="1" outlineLevel="1" x14ac:dyDescent="0.25">
      <c r="A136" s="3"/>
      <c r="B136" s="3" t="str">
        <f t="shared" si="54"/>
        <v>Energex</v>
      </c>
      <c r="C136" s="3" t="str">
        <f t="shared" si="55"/>
        <v>Residential</v>
      </c>
      <c r="D136" s="3" t="str">
        <f t="shared" si="56"/>
        <v>with CL</v>
      </c>
      <c r="E136" s="3" t="s">
        <v>17</v>
      </c>
      <c r="F136" s="175">
        <f t="array" ref="F136">IFERROR(INDEX(Usage!$B$5:$P$18,MATCH($B136,Usage!$B$5:$B$18,0),MATCH($C136&amp;$D136&amp;$E136,Usage!$B$5:$S$5&amp;Usage!$B$6:$S$6&amp;Usage!$B$7:$S$7,0)),0)</f>
        <v>1349</v>
      </c>
      <c r="G136" s="3" t="s">
        <v>80</v>
      </c>
      <c r="H136" s="172"/>
      <c r="I136" s="172">
        <f t="array" ref="I136">IFERROR(INDEX('Detail inputs'!$B$3:$K$196,MATCH($B136&amp;$G136&amp;I$5,'Detail inputs'!$B$3:$B$196&amp;'Detail inputs'!$G$3:$G$196&amp;'Detail inputs'!$H$3:$H$196,0),MATCH(I$4,'Detail inputs'!$B$3:$K$3,0)),0)</f>
        <v>5.13</v>
      </c>
      <c r="J136" s="172">
        <f t="shared" si="57"/>
        <v>6.9203700000000001</v>
      </c>
      <c r="K136" s="191">
        <f>IFERROR(J136/J139,"")</f>
        <v>0.3</v>
      </c>
      <c r="L136" s="188"/>
      <c r="M136" s="191">
        <f t="shared" si="58"/>
        <v>0.41715399610136439</v>
      </c>
      <c r="N136" s="188"/>
      <c r="O136" s="172"/>
      <c r="P136" s="172">
        <f t="array" ref="P136">IFERROR(INDEX('Detail inputs'!$B$3:$K$196,MATCH($B136&amp;$G136&amp;P$5,'Detail inputs'!$B$3:$B$196&amp;'Detail inputs'!$G$3:$G$196&amp;'Detail inputs'!$H$3:$H$196,0),MATCH(P$4,'Detail inputs'!$B$3:$K$3,0)),0)</f>
        <v>7.27</v>
      </c>
      <c r="Q136" s="172">
        <f t="shared" si="59"/>
        <v>9.8072299999999988</v>
      </c>
      <c r="R136" s="191">
        <f>IFERROR(Q136/Q139,"")</f>
        <v>0.48145695364238411</v>
      </c>
    </row>
    <row r="137" spans="1:18" s="20" customFormat="1" outlineLevel="1" x14ac:dyDescent="0.25">
      <c r="A137" s="3"/>
      <c r="B137" s="3" t="str">
        <f t="shared" si="54"/>
        <v>Energex</v>
      </c>
      <c r="C137" s="3" t="str">
        <f t="shared" si="55"/>
        <v>Residential</v>
      </c>
      <c r="D137" s="3" t="str">
        <f t="shared" si="56"/>
        <v>with CL</v>
      </c>
      <c r="E137" s="3" t="s">
        <v>17</v>
      </c>
      <c r="F137" s="175">
        <f t="array" ref="F137">IFERROR(INDEX(Usage!$B$5:$P$18,MATCH($B137,Usage!$B$5:$B$18,0),MATCH($C137&amp;$D137&amp;$E137,Usage!$B$5:$S$5&amp;Usage!$B$6:$S$6&amp;Usage!$B$7:$S$7,0)),0)</f>
        <v>1349</v>
      </c>
      <c r="G137" s="3" t="s">
        <v>81</v>
      </c>
      <c r="H137" s="172"/>
      <c r="I137" s="172">
        <f t="array" ref="I137">IFERROR(INDEX('Detail inputs'!$B$3:$K$196,MATCH($B137&amp;$G137&amp;I$5,'Detail inputs'!$B$3:$B$196&amp;'Detail inputs'!$G$3:$G$196&amp;'Detail inputs'!$H$3:$H$196,0),MATCH(I$4,'Detail inputs'!$B$3:$K$3,0)),0)</f>
        <v>10.9</v>
      </c>
      <c r="J137" s="172">
        <f t="shared" si="57"/>
        <v>14.7041</v>
      </c>
      <c r="K137" s="192">
        <f>IFERROR(J137/J139,"")</f>
        <v>0.63742690058479534</v>
      </c>
      <c r="L137" s="189"/>
      <c r="M137" s="191">
        <f t="shared" si="58"/>
        <v>-0.37064220183486229</v>
      </c>
      <c r="N137" s="189"/>
      <c r="O137" s="172"/>
      <c r="P137" s="172">
        <f t="array" ref="P137">IFERROR(INDEX('Detail inputs'!$B$3:$K$196,MATCH($B137&amp;$G137&amp;P$5,'Detail inputs'!$B$3:$B$196&amp;'Detail inputs'!$G$3:$G$196&amp;'Detail inputs'!$H$3:$H$196,0),MATCH(P$4,'Detail inputs'!$B$3:$K$3,0)),0)</f>
        <v>6.86</v>
      </c>
      <c r="Q137" s="172">
        <f t="shared" si="59"/>
        <v>9.2541400000000014</v>
      </c>
      <c r="R137" s="192">
        <f>IFERROR(Q137/Q139,"")</f>
        <v>0.45430463576158953</v>
      </c>
    </row>
    <row r="138" spans="1:18" s="20" customFormat="1" outlineLevel="1" x14ac:dyDescent="0.25">
      <c r="A138" s="3"/>
      <c r="B138" s="3" t="str">
        <f t="shared" si="54"/>
        <v>Energex</v>
      </c>
      <c r="C138" s="3" t="str">
        <f t="shared" si="55"/>
        <v>Residential</v>
      </c>
      <c r="D138" s="3" t="str">
        <f t="shared" si="56"/>
        <v>with CL</v>
      </c>
      <c r="E138" s="3" t="s">
        <v>17</v>
      </c>
      <c r="F138" s="175">
        <f t="array" ref="F138">IFERROR(INDEX(Usage!$B$5:$P$18,MATCH($B138,Usage!$B$5:$B$18,0),MATCH($C138&amp;$D138&amp;$E138,Usage!$B$5:$S$5&amp;Usage!$B$6:$S$6&amp;Usage!$B$7:$S$7,0)),0)</f>
        <v>1349</v>
      </c>
      <c r="G138" s="3" t="s">
        <v>79</v>
      </c>
      <c r="H138" s="172"/>
      <c r="I138" s="172" cm="1">
        <f t="array" ref="I138">ROUND(IFERROR(INDEX('Detail inputs'!$B$3:$K$196,MATCH($B138&amp;$C138&amp;$E138&amp;$G138&amp;I$5,'Detail inputs'!$B$3:$B$196&amp;'Detail inputs'!$D$3:$D$196&amp;'Detail inputs'!$F$3:$F$196&amp;'Detail inputs'!$G$3:$G$196&amp;'Detail inputs'!$H$3:$H$196,0),MATCH(I$4,'Detail inputs'!$B$3:$K$3,0)),0)*SUM(I136:I137), 2)</f>
        <v>1.07</v>
      </c>
      <c r="J138" s="172">
        <f t="shared" si="57"/>
        <v>1.44343</v>
      </c>
      <c r="K138" s="192">
        <f>IFERROR(J138/J139,"")</f>
        <v>6.2573099415204669E-2</v>
      </c>
      <c r="L138" s="189"/>
      <c r="M138" s="191">
        <f t="shared" si="58"/>
        <v>-9.3457943925233655E-2</v>
      </c>
      <c r="N138" s="189"/>
      <c r="O138" s="172"/>
      <c r="P138" s="172" cm="1">
        <f t="array" ref="P138">ROUND(IFERROR(INDEX('Detail inputs'!$B$3:$K$196,MATCH($B138&amp;$C138&amp;$E138&amp;$G138&amp;P$5,'Detail inputs'!$B$3:$B$196&amp;'Detail inputs'!$D$3:$D$196&amp;'Detail inputs'!$F$3:$F$196&amp;'Detail inputs'!$G$3:$G$196&amp;'Detail inputs'!$H$3:$H$196,0),MATCH(P$4,'Detail inputs'!$B$3:$K$3,0)),0)*SUM(P136:P137), 2)</f>
        <v>0.97</v>
      </c>
      <c r="Q138" s="172">
        <f t="shared" si="59"/>
        <v>1.30853</v>
      </c>
      <c r="R138" s="192">
        <f>IFERROR(Q138/Q139,"")</f>
        <v>6.4238410596026502E-2</v>
      </c>
    </row>
    <row r="139" spans="1:18" s="20" customFormat="1" outlineLevel="1" x14ac:dyDescent="0.25">
      <c r="A139" s="3"/>
      <c r="B139" s="3" t="str">
        <f t="shared" si="54"/>
        <v>Energex</v>
      </c>
      <c r="C139" s="3" t="str">
        <f t="shared" si="55"/>
        <v>Residential</v>
      </c>
      <c r="D139" s="3" t="str">
        <f t="shared" si="56"/>
        <v>with CL</v>
      </c>
      <c r="E139" s="3" t="s">
        <v>17</v>
      </c>
      <c r="F139" s="175">
        <f t="array" ref="F139">IFERROR(INDEX(Usage!$B$5:$P$18,MATCH($B139,Usage!$B$5:$B$18,0),MATCH($C139&amp;$D139&amp;$E139,Usage!$B$5:$S$5&amp;Usage!$B$6:$S$6&amp;Usage!$B$7:$S$7,0)),0)</f>
        <v>1349</v>
      </c>
      <c r="G139" s="3" t="s">
        <v>61</v>
      </c>
      <c r="H139" s="172"/>
      <c r="I139" s="172">
        <f t="array" ref="I139">INDEX('Key inputs'!$B$17:$N$41,MATCH($B139&amp;$C139&amp;$E139,'Key inputs'!$B$17:$B$41&amp;'Key inputs'!$C$17:$C$41&amp;'Key inputs'!$D$17:$D$41,0),MATCH($A$2&amp;I$4,'Key inputs'!$B$18:$N$18&amp;'Key inputs'!$B$19:$N$19,0))</f>
        <v>17.100000000000001</v>
      </c>
      <c r="J139" s="172">
        <f t="shared" si="57"/>
        <v>23.067900000000002</v>
      </c>
      <c r="K139" s="192"/>
      <c r="L139" s="197"/>
      <c r="M139" s="191">
        <f t="shared" si="58"/>
        <v>-0.1169590643274856</v>
      </c>
      <c r="N139" s="197"/>
      <c r="O139" s="172"/>
      <c r="P139" s="172">
        <f t="array" ref="P139">INDEX('Key inputs'!$B$17:$N$41,MATCH($B139&amp;$C139&amp;$E139,'Key inputs'!$B$17:$B$41&amp;'Key inputs'!$C$17:$C$41&amp;'Key inputs'!$D$17:$D$41,0),MATCH($A$2&amp;P$4,'Key inputs'!$B$18:$N$18&amp;'Key inputs'!$B$19:$N$19,0))</f>
        <v>15.1</v>
      </c>
      <c r="Q139" s="172">
        <f t="shared" si="59"/>
        <v>20.369899999999998</v>
      </c>
      <c r="R139" s="192"/>
    </row>
    <row r="140" spans="1:18" s="20" customFormat="1" x14ac:dyDescent="0.25">
      <c r="A140" s="3"/>
      <c r="B140" s="3" t="str">
        <f t="shared" si="54"/>
        <v>Energex</v>
      </c>
      <c r="C140" s="3" t="str">
        <f t="shared" si="55"/>
        <v>Residential</v>
      </c>
      <c r="D140" s="3" t="str">
        <f t="shared" si="56"/>
        <v>with CL</v>
      </c>
      <c r="E140" s="3" t="s">
        <v>61</v>
      </c>
      <c r="F140" s="175">
        <f t="array" ref="F140">IFERROR(INDEX(Usage!$B$5:$P$18,MATCH($B140,Usage!$B$5:$B$18,0),MATCH($C140&amp;$D140&amp;$E140,Usage!$B$5:$S$5&amp;Usage!$B$6:$S$6&amp;Usage!$B$7:$S$7,0)),0)</f>
        <v>6300</v>
      </c>
      <c r="G140" s="3" t="s">
        <v>61</v>
      </c>
      <c r="H140" s="172"/>
      <c r="I140" s="172">
        <f>I131+I135+I139</f>
        <v>51.300000000000004</v>
      </c>
      <c r="J140" s="172">
        <f>J131+J135+J139</f>
        <v>107.72999999999999</v>
      </c>
      <c r="K140" s="192"/>
      <c r="L140" s="197"/>
      <c r="M140" s="191">
        <f t="shared" si="58"/>
        <v>-0.11695906432748537</v>
      </c>
      <c r="N140" s="197"/>
      <c r="O140" s="172"/>
      <c r="P140" s="172">
        <f>P131+P135+P139</f>
        <v>45.3</v>
      </c>
      <c r="Q140" s="172">
        <f>Q131+Q135+Q139</f>
        <v>95.13</v>
      </c>
      <c r="R140" s="192"/>
    </row>
    <row r="141" spans="1:18" s="20" customFormat="1" outlineLevel="1" x14ac:dyDescent="0.25">
      <c r="A141" s="3"/>
      <c r="B141" s="3" t="str">
        <f t="shared" ref="B141:D142" si="60">B140</f>
        <v>Energex</v>
      </c>
      <c r="C141" s="3" t="str">
        <f t="shared" si="60"/>
        <v>Residential</v>
      </c>
      <c r="D141" s="3" t="str">
        <f t="shared" si="60"/>
        <v>with CL</v>
      </c>
      <c r="E141" s="3"/>
      <c r="F141" s="175"/>
      <c r="G141" s="3" t="s">
        <v>41</v>
      </c>
      <c r="H141" s="172"/>
      <c r="I141" s="172"/>
      <c r="J141" s="172">
        <f>J140*GST</f>
        <v>10.773</v>
      </c>
      <c r="K141" s="192"/>
      <c r="L141" s="197"/>
      <c r="M141" s="192"/>
      <c r="N141" s="197"/>
      <c r="O141" s="172"/>
      <c r="P141" s="172"/>
      <c r="Q141" s="172">
        <f>Q140*GST</f>
        <v>9.5129999999999999</v>
      </c>
      <c r="R141" s="193"/>
    </row>
    <row r="142" spans="1:18" s="20" customFormat="1" x14ac:dyDescent="0.25">
      <c r="A142" s="3"/>
      <c r="B142" s="3" t="str">
        <f t="shared" si="60"/>
        <v>Energex</v>
      </c>
      <c r="C142" s="3" t="str">
        <f t="shared" si="60"/>
        <v>Residential</v>
      </c>
      <c r="D142" s="3" t="str">
        <f t="shared" si="60"/>
        <v>with CL</v>
      </c>
      <c r="E142" s="3"/>
      <c r="F142" s="175"/>
      <c r="G142" s="5" t="s">
        <v>87</v>
      </c>
      <c r="H142" s="174"/>
      <c r="I142" s="174"/>
      <c r="J142" s="174">
        <f>SUM(J140:J141)</f>
        <v>118.50299999999999</v>
      </c>
      <c r="K142" s="193"/>
      <c r="L142" s="198"/>
      <c r="M142" s="193">
        <f>IF(OR(J142=0,Q142=""),"",Q142/J142-1)</f>
        <v>-0.11695906432748526</v>
      </c>
      <c r="N142" s="198"/>
      <c r="O142" s="174"/>
      <c r="P142" s="174"/>
      <c r="Q142" s="174">
        <f>SUM(Q140:Q141)</f>
        <v>104.643</v>
      </c>
      <c r="R142" s="193"/>
    </row>
    <row r="143" spans="1:18" s="20" customFormat="1" x14ac:dyDescent="0.25">
      <c r="A143" s="3"/>
      <c r="B143" s="3"/>
      <c r="C143" s="3"/>
      <c r="D143" s="3"/>
      <c r="E143" s="3"/>
      <c r="F143" s="175"/>
      <c r="G143" s="3"/>
      <c r="H143" s="172"/>
      <c r="I143" s="172"/>
      <c r="J143" s="172"/>
      <c r="K143" s="191"/>
      <c r="L143" s="197"/>
      <c r="M143" s="191"/>
      <c r="N143" s="197"/>
      <c r="O143" s="172"/>
      <c r="P143" s="172"/>
      <c r="Q143" s="172"/>
      <c r="R143" s="191"/>
    </row>
    <row r="144" spans="1:18" s="20" customFormat="1" x14ac:dyDescent="0.25">
      <c r="A144" s="3"/>
      <c r="B144" s="5" t="s">
        <v>0</v>
      </c>
      <c r="C144" s="5" t="s">
        <v>15</v>
      </c>
      <c r="D144" s="5" t="s">
        <v>146</v>
      </c>
      <c r="E144" s="3"/>
      <c r="F144" s="175"/>
      <c r="G144" s="3"/>
      <c r="H144" s="172"/>
      <c r="I144" s="172"/>
      <c r="J144" s="172"/>
      <c r="K144" s="191"/>
      <c r="L144" s="197"/>
      <c r="M144" s="191"/>
      <c r="N144" s="197"/>
      <c r="O144" s="172"/>
      <c r="P144" s="172"/>
      <c r="Q144" s="172"/>
      <c r="R144" s="191"/>
    </row>
    <row r="145" spans="1:18" s="20" customFormat="1" outlineLevel="1" x14ac:dyDescent="0.25">
      <c r="A145" s="3"/>
      <c r="B145" s="3" t="str">
        <f t="shared" ref="B145:D150" si="61">B144</f>
        <v>Energex</v>
      </c>
      <c r="C145" s="3" t="str">
        <f t="shared" si="61"/>
        <v>Small business</v>
      </c>
      <c r="D145" s="3" t="str">
        <f t="shared" si="61"/>
        <v>without CL</v>
      </c>
      <c r="E145" s="3" t="s">
        <v>22</v>
      </c>
      <c r="F145" s="175">
        <f t="array" ref="F145">IFERROR(INDEX(Usage!$B$5:$P$18,MATCH($B145,Usage!$B$5:$B$18,0),MATCH($C145&amp;$D145&amp;$E145,Usage!$B$5:$S$5&amp;Usage!$B$6:$S$6&amp;Usage!$B$7:$S$7,0)),0)</f>
        <v>10000</v>
      </c>
      <c r="G145" s="3" t="s">
        <v>80</v>
      </c>
      <c r="H145" s="172"/>
      <c r="I145" s="172">
        <f t="array" ref="I145">IFERROR(INDEX('Detail inputs'!$B$3:$K$196,MATCH($B145&amp;$G145&amp;I$5,'Detail inputs'!$B$3:$B$196&amp;'Detail inputs'!$G$3:$G$196&amp;'Detail inputs'!$H$3:$H$196,0),MATCH(I$4,'Detail inputs'!$B$3:$K$3,0)),0)</f>
        <v>5.13</v>
      </c>
      <c r="J145" s="172">
        <f>IF(AND(H145="",I145=""),"",H145+I145*$F145/1000)</f>
        <v>51.3</v>
      </c>
      <c r="K145" s="191">
        <f>IFERROR(J145/J148,"")</f>
        <v>0.3</v>
      </c>
      <c r="L145" s="188"/>
      <c r="M145" s="191">
        <f>IF(OR(J145=0,Q145=""),"",Q145/J145-1)</f>
        <v>0.41715399610136461</v>
      </c>
      <c r="N145" s="188"/>
      <c r="O145" s="172"/>
      <c r="P145" s="172">
        <f t="array" ref="P145">IFERROR(INDEX('Detail inputs'!$B$3:$K$196,MATCH($B145&amp;$G145&amp;P$5,'Detail inputs'!$B$3:$B$196&amp;'Detail inputs'!$G$3:$G$196&amp;'Detail inputs'!$H$3:$H$196,0),MATCH(P$4,'Detail inputs'!$B$3:$K$3,0)),0)</f>
        <v>7.27</v>
      </c>
      <c r="Q145" s="172">
        <f>IF(AND(O145="",P145=""),"",O145+P145*$F145/1000)</f>
        <v>72.7</v>
      </c>
      <c r="R145" s="191">
        <f>IFERROR(Q145/Q148,"")</f>
        <v>0.48145695364238411</v>
      </c>
    </row>
    <row r="146" spans="1:18" s="20" customFormat="1" outlineLevel="1" x14ac:dyDescent="0.25">
      <c r="A146" s="3"/>
      <c r="B146" s="3" t="str">
        <f t="shared" si="61"/>
        <v>Energex</v>
      </c>
      <c r="C146" s="3" t="str">
        <f t="shared" si="61"/>
        <v>Small business</v>
      </c>
      <c r="D146" s="3" t="str">
        <f t="shared" si="61"/>
        <v>without CL</v>
      </c>
      <c r="E146" s="3" t="s">
        <v>22</v>
      </c>
      <c r="F146" s="175">
        <f t="array" ref="F146">IFERROR(INDEX(Usage!$B$5:$P$18,MATCH($B146,Usage!$B$5:$B$18,0),MATCH($C146&amp;$D146&amp;$E146,Usage!$B$5:$S$5&amp;Usage!$B$6:$S$6&amp;Usage!$B$7:$S$7,0)),0)</f>
        <v>10000</v>
      </c>
      <c r="G146" s="3" t="s">
        <v>81</v>
      </c>
      <c r="H146" s="172"/>
      <c r="I146" s="172">
        <f t="array" ref="I146">IFERROR(INDEX('Detail inputs'!$B$3:$K$196,MATCH($B146&amp;$G146&amp;I$5,'Detail inputs'!$B$3:$B$196&amp;'Detail inputs'!$G$3:$G$196&amp;'Detail inputs'!$H$3:$H$196,0),MATCH(I$4,'Detail inputs'!$B$3:$K$3,0)),0)</f>
        <v>10.9</v>
      </c>
      <c r="J146" s="172">
        <f>IF(AND(H146="",I146=""),"",H146+I146*$F146/1000)</f>
        <v>109</v>
      </c>
      <c r="K146" s="191">
        <f>IFERROR(J146/J148,"")</f>
        <v>0.63742690058479534</v>
      </c>
      <c r="L146" s="188"/>
      <c r="M146" s="191">
        <f>IF(OR(J146=0,Q146=""),"",Q146/J146-1)</f>
        <v>-0.37064220183486241</v>
      </c>
      <c r="N146" s="188"/>
      <c r="O146" s="172"/>
      <c r="P146" s="172">
        <f t="array" ref="P146">IFERROR(INDEX('Detail inputs'!$B$3:$K$196,MATCH($B146&amp;$G146&amp;P$5,'Detail inputs'!$B$3:$B$196&amp;'Detail inputs'!$G$3:$G$196&amp;'Detail inputs'!$H$3:$H$196,0),MATCH(P$4,'Detail inputs'!$B$3:$K$3,0)),0)</f>
        <v>6.86</v>
      </c>
      <c r="Q146" s="172">
        <f>IF(AND(O146="",P146=""),"",O146+P146*$F146/1000)</f>
        <v>68.599999999999994</v>
      </c>
      <c r="R146" s="191">
        <f>IFERROR(Q146/Q148,"")</f>
        <v>0.45430463576158936</v>
      </c>
    </row>
    <row r="147" spans="1:18" s="20" customFormat="1" outlineLevel="1" x14ac:dyDescent="0.25">
      <c r="A147" s="3"/>
      <c r="B147" s="3" t="str">
        <f t="shared" si="61"/>
        <v>Energex</v>
      </c>
      <c r="C147" s="3" t="str">
        <f t="shared" si="61"/>
        <v>Small business</v>
      </c>
      <c r="D147" s="3" t="str">
        <f t="shared" si="61"/>
        <v>without CL</v>
      </c>
      <c r="E147" s="3" t="s">
        <v>22</v>
      </c>
      <c r="F147" s="175">
        <f t="array" ref="F147">IFERROR(INDEX(Usage!$B$5:$P$18,MATCH($B147,Usage!$B$5:$B$18,0),MATCH($C147&amp;$D147&amp;$E147,Usage!$B$5:$S$5&amp;Usage!$B$6:$S$6&amp;Usage!$B$7:$S$7,0)),0)</f>
        <v>10000</v>
      </c>
      <c r="G147" s="3" t="s">
        <v>79</v>
      </c>
      <c r="H147" s="172"/>
      <c r="I147" s="172" cm="1">
        <f t="array" ref="I147">ROUND(IFERROR(INDEX('Detail inputs'!$B$3:$K$196,MATCH($B147&amp;$C147&amp;$E147&amp;$G147&amp;I$5,'Detail inputs'!$B$3:$B$196&amp;'Detail inputs'!$D$3:$D$196&amp;'Detail inputs'!$F$3:$F$196&amp;'Detail inputs'!$G$3:$G$196&amp;'Detail inputs'!$H$3:$H$196,0),MATCH(I$4,'Detail inputs'!$B$3:$K$3,0)),0)*SUM(I145:I146), 2)</f>
        <v>1.07</v>
      </c>
      <c r="J147" s="172">
        <f>IF(AND(H147="",I147=""),"",H147+I147*$F147/1000)</f>
        <v>10.7</v>
      </c>
      <c r="K147" s="191">
        <f>IFERROR(J147/J148,"")</f>
        <v>6.2573099415204669E-2</v>
      </c>
      <c r="L147" s="188"/>
      <c r="M147" s="191">
        <f>IF(OR(J147=0,Q147=""),"",Q147/J147-1)</f>
        <v>-9.3457943925233655E-2</v>
      </c>
      <c r="N147" s="188"/>
      <c r="O147" s="172"/>
      <c r="P147" s="172" cm="1">
        <f t="array" ref="P147">ROUND(IFERROR(INDEX('Detail inputs'!$B$3:$K$196,MATCH($B147&amp;$C147&amp;$E147&amp;$G147&amp;P$5,'Detail inputs'!$B$3:$B$196&amp;'Detail inputs'!$D$3:$D$196&amp;'Detail inputs'!$F$3:$F$196&amp;'Detail inputs'!$G$3:$G$196&amp;'Detail inputs'!$H$3:$H$196,0),MATCH(P$4,'Detail inputs'!$B$3:$K$3,0)),0)*SUM(P145:P146), 2)</f>
        <v>0.97</v>
      </c>
      <c r="Q147" s="172">
        <f>IF(AND(O147="",P147=""),"",O147+P147*$F147/1000)</f>
        <v>9.6999999999999993</v>
      </c>
      <c r="R147" s="191">
        <f>IFERROR(Q147/Q148,"")</f>
        <v>6.4238410596026488E-2</v>
      </c>
    </row>
    <row r="148" spans="1:18" s="20" customFormat="1" x14ac:dyDescent="0.25">
      <c r="A148" s="3"/>
      <c r="B148" s="3" t="str">
        <f t="shared" si="61"/>
        <v>Energex</v>
      </c>
      <c r="C148" s="3" t="str">
        <f t="shared" si="61"/>
        <v>Small business</v>
      </c>
      <c r="D148" s="3" t="str">
        <f t="shared" si="61"/>
        <v>without CL</v>
      </c>
      <c r="E148" s="3" t="s">
        <v>22</v>
      </c>
      <c r="F148" s="175">
        <f t="array" ref="F148">IFERROR(INDEX(Usage!$B$5:$P$18,MATCH($B148,Usage!$B$5:$B$18,0),MATCH($C148&amp;$D148&amp;$E148,Usage!$B$5:$S$5&amp;Usage!$B$6:$S$6&amp;Usage!$B$7:$S$7,0)),0)</f>
        <v>10000</v>
      </c>
      <c r="G148" s="3" t="s">
        <v>61</v>
      </c>
      <c r="H148" s="172"/>
      <c r="I148" s="172">
        <f t="array" ref="I148">INDEX('Key inputs'!$B$17:$N$41,MATCH($B148&amp;$C148&amp;$E148,'Key inputs'!$B$17:$B$41&amp;'Key inputs'!$C$17:$C$41&amp;'Key inputs'!$D$17:$D$41,0),MATCH($A$2&amp;I$4,'Key inputs'!$B$18:$N$18&amp;'Key inputs'!$B$19:$N$19,0))</f>
        <v>17.100000000000001</v>
      </c>
      <c r="J148" s="172">
        <f>IF(AND(H148="",I148=""),"",H148+I148*$F148/1000)</f>
        <v>171</v>
      </c>
      <c r="K148" s="192"/>
      <c r="L148" s="197"/>
      <c r="M148" s="192">
        <f>IF(OR(J148=0,Q148=""),"",Q148/J148-1)</f>
        <v>-0.11695906432748537</v>
      </c>
      <c r="N148" s="197"/>
      <c r="O148" s="172"/>
      <c r="P148" s="172">
        <f t="array" ref="P148">INDEX('Key inputs'!$B$17:$N$41,MATCH($B148&amp;$C148&amp;$E148,'Key inputs'!$B$17:$B$41&amp;'Key inputs'!$C$17:$C$41&amp;'Key inputs'!$D$17:$D$41,0),MATCH($A$2&amp;P$4,'Key inputs'!$B$18:$N$18&amp;'Key inputs'!$B$19:$N$19,0))</f>
        <v>15.1</v>
      </c>
      <c r="Q148" s="172">
        <f>IF(AND(O148="",P148=""),"",O148+P148*$F148/1000)</f>
        <v>151</v>
      </c>
      <c r="R148" s="192"/>
    </row>
    <row r="149" spans="1:18" s="20" customFormat="1" outlineLevel="1" x14ac:dyDescent="0.25">
      <c r="A149" s="3"/>
      <c r="B149" s="3" t="str">
        <f t="shared" si="61"/>
        <v>Energex</v>
      </c>
      <c r="C149" s="3" t="str">
        <f t="shared" si="61"/>
        <v>Small business</v>
      </c>
      <c r="D149" s="3" t="str">
        <f t="shared" si="61"/>
        <v>without CL</v>
      </c>
      <c r="E149" s="3"/>
      <c r="F149" s="175"/>
      <c r="G149" s="3" t="s">
        <v>41</v>
      </c>
      <c r="H149" s="172"/>
      <c r="I149" s="172"/>
      <c r="J149" s="172">
        <f>J148*GST</f>
        <v>17.100000000000001</v>
      </c>
      <c r="K149" s="192"/>
      <c r="L149" s="197"/>
      <c r="M149" s="192"/>
      <c r="N149" s="197"/>
      <c r="O149" s="172"/>
      <c r="P149" s="172"/>
      <c r="Q149" s="172">
        <f>Q148*GST</f>
        <v>15.100000000000001</v>
      </c>
      <c r="R149" s="193"/>
    </row>
    <row r="150" spans="1:18" s="20" customFormat="1" x14ac:dyDescent="0.25">
      <c r="A150" s="3"/>
      <c r="B150" s="3" t="str">
        <f t="shared" si="61"/>
        <v>Energex</v>
      </c>
      <c r="C150" s="3" t="str">
        <f t="shared" si="61"/>
        <v>Small business</v>
      </c>
      <c r="D150" s="3" t="str">
        <f t="shared" si="61"/>
        <v>without CL</v>
      </c>
      <c r="E150" s="3"/>
      <c r="F150" s="175"/>
      <c r="G150" s="5" t="s">
        <v>87</v>
      </c>
      <c r="H150" s="174"/>
      <c r="I150" s="174"/>
      <c r="J150" s="174">
        <f>SUM(J148:J149)</f>
        <v>188.1</v>
      </c>
      <c r="K150" s="193"/>
      <c r="L150" s="198"/>
      <c r="M150" s="193">
        <f>IF(OR(J150=0,Q150=""),"",Q150/J150-1)</f>
        <v>-0.11695906432748537</v>
      </c>
      <c r="N150" s="198"/>
      <c r="O150" s="174"/>
      <c r="P150" s="174"/>
      <c r="Q150" s="174">
        <f>SUM(Q148:Q149)</f>
        <v>166.1</v>
      </c>
      <c r="R150" s="193"/>
    </row>
    <row r="151" spans="1:18" s="20" customFormat="1" x14ac:dyDescent="0.25">
      <c r="A151" s="3"/>
      <c r="B151" s="3"/>
      <c r="C151" s="3"/>
      <c r="D151" s="3"/>
      <c r="E151" s="3"/>
      <c r="F151" s="175"/>
      <c r="G151" s="3"/>
      <c r="H151" s="172"/>
      <c r="I151" s="172"/>
      <c r="J151" s="172"/>
      <c r="K151" s="191"/>
      <c r="L151" s="197"/>
      <c r="M151" s="191"/>
      <c r="N151" s="197"/>
      <c r="O151" s="172"/>
      <c r="P151" s="172"/>
      <c r="Q151" s="172"/>
      <c r="R151" s="191"/>
    </row>
    <row r="152" spans="1:18" s="20" customFormat="1" x14ac:dyDescent="0.25">
      <c r="A152" s="3"/>
      <c r="B152" s="5" t="s">
        <v>5</v>
      </c>
      <c r="C152" s="5" t="s">
        <v>6</v>
      </c>
      <c r="D152" s="5" t="s">
        <v>146</v>
      </c>
      <c r="E152" s="3"/>
      <c r="F152" s="175"/>
      <c r="G152" s="3"/>
      <c r="H152" s="172"/>
      <c r="I152" s="172"/>
      <c r="J152" s="172"/>
      <c r="K152" s="191"/>
      <c r="L152" s="197"/>
      <c r="M152" s="191"/>
      <c r="N152" s="197"/>
      <c r="O152" s="172"/>
      <c r="P152" s="172"/>
      <c r="Q152" s="172"/>
      <c r="R152" s="191"/>
    </row>
    <row r="153" spans="1:18" s="20" customFormat="1" outlineLevel="1" x14ac:dyDescent="0.25">
      <c r="A153" s="3"/>
      <c r="B153" s="3" t="str">
        <f t="shared" ref="B153:D160" si="62">B152</f>
        <v>SAPN</v>
      </c>
      <c r="C153" s="3" t="str">
        <f t="shared" si="62"/>
        <v>Residential</v>
      </c>
      <c r="D153" s="3" t="str">
        <f t="shared" si="62"/>
        <v>without CL</v>
      </c>
      <c r="E153" s="3" t="s">
        <v>22</v>
      </c>
      <c r="F153" s="175">
        <f t="array" ref="F153">IFERROR(INDEX(Usage!$B$5:$P$18,MATCH($B153,Usage!$B$5:$B$18,0),MATCH($C153&amp;$D153&amp;$E153&amp;"Total",Usage!$B$5:$S$5&amp;Usage!$B$6:$S$6&amp;Usage!$B$7:$S$7&amp;Usage!$B$13:$S$13,0)),0)</f>
        <v>4000</v>
      </c>
      <c r="G153" s="3" t="s">
        <v>80</v>
      </c>
      <c r="H153" s="172"/>
      <c r="I153" s="172">
        <f t="array" ref="I153">IFERROR(INDEX('Detail inputs'!$B$3:$K$196,MATCH($B153&amp;$G153&amp;I$5,'Detail inputs'!$B$3:$B$196&amp;'Detail inputs'!$G$3:$G$196&amp;'Detail inputs'!$H$3:$H$196,0),MATCH(I$4,'Detail inputs'!$B$3:$K$3,0)),0)</f>
        <v>5.13</v>
      </c>
      <c r="J153" s="172">
        <f t="shared" ref="J153:J158" si="63">IF(AND(H153="",I153=""),"",H153+I153*$F153/1000)</f>
        <v>20.52</v>
      </c>
      <c r="K153" s="191">
        <f>IFERROR(J153/J158,"")</f>
        <v>0.25171736997055938</v>
      </c>
      <c r="L153" s="188"/>
      <c r="M153" s="191">
        <f t="shared" ref="M153:M158" si="64">IF(OR(J153=0,Q153=""),"",Q153/J153-1)</f>
        <v>0.41715399610136439</v>
      </c>
      <c r="N153" s="188"/>
      <c r="O153" s="172"/>
      <c r="P153" s="172">
        <f t="array" ref="P153">IFERROR(INDEX('Detail inputs'!$B$3:$K$196,MATCH($B153&amp;$G153&amp;P$5,'Detail inputs'!$B$3:$B$196&amp;'Detail inputs'!$G$3:$G$196&amp;'Detail inputs'!$H$3:$H$196,0),MATCH(P$4,'Detail inputs'!$B$3:$K$3,0)),0)</f>
        <v>7.27</v>
      </c>
      <c r="Q153" s="172">
        <f t="shared" ref="Q153:Q158" si="65">IF(AND(O153="",P153=""),"",O153+P153*$F153/1000)</f>
        <v>29.08</v>
      </c>
      <c r="R153" s="191">
        <f>IFERROR(Q153/Q158,"")</f>
        <v>0.39770240700218812</v>
      </c>
    </row>
    <row r="154" spans="1:18" s="20" customFormat="1" outlineLevel="1" x14ac:dyDescent="0.25">
      <c r="A154" s="3"/>
      <c r="B154" s="3" t="str">
        <f t="shared" si="62"/>
        <v>SAPN</v>
      </c>
      <c r="C154" s="3" t="str">
        <f t="shared" si="62"/>
        <v>Residential</v>
      </c>
      <c r="D154" s="3" t="str">
        <f t="shared" si="62"/>
        <v>without CL</v>
      </c>
      <c r="E154" s="3" t="s">
        <v>22</v>
      </c>
      <c r="F154" s="175">
        <f t="array" ref="F154">IFERROR(INDEX(Usage!$B$5:$P$18,MATCH($B154,Usage!$B$5:$B$18,0),MATCH($C154&amp;$D154&amp;$E154&amp;"Total",Usage!$B$5:$S$5&amp;Usage!$B$6:$S$6&amp;Usage!$B$7:$S$7&amp;Usage!$B$13:$S$13,0)),0)</f>
        <v>4000</v>
      </c>
      <c r="G154" s="3" t="s">
        <v>81</v>
      </c>
      <c r="H154" s="172"/>
      <c r="I154" s="172">
        <f t="array" ref="I154">IFERROR(INDEX('Detail inputs'!$B$3:$K$196,MATCH($B154&amp;$G154&amp;I$5,'Detail inputs'!$B$3:$B$196&amp;'Detail inputs'!$G$3:$G$196&amp;'Detail inputs'!$H$3:$H$196,0),MATCH(I$4,'Detail inputs'!$B$3:$K$3,0)),0)</f>
        <v>10.9</v>
      </c>
      <c r="J154" s="172">
        <f t="shared" si="63"/>
        <v>43.6</v>
      </c>
      <c r="K154" s="191">
        <f>IFERROR(J154/J158,"")</f>
        <v>0.53483807654563298</v>
      </c>
      <c r="L154" s="188"/>
      <c r="M154" s="191">
        <f t="shared" si="64"/>
        <v>-0.37064220183486241</v>
      </c>
      <c r="N154" s="188"/>
      <c r="O154" s="172"/>
      <c r="P154" s="172">
        <f t="array" ref="P154">IFERROR(INDEX('Detail inputs'!$B$3:$K$196,MATCH($B154&amp;$G154&amp;P$5,'Detail inputs'!$B$3:$B$196&amp;'Detail inputs'!$G$3:$G$196&amp;'Detail inputs'!$H$3:$H$196,0),MATCH(P$4,'Detail inputs'!$B$3:$K$3,0)),0)</f>
        <v>6.86</v>
      </c>
      <c r="Q154" s="172">
        <f t="shared" si="65"/>
        <v>27.44</v>
      </c>
      <c r="R154" s="191">
        <f>IFERROR(Q154/Q158,"")</f>
        <v>0.37527352297592997</v>
      </c>
    </row>
    <row r="155" spans="1:18" s="20" customFormat="1" outlineLevel="1" x14ac:dyDescent="0.25">
      <c r="A155" s="3"/>
      <c r="B155" s="3" t="str">
        <f t="shared" si="62"/>
        <v>SAPN</v>
      </c>
      <c r="C155" s="3" t="str">
        <f t="shared" si="62"/>
        <v>Residential</v>
      </c>
      <c r="D155" s="3" t="str">
        <f t="shared" si="62"/>
        <v>without CL</v>
      </c>
      <c r="E155" s="3" t="s">
        <v>22</v>
      </c>
      <c r="F155" s="175">
        <f t="array" ref="F155">IFERROR(INDEX(Usage!$B$5:$P$18,MATCH($B155,Usage!$B$5:$B$18,0),MATCH($C155&amp;$D155&amp;$E155&amp;"Total",Usage!$B$5:$S$5&amp;Usage!$B$6:$S$6&amp;Usage!$B$7:$S$7&amp;Usage!$B$13:$S$13,0)),0)</f>
        <v>4000</v>
      </c>
      <c r="G155" s="3" t="s">
        <v>86</v>
      </c>
      <c r="H155" s="172"/>
      <c r="I155" s="172" cm="1">
        <f t="array" ref="I155">IFERROR(INDEX('Detail inputs'!$B$3:$K$196,MATCH($B155&amp;$G155&amp;I$5,'Detail inputs'!$B$3:$B$196&amp;'Detail inputs'!$G$3:$G$196&amp;'Detail inputs'!$H$3:$H$196,0),MATCH(I$4,'Detail inputs'!$B$3:$K$3,0)),0)</f>
        <v>0</v>
      </c>
      <c r="J155" s="172">
        <f t="shared" si="63"/>
        <v>0</v>
      </c>
      <c r="K155" s="191">
        <f>IFERROR(J155/J158,"")</f>
        <v>0</v>
      </c>
      <c r="L155" s="188"/>
      <c r="M155" s="191" t="str">
        <f t="shared" si="64"/>
        <v/>
      </c>
      <c r="N155" s="188"/>
      <c r="O155" s="172"/>
      <c r="P155" s="172">
        <f t="array" ref="P155">IFERROR(INDEX('Detail inputs'!$B$3:$K$196,MATCH($B155&amp;$G155&amp;P$5,'Detail inputs'!$B$3:$B$196&amp;'Detail inputs'!$G$3:$G$196&amp;'Detail inputs'!$H$3:$H$196,0),MATCH(P$4,'Detail inputs'!$B$3:$K$3,0)),0)</f>
        <v>0</v>
      </c>
      <c r="Q155" s="172">
        <f t="shared" si="65"/>
        <v>0</v>
      </c>
      <c r="R155" s="191">
        <f>IFERROR(Q155/Q158,"")</f>
        <v>0</v>
      </c>
    </row>
    <row r="156" spans="1:18" s="20" customFormat="1" outlineLevel="1" x14ac:dyDescent="0.25">
      <c r="A156" s="3"/>
      <c r="B156" s="3" t="str">
        <f t="shared" si="62"/>
        <v>SAPN</v>
      </c>
      <c r="C156" s="3" t="str">
        <f t="shared" si="62"/>
        <v>Residential</v>
      </c>
      <c r="D156" s="3" t="str">
        <f t="shared" si="62"/>
        <v>without CL</v>
      </c>
      <c r="E156" s="3" t="s">
        <v>22</v>
      </c>
      <c r="F156" s="175">
        <f t="array" ref="F156">IFERROR(INDEX(Usage!$B$5:$P$18,MATCH($B156,Usage!$B$5:$B$18,0),MATCH($C156&amp;$D156&amp;$E156&amp;"Total",Usage!$B$5:$S$5&amp;Usage!$B$6:$S$6&amp;Usage!$B$7:$S$7&amp;Usage!$B$13:$S$13,0)),0)</f>
        <v>4000</v>
      </c>
      <c r="G156" s="3" t="s">
        <v>199</v>
      </c>
      <c r="H156" s="172"/>
      <c r="I156" s="172" cm="1">
        <f t="array" ref="I156">IFERROR(INDEX('Detail inputs'!$B$3:$K$196,MATCH($B156&amp;$G156&amp;I$5,'Detail inputs'!$B$3:$B$196&amp;'Detail inputs'!$G$3:$G$196&amp;'Detail inputs'!$H$3:$H$196,0),MATCH(I$4,'Detail inputs'!$B$3:$K$3,0)),0)</f>
        <v>2.5</v>
      </c>
      <c r="J156" s="172">
        <f t="shared" si="63"/>
        <v>10</v>
      </c>
      <c r="K156" s="191">
        <f>IFERROR(J156/J158,"")</f>
        <v>0.12266928361138371</v>
      </c>
      <c r="L156" s="188"/>
      <c r="M156" s="191">
        <f t="shared" si="64"/>
        <v>0</v>
      </c>
      <c r="N156" s="188"/>
      <c r="O156" s="172"/>
      <c r="P156" s="172">
        <f t="array" ref="P156">IFERROR(INDEX('Detail inputs'!$B$3:$K$196,MATCH($B156&amp;$G156&amp;P$5,'Detail inputs'!$B$3:$B$196&amp;'Detail inputs'!$G$3:$G$196&amp;'Detail inputs'!$H$3:$H$196,0),MATCH(P$4,'Detail inputs'!$B$3:$K$3,0)),0)</f>
        <v>2.5</v>
      </c>
      <c r="Q156" s="172">
        <f t="shared" si="65"/>
        <v>10</v>
      </c>
      <c r="R156" s="191">
        <f>IFERROR(Q156/Q158,"")</f>
        <v>0.13676148796498905</v>
      </c>
    </row>
    <row r="157" spans="1:18" s="20" customFormat="1" outlineLevel="1" x14ac:dyDescent="0.25">
      <c r="A157" s="3"/>
      <c r="B157" s="3" t="str">
        <f t="shared" si="62"/>
        <v>SAPN</v>
      </c>
      <c r="C157" s="3" t="str">
        <f t="shared" si="62"/>
        <v>Residential</v>
      </c>
      <c r="D157" s="3" t="str">
        <f t="shared" si="62"/>
        <v>without CL</v>
      </c>
      <c r="E157" s="3" t="s">
        <v>22</v>
      </c>
      <c r="F157" s="175">
        <f t="array" ref="F157">IFERROR(INDEX(Usage!$B$5:$P$18,MATCH($B157,Usage!$B$5:$B$18,0),MATCH($C157&amp;$D157&amp;$E157&amp;"Total",Usage!$B$5:$S$5&amp;Usage!$B$6:$S$6&amp;Usage!$B$7:$S$7&amp;Usage!$B$13:$S$13,0)),0)</f>
        <v>4000</v>
      </c>
      <c r="G157" s="3" t="s">
        <v>79</v>
      </c>
      <c r="H157" s="172"/>
      <c r="I157" s="172" cm="1">
        <f t="array" ref="I157">ROUND(IFERROR(INDEX('Detail inputs'!$B$3:$K$196,MATCH($B157&amp;$C157&amp;$E157&amp;$G157&amp;I$5,'Detail inputs'!$B$3:$B$196&amp;'Detail inputs'!$D$3:$D$196&amp;'Detail inputs'!$F$3:$F$196&amp;'Detail inputs'!$G$3:$G$196&amp;'Detail inputs'!$H$3:$H$196,0),MATCH(I$4,'Detail inputs'!$B$3:$K$3,0)),0)*SUM(I153:I156),2)</f>
        <v>1.85</v>
      </c>
      <c r="J157" s="172">
        <f t="shared" si="63"/>
        <v>7.4</v>
      </c>
      <c r="K157" s="191">
        <f>IFERROR(J157/J158,"")</f>
        <v>9.0775269872423958E-2</v>
      </c>
      <c r="L157" s="188"/>
      <c r="M157" s="191">
        <f t="shared" si="64"/>
        <v>-0.10810810810810823</v>
      </c>
      <c r="N157" s="188"/>
      <c r="O157" s="172"/>
      <c r="P157" s="172" cm="1">
        <f t="array" ref="P157">ROUND(IFERROR(INDEX('Detail inputs'!$B$3:$K$196,MATCH($B157&amp;$C157&amp;$E157&amp;$G157&amp;P$5,'Detail inputs'!$B$3:$B$196&amp;'Detail inputs'!$D$3:$D$196&amp;'Detail inputs'!$F$3:$F$196&amp;'Detail inputs'!$G$3:$G$196&amp;'Detail inputs'!$H$3:$H$196,0),MATCH(P$4,'Detail inputs'!$B$3:$K$3,0)),0)*SUM(P153:P156),2)</f>
        <v>1.65</v>
      </c>
      <c r="Q157" s="172">
        <f t="shared" si="65"/>
        <v>6.6</v>
      </c>
      <c r="R157" s="191">
        <f>IFERROR(Q157/Q158,"")</f>
        <v>9.0262582056892762E-2</v>
      </c>
    </row>
    <row r="158" spans="1:18" s="20" customFormat="1" x14ac:dyDescent="0.25">
      <c r="A158" s="3"/>
      <c r="B158" s="3" t="str">
        <f t="shared" si="62"/>
        <v>SAPN</v>
      </c>
      <c r="C158" s="3" t="str">
        <f t="shared" si="62"/>
        <v>Residential</v>
      </c>
      <c r="D158" s="3" t="str">
        <f t="shared" si="62"/>
        <v>without CL</v>
      </c>
      <c r="E158" s="3" t="s">
        <v>22</v>
      </c>
      <c r="F158" s="175">
        <f t="array" ref="F158">IFERROR(INDEX(Usage!$B$5:$P$18,MATCH($B158,Usage!$B$5:$B$18,0),MATCH($C158&amp;$D158&amp;$E158&amp;"Total",Usage!$B$5:$S$5&amp;Usage!$B$6:$S$6&amp;Usage!$B$7:$S$7&amp;Usage!$B$13:$S$13,0)),0)</f>
        <v>4000</v>
      </c>
      <c r="G158" s="3" t="s">
        <v>61</v>
      </c>
      <c r="H158" s="172"/>
      <c r="I158" s="172">
        <f t="array" ref="I158">INDEX('Key inputs'!$B$17:$N$41,MATCH($B158&amp;$C158&amp;$E158,'Key inputs'!$B$17:$B$41&amp;'Key inputs'!$C$17:$C$41&amp;'Key inputs'!$D$17:$D$41,0),MATCH($A$2&amp;I$4,'Key inputs'!$B$18:$N$18&amp;'Key inputs'!$B$19:$N$19,0))</f>
        <v>20.38</v>
      </c>
      <c r="J158" s="172">
        <f t="shared" si="63"/>
        <v>81.52</v>
      </c>
      <c r="K158" s="192"/>
      <c r="L158" s="197"/>
      <c r="M158" s="192">
        <f t="shared" si="64"/>
        <v>-0.1030421982335622</v>
      </c>
      <c r="N158" s="197"/>
      <c r="O158" s="172"/>
      <c r="P158" s="172">
        <f t="array" ref="P158">INDEX('Key inputs'!$B$17:$N$41,MATCH($B158&amp;$C158&amp;$E158,'Key inputs'!$B$17:$B$41&amp;'Key inputs'!$C$17:$C$41&amp;'Key inputs'!$D$17:$D$41,0),MATCH($A$2&amp;P$4,'Key inputs'!$B$18:$N$18&amp;'Key inputs'!$B$19:$N$19,0))</f>
        <v>18.28</v>
      </c>
      <c r="Q158" s="172">
        <f t="shared" si="65"/>
        <v>73.12</v>
      </c>
      <c r="R158" s="192"/>
    </row>
    <row r="159" spans="1:18" s="20" customFormat="1" outlineLevel="1" x14ac:dyDescent="0.25">
      <c r="A159" s="3"/>
      <c r="B159" s="3" t="str">
        <f t="shared" si="62"/>
        <v>SAPN</v>
      </c>
      <c r="C159" s="3" t="str">
        <f t="shared" si="62"/>
        <v>Residential</v>
      </c>
      <c r="D159" s="3" t="str">
        <f t="shared" si="62"/>
        <v>without CL</v>
      </c>
      <c r="E159" s="3"/>
      <c r="F159" s="175"/>
      <c r="G159" s="3" t="s">
        <v>41</v>
      </c>
      <c r="H159" s="172"/>
      <c r="I159" s="172"/>
      <c r="J159" s="172">
        <f>J158*GST</f>
        <v>8.1519999999999992</v>
      </c>
      <c r="K159" s="192"/>
      <c r="L159" s="197"/>
      <c r="M159" s="192"/>
      <c r="N159" s="197"/>
      <c r="O159" s="172"/>
      <c r="P159" s="172"/>
      <c r="Q159" s="172">
        <f>Q158*GST</f>
        <v>7.3120000000000012</v>
      </c>
      <c r="R159" s="193"/>
    </row>
    <row r="160" spans="1:18" s="20" customFormat="1" x14ac:dyDescent="0.25">
      <c r="A160" s="3"/>
      <c r="B160" s="3" t="str">
        <f t="shared" si="62"/>
        <v>SAPN</v>
      </c>
      <c r="C160" s="3" t="str">
        <f t="shared" si="62"/>
        <v>Residential</v>
      </c>
      <c r="D160" s="3" t="str">
        <f t="shared" si="62"/>
        <v>without CL</v>
      </c>
      <c r="E160" s="3"/>
      <c r="F160" s="175"/>
      <c r="G160" s="5" t="s">
        <v>87</v>
      </c>
      <c r="H160" s="174"/>
      <c r="I160" s="174"/>
      <c r="J160" s="174">
        <f>SUM(J158:J159)</f>
        <v>89.671999999999997</v>
      </c>
      <c r="K160" s="193"/>
      <c r="L160" s="198"/>
      <c r="M160" s="193">
        <f>IF(OR(J160=0,Q160=""),"",Q160/J160-1)</f>
        <v>-0.10304219823356231</v>
      </c>
      <c r="N160" s="198"/>
      <c r="O160" s="174"/>
      <c r="P160" s="174"/>
      <c r="Q160" s="174">
        <f>SUM(Q158:Q159)</f>
        <v>80.432000000000002</v>
      </c>
      <c r="R160" s="193"/>
    </row>
    <row r="161" spans="1:18" s="20" customFormat="1" x14ac:dyDescent="0.25">
      <c r="A161" s="3"/>
      <c r="B161" s="3"/>
      <c r="C161" s="3"/>
      <c r="D161" s="3"/>
      <c r="E161" s="3"/>
      <c r="F161" s="175"/>
      <c r="G161" s="3"/>
      <c r="H161" s="172"/>
      <c r="I161" s="172"/>
      <c r="J161" s="172"/>
      <c r="K161" s="191"/>
      <c r="L161" s="197"/>
      <c r="M161" s="191"/>
      <c r="N161" s="197"/>
      <c r="O161" s="172"/>
      <c r="P161" s="172"/>
      <c r="Q161" s="172"/>
      <c r="R161" s="191"/>
    </row>
    <row r="162" spans="1:18" s="20" customFormat="1" x14ac:dyDescent="0.25">
      <c r="A162" s="3"/>
      <c r="B162" s="5" t="s">
        <v>5</v>
      </c>
      <c r="C162" s="5" t="s">
        <v>6</v>
      </c>
      <c r="D162" s="5" t="s">
        <v>147</v>
      </c>
      <c r="E162" s="3"/>
      <c r="F162" s="175"/>
      <c r="G162" s="3"/>
      <c r="H162" s="172"/>
      <c r="I162" s="172"/>
      <c r="J162" s="172"/>
      <c r="K162" s="191"/>
      <c r="L162" s="197"/>
      <c r="M162" s="191"/>
      <c r="N162" s="197"/>
      <c r="O162" s="172"/>
      <c r="P162" s="172"/>
      <c r="Q162" s="172"/>
      <c r="R162" s="191"/>
    </row>
    <row r="163" spans="1:18" s="20" customFormat="1" outlineLevel="1" x14ac:dyDescent="0.25">
      <c r="A163" s="3"/>
      <c r="B163" s="3" t="str">
        <f t="shared" ref="B163:B170" si="66">B162</f>
        <v>SAPN</v>
      </c>
      <c r="C163" s="3" t="str">
        <f t="shared" ref="C163:C170" si="67">C162</f>
        <v>Residential</v>
      </c>
      <c r="D163" s="3" t="str">
        <f t="shared" ref="D163:D170" si="68">D162</f>
        <v>with CL</v>
      </c>
      <c r="E163" s="3" t="s">
        <v>22</v>
      </c>
      <c r="F163" s="175">
        <f t="array" ref="F163">IFERROR(INDEX(Usage!$B$5:$P$18,MATCH($B163,Usage!$B$5:$B$18,0),MATCH($C163&amp;$D163&amp;$E163&amp;"Total",Usage!$B$5:$S$5&amp;Usage!$B$6:$S$6&amp;Usage!$B$7:$S$7&amp;Usage!$B$13:$S$13,0)),0)</f>
        <v>4200</v>
      </c>
      <c r="G163" s="3" t="s">
        <v>61</v>
      </c>
      <c r="H163" s="172"/>
      <c r="I163" s="172">
        <f>I158</f>
        <v>20.38</v>
      </c>
      <c r="J163" s="172">
        <f t="shared" ref="J163:J169" si="69">IF(AND(H163="",I163=""),"",H163+I163*$F163/1000)</f>
        <v>85.596000000000004</v>
      </c>
      <c r="K163" s="191"/>
      <c r="L163" s="197"/>
      <c r="M163" s="191">
        <f>IF(OR(J163=0,Q163=""),"",Q163/J163-1)</f>
        <v>-0.10304219823356242</v>
      </c>
      <c r="N163" s="197"/>
      <c r="O163" s="172"/>
      <c r="P163" s="172">
        <f>P158</f>
        <v>18.28</v>
      </c>
      <c r="Q163" s="172">
        <f t="shared" ref="Q163:Q169" si="70">IF(AND(O163="",P163=""),"",O163+P163*$F163/1000)</f>
        <v>76.775999999999996</v>
      </c>
      <c r="R163" s="191"/>
    </row>
    <row r="164" spans="1:18" s="20" customFormat="1" outlineLevel="1" x14ac:dyDescent="0.25">
      <c r="A164" s="3"/>
      <c r="B164" s="3" t="str">
        <f t="shared" si="66"/>
        <v>SAPN</v>
      </c>
      <c r="C164" s="3" t="str">
        <f t="shared" si="67"/>
        <v>Residential</v>
      </c>
      <c r="D164" s="3" t="str">
        <f t="shared" si="68"/>
        <v>with CL</v>
      </c>
      <c r="E164" s="3" t="s">
        <v>16</v>
      </c>
      <c r="F164" s="175">
        <f t="array" ref="F164">IFERROR(INDEX(Usage!$B$5:$P$18,MATCH($B164,Usage!$B$5:$B$18,0),MATCH($C164&amp;$D164&amp;$E164,Usage!$B$5:$S$5&amp;Usage!$B$6:$S$6&amp;Usage!$B$7:$S$7,0)),0)</f>
        <v>1800</v>
      </c>
      <c r="G164" s="3" t="s">
        <v>80</v>
      </c>
      <c r="H164" s="172"/>
      <c r="I164" s="172">
        <f t="array" ref="I164">IFERROR(INDEX('Detail inputs'!$B$3:$K$196,MATCH($B164&amp;$G164&amp;I$5,'Detail inputs'!$B$3:$B$196&amp;'Detail inputs'!$G$3:$G$196&amp;'Detail inputs'!$H$3:$H$196,0),MATCH(I$4,'Detail inputs'!$B$3:$K$3,0)),0)</f>
        <v>5.13</v>
      </c>
      <c r="J164" s="172">
        <f t="shared" si="69"/>
        <v>9.234</v>
      </c>
      <c r="K164" s="191">
        <f>IFERROR(J164/J169,"")</f>
        <v>0.25171736997055938</v>
      </c>
      <c r="L164" s="188"/>
      <c r="M164" s="191">
        <f t="shared" ref="M164:M170" si="71">IF(OR(J164=0,Q164=""),"",Q164/J164-1)</f>
        <v>0.41715399610136461</v>
      </c>
      <c r="N164" s="188"/>
      <c r="O164" s="172"/>
      <c r="P164" s="172">
        <f t="array" ref="P164">IFERROR(INDEX('Detail inputs'!$B$3:$K$196,MATCH($B164&amp;$G164&amp;P$5,'Detail inputs'!$B$3:$B$196&amp;'Detail inputs'!$G$3:$G$196&amp;'Detail inputs'!$H$3:$H$196,0),MATCH(P$4,'Detail inputs'!$B$3:$K$3,0)),0)</f>
        <v>7.27</v>
      </c>
      <c r="Q164" s="172">
        <f t="shared" si="70"/>
        <v>13.086</v>
      </c>
      <c r="R164" s="191">
        <f>IFERROR(Q164/Q169,"")</f>
        <v>0.39770240700218817</v>
      </c>
    </row>
    <row r="165" spans="1:18" s="20" customFormat="1" outlineLevel="1" x14ac:dyDescent="0.25">
      <c r="A165" s="3"/>
      <c r="B165" s="3" t="str">
        <f t="shared" si="66"/>
        <v>SAPN</v>
      </c>
      <c r="C165" s="3" t="str">
        <f t="shared" si="67"/>
        <v>Residential</v>
      </c>
      <c r="D165" s="3" t="str">
        <f t="shared" si="68"/>
        <v>with CL</v>
      </c>
      <c r="E165" s="3" t="s">
        <v>16</v>
      </c>
      <c r="F165" s="175">
        <f t="array" ref="F165">IFERROR(INDEX(Usage!$B$5:$P$18,MATCH($B165,Usage!$B$5:$B$18,0),MATCH($C165&amp;$D165&amp;$E165,Usage!$B$5:$S$5&amp;Usage!$B$6:$S$6&amp;Usage!$B$7:$S$7,0)),0)</f>
        <v>1800</v>
      </c>
      <c r="G165" s="3" t="s">
        <v>81</v>
      </c>
      <c r="H165" s="172"/>
      <c r="I165" s="172">
        <f t="array" ref="I165">IFERROR(INDEX('Detail inputs'!$B$3:$K$196,MATCH($B165&amp;$G165&amp;I$5,'Detail inputs'!$B$3:$B$196&amp;'Detail inputs'!$G$3:$G$196&amp;'Detail inputs'!$H$3:$H$196,0),MATCH(I$4,'Detail inputs'!$B$3:$K$3,0)),0)</f>
        <v>10.9</v>
      </c>
      <c r="J165" s="172">
        <f t="shared" si="69"/>
        <v>19.62</v>
      </c>
      <c r="K165" s="191">
        <f>IFERROR(J165/J169,"")</f>
        <v>0.53483807654563309</v>
      </c>
      <c r="L165" s="188"/>
      <c r="M165" s="191">
        <f t="shared" si="71"/>
        <v>-0.37064220183486241</v>
      </c>
      <c r="N165" s="188"/>
      <c r="O165" s="172"/>
      <c r="P165" s="172">
        <f t="array" ref="P165">IFERROR(INDEX('Detail inputs'!$B$3:$K$196,MATCH($B165&amp;$G165&amp;P$5,'Detail inputs'!$B$3:$B$196&amp;'Detail inputs'!$G$3:$G$196&amp;'Detail inputs'!$H$3:$H$196,0),MATCH(P$4,'Detail inputs'!$B$3:$K$3,0)),0)</f>
        <v>6.86</v>
      </c>
      <c r="Q165" s="172">
        <f t="shared" si="70"/>
        <v>12.348000000000001</v>
      </c>
      <c r="R165" s="191">
        <f>IFERROR(Q165/Q169,"")</f>
        <v>0.37527352297592997</v>
      </c>
    </row>
    <row r="166" spans="1:18" s="20" customFormat="1" outlineLevel="1" x14ac:dyDescent="0.25">
      <c r="A166" s="3"/>
      <c r="B166" s="3" t="str">
        <f t="shared" si="66"/>
        <v>SAPN</v>
      </c>
      <c r="C166" s="3" t="str">
        <f t="shared" si="67"/>
        <v>Residential</v>
      </c>
      <c r="D166" s="3" t="str">
        <f t="shared" si="68"/>
        <v>with CL</v>
      </c>
      <c r="E166" s="3" t="s">
        <v>16</v>
      </c>
      <c r="F166" s="175">
        <f t="array" ref="F166">IFERROR(INDEX(Usage!$B$5:$P$18,MATCH($B166,Usage!$B$5:$B$18,0),MATCH($C166&amp;$D166&amp;$E166,Usage!$B$5:$S$5&amp;Usage!$B$6:$S$6&amp;Usage!$B$7:$S$7,0)),0)</f>
        <v>1800</v>
      </c>
      <c r="G166" s="3" t="s">
        <v>86</v>
      </c>
      <c r="H166" s="172"/>
      <c r="I166" s="172">
        <f t="array" ref="I166">IFERROR(INDEX('Detail inputs'!$B$3:$K$196,MATCH($B166&amp;$G166&amp;I$5,'Detail inputs'!$B$3:$B$196&amp;'Detail inputs'!$G$3:$G$196&amp;'Detail inputs'!$H$3:$H$196,0),MATCH(I$4,'Detail inputs'!$B$3:$K$3,0)),0)</f>
        <v>0</v>
      </c>
      <c r="J166" s="172">
        <f t="shared" si="69"/>
        <v>0</v>
      </c>
      <c r="K166" s="191">
        <f>IFERROR(J166/J169,"")</f>
        <v>0</v>
      </c>
      <c r="L166" s="188"/>
      <c r="M166" s="191" t="str">
        <f t="shared" si="71"/>
        <v/>
      </c>
      <c r="N166" s="188"/>
      <c r="O166" s="172"/>
      <c r="P166" s="172">
        <f t="array" ref="P166">IFERROR(INDEX('Detail inputs'!$B$3:$K$196,MATCH($B166&amp;$G166&amp;P$5,'Detail inputs'!$B$3:$B$196&amp;'Detail inputs'!$G$3:$G$196&amp;'Detail inputs'!$H$3:$H$196,0),MATCH(P$4,'Detail inputs'!$B$3:$K$3,0)),0)</f>
        <v>0</v>
      </c>
      <c r="Q166" s="172">
        <f>IF(AND(O166="",P166=""),"",O166+P166*$F166/1000)</f>
        <v>0</v>
      </c>
      <c r="R166" s="191">
        <f>IFERROR(Q166/Q169,"")</f>
        <v>0</v>
      </c>
    </row>
    <row r="167" spans="1:18" s="20" customFormat="1" outlineLevel="1" x14ac:dyDescent="0.25">
      <c r="A167" s="3"/>
      <c r="B167" s="3" t="str">
        <f t="shared" si="66"/>
        <v>SAPN</v>
      </c>
      <c r="C167" s="3" t="str">
        <f t="shared" si="67"/>
        <v>Residential</v>
      </c>
      <c r="D167" s="3" t="str">
        <f t="shared" si="68"/>
        <v>with CL</v>
      </c>
      <c r="E167" s="3" t="s">
        <v>16</v>
      </c>
      <c r="F167" s="175">
        <f t="array" ref="F167">IFERROR(INDEX(Usage!$B$5:$P$18,MATCH($B167,Usage!$B$5:$B$18,0),MATCH($C167&amp;$D167&amp;$E167,Usage!$B$5:$S$5&amp;Usage!$B$6:$S$6&amp;Usage!$B$7:$S$7,0)),0)</f>
        <v>1800</v>
      </c>
      <c r="G167" s="3" t="s">
        <v>199</v>
      </c>
      <c r="H167" s="172"/>
      <c r="I167" s="172">
        <f t="array" ref="I167">IFERROR(INDEX('Detail inputs'!$B$3:$K$196,MATCH($B167&amp;$G167&amp;I$5,'Detail inputs'!$B$3:$B$196&amp;'Detail inputs'!$G$3:$G$196&amp;'Detail inputs'!$H$3:$H$196,0),MATCH(I$4,'Detail inputs'!$B$3:$K$3,0)),0)</f>
        <v>2.5</v>
      </c>
      <c r="J167" s="172">
        <f t="shared" ref="J167" si="72">IF(AND(H167="",I167=""),"",H167+I167*$F167/1000)</f>
        <v>4.5</v>
      </c>
      <c r="K167" s="191">
        <f>IFERROR(J167/J169,"")</f>
        <v>0.12266928361138371</v>
      </c>
      <c r="L167" s="188"/>
      <c r="M167" s="191">
        <f t="shared" ref="M167" si="73">IF(OR(J167=0,Q167=""),"",Q167/J167-1)</f>
        <v>0</v>
      </c>
      <c r="N167" s="188"/>
      <c r="O167" s="172"/>
      <c r="P167" s="172">
        <f t="array" ref="P167">IFERROR(INDEX('Detail inputs'!$B$3:$K$196,MATCH($B167&amp;$G167&amp;P$5,'Detail inputs'!$B$3:$B$196&amp;'Detail inputs'!$G$3:$G$196&amp;'Detail inputs'!$H$3:$H$196,0),MATCH(P$4,'Detail inputs'!$B$3:$K$3,0)),0)</f>
        <v>2.5</v>
      </c>
      <c r="Q167" s="172">
        <f t="shared" ref="Q167" si="74">IF(AND(O167="",P167=""),"",O167+P167*$F167/1000)</f>
        <v>4.5</v>
      </c>
      <c r="R167" s="191">
        <f>IFERROR(Q167/Q169,"")</f>
        <v>0.13676148796498905</v>
      </c>
    </row>
    <row r="168" spans="1:18" s="20" customFormat="1" outlineLevel="1" x14ac:dyDescent="0.25">
      <c r="A168" s="3"/>
      <c r="B168" s="3" t="str">
        <f t="shared" si="66"/>
        <v>SAPN</v>
      </c>
      <c r="C168" s="3" t="str">
        <f t="shared" si="67"/>
        <v>Residential</v>
      </c>
      <c r="D168" s="3" t="str">
        <f t="shared" si="68"/>
        <v>with CL</v>
      </c>
      <c r="E168" s="3" t="s">
        <v>16</v>
      </c>
      <c r="F168" s="175">
        <f t="array" ref="F168">IFERROR(INDEX(Usage!$B$5:$P$18,MATCH($B168,Usage!$B$5:$B$18,0),MATCH($C168&amp;$D168&amp;$E168,Usage!$B$5:$S$5&amp;Usage!$B$6:$S$6&amp;Usage!$B$7:$S$7,0)),0)</f>
        <v>1800</v>
      </c>
      <c r="G168" s="3" t="s">
        <v>79</v>
      </c>
      <c r="H168" s="172"/>
      <c r="I168" s="172" cm="1">
        <f t="array" ref="I168">ROUND(IFERROR(INDEX('Detail inputs'!$B$3:$K$196,MATCH($B168&amp;$C168&amp;$E168&amp;$G168&amp;I$5,'Detail inputs'!$B$3:$B$196&amp;'Detail inputs'!$D$3:$D$196&amp;'Detail inputs'!$F$3:$F$196&amp;'Detail inputs'!$G$3:$G$196&amp;'Detail inputs'!$H$3:$H$196,0),MATCH(I$4,'Detail inputs'!$B$3:$K$3,0)),0)*SUM(I164:I167),2)</f>
        <v>1.85</v>
      </c>
      <c r="J168" s="172">
        <f t="shared" si="69"/>
        <v>3.33</v>
      </c>
      <c r="K168" s="191">
        <f>IFERROR(J168/J169,"")</f>
        <v>9.0775269872423958E-2</v>
      </c>
      <c r="L168" s="188"/>
      <c r="M168" s="191">
        <f t="shared" si="71"/>
        <v>-0.10810810810810811</v>
      </c>
      <c r="N168" s="188"/>
      <c r="O168" s="172"/>
      <c r="P168" s="172" cm="1">
        <f t="array" ref="P168">ROUND(IFERROR(INDEX('Detail inputs'!$B$3:$K$196,MATCH($B168&amp;$C168&amp;$E168&amp;$G168&amp;P$5,'Detail inputs'!$B$3:$B$196&amp;'Detail inputs'!$D$3:$D$196&amp;'Detail inputs'!$F$3:$F$196&amp;'Detail inputs'!$G$3:$G$196&amp;'Detail inputs'!$H$3:$H$196,0),MATCH(P$4,'Detail inputs'!$B$3:$K$3,0)),0)*SUM(P164:P167),2)</f>
        <v>1.65</v>
      </c>
      <c r="Q168" s="172">
        <f t="shared" si="70"/>
        <v>2.97</v>
      </c>
      <c r="R168" s="191">
        <f>IFERROR(Q168/Q169,"")</f>
        <v>9.0262582056892776E-2</v>
      </c>
    </row>
    <row r="169" spans="1:18" s="20" customFormat="1" outlineLevel="1" x14ac:dyDescent="0.25">
      <c r="A169" s="3"/>
      <c r="B169" s="3" t="str">
        <f t="shared" si="66"/>
        <v>SAPN</v>
      </c>
      <c r="C169" s="3" t="str">
        <f t="shared" si="67"/>
        <v>Residential</v>
      </c>
      <c r="D169" s="3" t="str">
        <f t="shared" si="68"/>
        <v>with CL</v>
      </c>
      <c r="E169" s="3" t="s">
        <v>16</v>
      </c>
      <c r="F169" s="175">
        <f t="array" ref="F169">IFERROR(INDEX(Usage!$B$5:$P$18,MATCH($B169,Usage!$B$5:$B$18,0),MATCH($C169&amp;$D169&amp;$E169,Usage!$B$5:$S$5&amp;Usage!$B$6:$S$6&amp;Usage!$B$7:$S$7,0)),0)</f>
        <v>1800</v>
      </c>
      <c r="G169" s="3" t="s">
        <v>61</v>
      </c>
      <c r="H169" s="172"/>
      <c r="I169" s="172">
        <f t="array" ref="I169">INDEX('Key inputs'!$B$17:$N$41,MATCH($B169&amp;$C169&amp;$E169,'Key inputs'!$B$17:$B$41&amp;'Key inputs'!$C$17:$C$41&amp;'Key inputs'!$D$17:$D$41,0),MATCH($A$2&amp;I$4,'Key inputs'!$B$18:$N$18&amp;'Key inputs'!$B$19:$N$19,0))</f>
        <v>20.38</v>
      </c>
      <c r="J169" s="172">
        <f t="shared" si="69"/>
        <v>36.683999999999997</v>
      </c>
      <c r="K169" s="192"/>
      <c r="L169" s="197"/>
      <c r="M169" s="192">
        <f t="shared" si="71"/>
        <v>-0.1030421982335622</v>
      </c>
      <c r="N169" s="197"/>
      <c r="O169" s="172"/>
      <c r="P169" s="172">
        <f t="array" ref="P169">INDEX('Key inputs'!$B$17:$N$41,MATCH($B169&amp;$C169&amp;$E169,'Key inputs'!$B$17:$B$41&amp;'Key inputs'!$C$17:$C$41&amp;'Key inputs'!$D$17:$D$41,0),MATCH($A$2&amp;P$4,'Key inputs'!$B$18:$N$18&amp;'Key inputs'!$B$19:$N$19,0))</f>
        <v>18.28</v>
      </c>
      <c r="Q169" s="172">
        <f t="shared" si="70"/>
        <v>32.904000000000003</v>
      </c>
      <c r="R169" s="192"/>
    </row>
    <row r="170" spans="1:18" s="20" customFormat="1" x14ac:dyDescent="0.25">
      <c r="A170" s="3"/>
      <c r="B170" s="3" t="str">
        <f t="shared" si="66"/>
        <v>SAPN</v>
      </c>
      <c r="C170" s="3" t="str">
        <f t="shared" si="67"/>
        <v>Residential</v>
      </c>
      <c r="D170" s="3" t="str">
        <f t="shared" si="68"/>
        <v>with CL</v>
      </c>
      <c r="E170" s="3" t="s">
        <v>61</v>
      </c>
      <c r="F170" s="175">
        <f t="array" ref="F170">IFERROR(INDEX(Usage!$B$5:$P$18,MATCH($B170,Usage!$B$5:$B$18,0),MATCH($C170&amp;$D170&amp;$E170,Usage!$B$5:$S$5&amp;Usage!$B$6:$S$6&amp;Usage!$B$7:$S$7,0)),0)</f>
        <v>6000</v>
      </c>
      <c r="G170" s="3" t="s">
        <v>61</v>
      </c>
      <c r="H170" s="172"/>
      <c r="I170" s="172">
        <f>I163+I169</f>
        <v>40.76</v>
      </c>
      <c r="J170" s="172">
        <f>J163+J169</f>
        <v>122.28</v>
      </c>
      <c r="K170" s="192"/>
      <c r="L170" s="197"/>
      <c r="M170" s="192">
        <f t="shared" si="71"/>
        <v>-0.10304219823356231</v>
      </c>
      <c r="N170" s="197"/>
      <c r="O170" s="172"/>
      <c r="P170" s="172">
        <f>P163+P169</f>
        <v>36.56</v>
      </c>
      <c r="Q170" s="172">
        <f>Q163+Q169</f>
        <v>109.68</v>
      </c>
      <c r="R170" s="192"/>
    </row>
    <row r="171" spans="1:18" s="20" customFormat="1" outlineLevel="1" x14ac:dyDescent="0.25">
      <c r="A171" s="3"/>
      <c r="B171" s="3" t="str">
        <f t="shared" ref="B171:D172" si="75">B170</f>
        <v>SAPN</v>
      </c>
      <c r="C171" s="3" t="str">
        <f t="shared" si="75"/>
        <v>Residential</v>
      </c>
      <c r="D171" s="3" t="str">
        <f t="shared" si="75"/>
        <v>with CL</v>
      </c>
      <c r="E171" s="3"/>
      <c r="F171" s="175"/>
      <c r="G171" s="3" t="s">
        <v>41</v>
      </c>
      <c r="H171" s="172"/>
      <c r="I171" s="172"/>
      <c r="J171" s="172">
        <f>J170*GST</f>
        <v>12.228000000000002</v>
      </c>
      <c r="K171" s="192"/>
      <c r="L171" s="197"/>
      <c r="M171" s="192"/>
      <c r="N171" s="197"/>
      <c r="O171" s="172"/>
      <c r="P171" s="172"/>
      <c r="Q171" s="172">
        <f>Q170*GST</f>
        <v>10.968000000000002</v>
      </c>
      <c r="R171" s="192"/>
    </row>
    <row r="172" spans="1:18" s="20" customFormat="1" x14ac:dyDescent="0.25">
      <c r="A172" s="3"/>
      <c r="B172" s="3" t="str">
        <f t="shared" si="75"/>
        <v>SAPN</v>
      </c>
      <c r="C172" s="3" t="str">
        <f t="shared" si="75"/>
        <v>Residential</v>
      </c>
      <c r="D172" s="3" t="str">
        <f t="shared" si="75"/>
        <v>with CL</v>
      </c>
      <c r="E172" s="3"/>
      <c r="F172" s="175"/>
      <c r="G172" s="5" t="s">
        <v>87</v>
      </c>
      <c r="H172" s="174"/>
      <c r="I172" s="174"/>
      <c r="J172" s="174">
        <f>SUM(J170:J171)</f>
        <v>134.50800000000001</v>
      </c>
      <c r="K172" s="193"/>
      <c r="L172" s="198"/>
      <c r="M172" s="193">
        <f>IF(OR(J172=0,Q172=""),"",Q172/J172-1)</f>
        <v>-0.10304219823356231</v>
      </c>
      <c r="N172" s="198"/>
      <c r="O172" s="174"/>
      <c r="P172" s="174"/>
      <c r="Q172" s="174">
        <f>SUM(Q170:Q171)</f>
        <v>120.64800000000001</v>
      </c>
      <c r="R172" s="192"/>
    </row>
    <row r="173" spans="1:18" s="20" customFormat="1" x14ac:dyDescent="0.25">
      <c r="A173" s="3"/>
      <c r="B173" s="3"/>
      <c r="C173" s="3"/>
      <c r="D173" s="3"/>
      <c r="E173" s="3"/>
      <c r="F173" s="175"/>
      <c r="G173" s="3"/>
      <c r="H173" s="172"/>
      <c r="I173" s="172"/>
      <c r="J173" s="172"/>
      <c r="K173" s="192"/>
      <c r="L173" s="197"/>
      <c r="M173" s="191"/>
      <c r="N173" s="197"/>
      <c r="O173" s="172"/>
      <c r="P173" s="172"/>
      <c r="Q173" s="172"/>
      <c r="R173" s="192"/>
    </row>
    <row r="174" spans="1:18" s="20" customFormat="1" x14ac:dyDescent="0.25">
      <c r="A174" s="3"/>
      <c r="B174" s="5" t="s">
        <v>5</v>
      </c>
      <c r="C174" s="5" t="s">
        <v>15</v>
      </c>
      <c r="D174" s="5" t="s">
        <v>146</v>
      </c>
      <c r="E174" s="3"/>
      <c r="F174" s="175"/>
      <c r="G174" s="3"/>
      <c r="H174" s="172"/>
      <c r="I174" s="172"/>
      <c r="J174" s="172"/>
      <c r="K174" s="192"/>
      <c r="L174" s="197"/>
      <c r="M174" s="191"/>
      <c r="N174" s="197"/>
      <c r="O174" s="172"/>
      <c r="P174" s="172"/>
      <c r="Q174" s="172"/>
      <c r="R174" s="192"/>
    </row>
    <row r="175" spans="1:18" s="20" customFormat="1" outlineLevel="1" x14ac:dyDescent="0.25">
      <c r="A175" s="3"/>
      <c r="B175" s="3" t="str">
        <f t="shared" ref="B175:D182" si="76">B174</f>
        <v>SAPN</v>
      </c>
      <c r="C175" s="3" t="str">
        <f t="shared" si="76"/>
        <v>Small business</v>
      </c>
      <c r="D175" s="3" t="str">
        <f t="shared" si="76"/>
        <v>without CL</v>
      </c>
      <c r="E175" s="3" t="s">
        <v>22</v>
      </c>
      <c r="F175" s="175">
        <f t="array" ref="F175">IFERROR(INDEX(Usage!$B$5:$P$18,MATCH($B175,Usage!$B$5:$B$18,0),MATCH($C175&amp;$D175&amp;$E175,Usage!$B$5:$S$5&amp;Usage!$B$6:$S$6&amp;Usage!$B$7:$S$7,0)),0)</f>
        <v>10000</v>
      </c>
      <c r="G175" s="3" t="s">
        <v>80</v>
      </c>
      <c r="H175" s="172"/>
      <c r="I175" s="172">
        <f t="array" ref="I175">IFERROR(INDEX('Detail inputs'!$B$3:$K$196,MATCH($B175&amp;$G175&amp;I$5,'Detail inputs'!$B$3:$B$196&amp;'Detail inputs'!$G$3:$G$196&amp;'Detail inputs'!$H$3:$H$196,0),MATCH(I$4,'Detail inputs'!$B$3:$K$3,0)),0)</f>
        <v>5.13</v>
      </c>
      <c r="J175" s="172">
        <f t="shared" ref="J175:J180" si="77">IF(AND(H175="",I175=""),"",H175+I175*$F175/1000)</f>
        <v>51.3</v>
      </c>
      <c r="K175" s="191">
        <f>IFERROR(J175/J180,"")</f>
        <v>0.25171736997055932</v>
      </c>
      <c r="L175" s="188"/>
      <c r="M175" s="191">
        <f t="shared" ref="M175:M180" si="78">IF(OR(J175=0,Q175=""),"",Q175/J175-1)</f>
        <v>0.41715399610136461</v>
      </c>
      <c r="N175" s="188"/>
      <c r="O175" s="172"/>
      <c r="P175" s="172">
        <f t="array" ref="P175">IFERROR(INDEX('Detail inputs'!$B$3:$K$196,MATCH($B175&amp;$G175&amp;P$5,'Detail inputs'!$B$3:$B$196&amp;'Detail inputs'!$G$3:$G$196&amp;'Detail inputs'!$H$3:$H$196,0),MATCH(P$4,'Detail inputs'!$B$3:$K$3,0)),0)</f>
        <v>7.27</v>
      </c>
      <c r="Q175" s="172">
        <f t="shared" ref="Q175:Q180" si="79">IF(AND(O175="",P175=""),"",O175+P175*$F175/1000)</f>
        <v>72.7</v>
      </c>
      <c r="R175" s="191">
        <f>IFERROR(Q175/Q180,"")</f>
        <v>0.39770240700218817</v>
      </c>
    </row>
    <row r="176" spans="1:18" s="20" customFormat="1" outlineLevel="1" x14ac:dyDescent="0.25">
      <c r="A176" s="3"/>
      <c r="B176" s="3" t="str">
        <f t="shared" si="76"/>
        <v>SAPN</v>
      </c>
      <c r="C176" s="3" t="str">
        <f t="shared" si="76"/>
        <v>Small business</v>
      </c>
      <c r="D176" s="3" t="str">
        <f t="shared" si="76"/>
        <v>without CL</v>
      </c>
      <c r="E176" s="3" t="s">
        <v>22</v>
      </c>
      <c r="F176" s="175">
        <f t="array" ref="F176">IFERROR(INDEX(Usage!$B$5:$P$18,MATCH($B176,Usage!$B$5:$B$18,0),MATCH($C176&amp;$D176&amp;$E176,Usage!$B$5:$S$5&amp;Usage!$B$6:$S$6&amp;Usage!$B$7:$S$7,0)),0)</f>
        <v>10000</v>
      </c>
      <c r="G176" s="3" t="s">
        <v>81</v>
      </c>
      <c r="H176" s="172"/>
      <c r="I176" s="172">
        <f t="array" ref="I176">IFERROR(INDEX('Detail inputs'!$B$3:$K$196,MATCH($B176&amp;$G176&amp;I$5,'Detail inputs'!$B$3:$B$196&amp;'Detail inputs'!$G$3:$G$196&amp;'Detail inputs'!$H$3:$H$196,0),MATCH(I$4,'Detail inputs'!$B$3:$K$3,0)),0)</f>
        <v>10.9</v>
      </c>
      <c r="J176" s="172">
        <f t="shared" si="77"/>
        <v>109</v>
      </c>
      <c r="K176" s="191">
        <f>IFERROR(J176/J180,"")</f>
        <v>0.53483807654563298</v>
      </c>
      <c r="L176" s="188"/>
      <c r="M176" s="191">
        <f t="shared" si="78"/>
        <v>-0.37064220183486241</v>
      </c>
      <c r="N176" s="188"/>
      <c r="O176" s="172"/>
      <c r="P176" s="172">
        <f t="array" ref="P176">IFERROR(INDEX('Detail inputs'!$B$3:$K$196,MATCH($B176&amp;$G176&amp;P$5,'Detail inputs'!$B$3:$B$196&amp;'Detail inputs'!$G$3:$G$196&amp;'Detail inputs'!$H$3:$H$196,0),MATCH(P$4,'Detail inputs'!$B$3:$K$3,0)),0)</f>
        <v>6.86</v>
      </c>
      <c r="Q176" s="172">
        <f t="shared" si="79"/>
        <v>68.599999999999994</v>
      </c>
      <c r="R176" s="191">
        <f>IFERROR(Q176/Q180,"")</f>
        <v>0.37527352297592992</v>
      </c>
    </row>
    <row r="177" spans="1:18" s="20" customFormat="1" outlineLevel="1" x14ac:dyDescent="0.25">
      <c r="A177" s="3"/>
      <c r="B177" s="3" t="str">
        <f t="shared" si="76"/>
        <v>SAPN</v>
      </c>
      <c r="C177" s="3" t="str">
        <f t="shared" si="76"/>
        <v>Small business</v>
      </c>
      <c r="D177" s="3" t="str">
        <f t="shared" si="76"/>
        <v>without CL</v>
      </c>
      <c r="E177" s="3" t="s">
        <v>22</v>
      </c>
      <c r="F177" s="175">
        <f t="array" ref="F177">IFERROR(INDEX(Usage!$B$5:$P$18,MATCH($B177,Usage!$B$5:$B$18,0),MATCH($C177&amp;$D177&amp;$E177,Usage!$B$5:$S$5&amp;Usage!$B$6:$S$6&amp;Usage!$B$7:$S$7,0)),0)</f>
        <v>10000</v>
      </c>
      <c r="G177" s="3" t="s">
        <v>86</v>
      </c>
      <c r="H177" s="172"/>
      <c r="I177" s="172">
        <f t="array" ref="I177">IFERROR(INDEX('Detail inputs'!$B$3:$K$196,MATCH($B177&amp;$G177&amp;I$5,'Detail inputs'!$B$3:$B$196&amp;'Detail inputs'!$G$3:$G$196&amp;'Detail inputs'!$H$3:$H$196,0),MATCH(I$4,'Detail inputs'!$B$3:$K$3,0)),0)</f>
        <v>0</v>
      </c>
      <c r="J177" s="172">
        <f t="shared" si="77"/>
        <v>0</v>
      </c>
      <c r="K177" s="191">
        <f>IFERROR(J177/J180,"")</f>
        <v>0</v>
      </c>
      <c r="L177" s="188"/>
      <c r="M177" s="191" t="str">
        <f t="shared" si="78"/>
        <v/>
      </c>
      <c r="N177" s="188"/>
      <c r="O177" s="172"/>
      <c r="P177" s="172">
        <f t="array" ref="P177">IFERROR(INDEX('Detail inputs'!$B$3:$K$196,MATCH($B177&amp;$G177&amp;P$5,'Detail inputs'!$B$3:$B$196&amp;'Detail inputs'!$G$3:$G$196&amp;'Detail inputs'!$H$3:$H$196,0),MATCH(P$4,'Detail inputs'!$B$3:$K$3,0)),0)</f>
        <v>0</v>
      </c>
      <c r="Q177" s="172">
        <f t="shared" si="79"/>
        <v>0</v>
      </c>
      <c r="R177" s="191">
        <f>IFERROR(Q177/Q180,"")</f>
        <v>0</v>
      </c>
    </row>
    <row r="178" spans="1:18" s="20" customFormat="1" outlineLevel="1" x14ac:dyDescent="0.25">
      <c r="A178" s="3"/>
      <c r="B178" s="3" t="str">
        <f t="shared" si="76"/>
        <v>SAPN</v>
      </c>
      <c r="C178" s="3" t="str">
        <f t="shared" si="76"/>
        <v>Small business</v>
      </c>
      <c r="D178" s="3" t="str">
        <f t="shared" si="76"/>
        <v>without CL</v>
      </c>
      <c r="E178" s="3" t="s">
        <v>22</v>
      </c>
      <c r="F178" s="175">
        <f t="array" ref="F178">IFERROR(INDEX(Usage!$B$5:$P$18,MATCH($B178,Usage!$B$5:$B$18,0),MATCH($C178&amp;$D178&amp;$E178,Usage!$B$5:$S$5&amp;Usage!$B$6:$S$6&amp;Usage!$B$7:$S$7,0)),0)</f>
        <v>10000</v>
      </c>
      <c r="G178" s="3" t="s">
        <v>199</v>
      </c>
      <c r="H178" s="172"/>
      <c r="I178" s="172">
        <f t="array" ref="I178">IFERROR(INDEX('Detail inputs'!$B$3:$K$196,MATCH($B178&amp;$G178&amp;I$5,'Detail inputs'!$B$3:$B$196&amp;'Detail inputs'!$G$3:$G$196&amp;'Detail inputs'!$H$3:$H$196,0),MATCH(I$4,'Detail inputs'!$B$3:$K$3,0)),0)</f>
        <v>2.5</v>
      </c>
      <c r="J178" s="172">
        <f t="shared" si="77"/>
        <v>25</v>
      </c>
      <c r="K178" s="191">
        <f>IFERROR(J178/J180,"")</f>
        <v>0.1226692836113837</v>
      </c>
      <c r="L178" s="188"/>
      <c r="M178" s="191">
        <f t="shared" si="78"/>
        <v>0</v>
      </c>
      <c r="N178" s="188"/>
      <c r="O178" s="172"/>
      <c r="P178" s="172">
        <f t="array" ref="P178">IFERROR(INDEX('Detail inputs'!$B$3:$K$196,MATCH($B178&amp;$G178&amp;P$5,'Detail inputs'!$B$3:$B$196&amp;'Detail inputs'!$G$3:$G$196&amp;'Detail inputs'!$H$3:$H$196,0),MATCH(P$4,'Detail inputs'!$B$3:$K$3,0)),0)</f>
        <v>2.5</v>
      </c>
      <c r="Q178" s="172">
        <f t="shared" si="79"/>
        <v>25</v>
      </c>
      <c r="R178" s="191">
        <f>IFERROR(Q178/Q180,"")</f>
        <v>0.13676148796498905</v>
      </c>
    </row>
    <row r="179" spans="1:18" s="20" customFormat="1" outlineLevel="1" x14ac:dyDescent="0.25">
      <c r="A179" s="3"/>
      <c r="B179" s="3" t="str">
        <f t="shared" si="76"/>
        <v>SAPN</v>
      </c>
      <c r="C179" s="3" t="str">
        <f t="shared" si="76"/>
        <v>Small business</v>
      </c>
      <c r="D179" s="3" t="str">
        <f t="shared" si="76"/>
        <v>without CL</v>
      </c>
      <c r="E179" s="3" t="s">
        <v>22</v>
      </c>
      <c r="F179" s="175">
        <f t="array" ref="F179">IFERROR(INDEX(Usage!$B$5:$P$18,MATCH($B179,Usage!$B$5:$B$18,0),MATCH($C179&amp;$D179&amp;$E179,Usage!$B$5:$S$5&amp;Usage!$B$6:$S$6&amp;Usage!$B$7:$S$7,0)),0)</f>
        <v>10000</v>
      </c>
      <c r="G179" s="3" t="s">
        <v>79</v>
      </c>
      <c r="H179" s="172"/>
      <c r="I179" s="172" cm="1">
        <f t="array" ref="I179">ROUND(IFERROR(INDEX('Detail inputs'!$B$3:$K$196,MATCH($B179&amp;$C179&amp;$E179&amp;$G179&amp;I$5,'Detail inputs'!$B$3:$B$196&amp;'Detail inputs'!$D$3:$D$196&amp;'Detail inputs'!$F$3:$F$196&amp;'Detail inputs'!$G$3:$G$196&amp;'Detail inputs'!$H$3:$H$196,0),MATCH(I$4,'Detail inputs'!$B$3:$K$3,0)),0)*SUM(I175:I178),2)</f>
        <v>1.85</v>
      </c>
      <c r="J179" s="172">
        <f t="shared" si="77"/>
        <v>18.5</v>
      </c>
      <c r="K179" s="191">
        <f>IFERROR(J179/J180,"")</f>
        <v>9.0775269872423944E-2</v>
      </c>
      <c r="L179" s="188"/>
      <c r="M179" s="191">
        <f t="shared" si="78"/>
        <v>-0.10810810810810811</v>
      </c>
      <c r="N179" s="188"/>
      <c r="O179" s="172"/>
      <c r="P179" s="172" cm="1">
        <f t="array" ref="P179">ROUND(IFERROR(INDEX('Detail inputs'!$B$3:$K$196,MATCH($B179&amp;$C179&amp;$E179&amp;$G179&amp;P$5,'Detail inputs'!$B$3:$B$196&amp;'Detail inputs'!$D$3:$D$196&amp;'Detail inputs'!$F$3:$F$196&amp;'Detail inputs'!$G$3:$G$196&amp;'Detail inputs'!$H$3:$H$196,0),MATCH(P$4,'Detail inputs'!$B$3:$K$3,0)),0)*SUM(P175:P178),2)</f>
        <v>1.65</v>
      </c>
      <c r="Q179" s="172">
        <f t="shared" si="79"/>
        <v>16.5</v>
      </c>
      <c r="R179" s="191">
        <f>IFERROR(Q179/Q180,"")</f>
        <v>9.0262582056892776E-2</v>
      </c>
    </row>
    <row r="180" spans="1:18" s="20" customFormat="1" x14ac:dyDescent="0.25">
      <c r="A180" s="3"/>
      <c r="B180" s="3" t="str">
        <f t="shared" si="76"/>
        <v>SAPN</v>
      </c>
      <c r="C180" s="3" t="str">
        <f t="shared" si="76"/>
        <v>Small business</v>
      </c>
      <c r="D180" s="3" t="str">
        <f t="shared" si="76"/>
        <v>without CL</v>
      </c>
      <c r="E180" s="3" t="s">
        <v>22</v>
      </c>
      <c r="F180" s="175">
        <f t="array" ref="F180">IFERROR(INDEX(Usage!$B$5:$P$18,MATCH($B180,Usage!$B$5:$B$18,0),MATCH($C180&amp;$D180&amp;$E180,Usage!$B$5:$S$5&amp;Usage!$B$6:$S$6&amp;Usage!$B$7:$S$7,0)),0)</f>
        <v>10000</v>
      </c>
      <c r="G180" s="3" t="s">
        <v>61</v>
      </c>
      <c r="H180" s="172"/>
      <c r="I180" s="172">
        <f t="array" ref="I180">INDEX('Key inputs'!$B$17:$N$41,MATCH($B180&amp;$C180&amp;$E180,'Key inputs'!$B$17:$B$41&amp;'Key inputs'!$C$17:$C$41&amp;'Key inputs'!$D$17:$D$41,0),MATCH($A$2&amp;I$4,'Key inputs'!$B$18:$N$18&amp;'Key inputs'!$B$19:$N$19,0))</f>
        <v>20.38</v>
      </c>
      <c r="J180" s="172">
        <f t="shared" si="77"/>
        <v>203.8</v>
      </c>
      <c r="K180" s="192"/>
      <c r="L180" s="197"/>
      <c r="M180" s="192">
        <f t="shared" si="78"/>
        <v>-0.10304219823356231</v>
      </c>
      <c r="N180" s="197"/>
      <c r="O180" s="172"/>
      <c r="P180" s="172">
        <f t="array" ref="P180">INDEX('Key inputs'!$B$17:$N$41,MATCH($B180&amp;$C180&amp;$E180,'Key inputs'!$B$17:$B$41&amp;'Key inputs'!$C$17:$C$41&amp;'Key inputs'!$D$17:$D$41,0),MATCH($A$2&amp;P$4,'Key inputs'!$B$18:$N$18&amp;'Key inputs'!$B$19:$N$19,0))</f>
        <v>18.28</v>
      </c>
      <c r="Q180" s="172">
        <f t="shared" si="79"/>
        <v>182.8</v>
      </c>
      <c r="R180" s="191"/>
    </row>
    <row r="181" spans="1:18" s="20" customFormat="1" outlineLevel="1" x14ac:dyDescent="0.25">
      <c r="A181" s="3"/>
      <c r="B181" s="3" t="str">
        <f t="shared" si="76"/>
        <v>SAPN</v>
      </c>
      <c r="C181" s="3" t="str">
        <f t="shared" si="76"/>
        <v>Small business</v>
      </c>
      <c r="D181" s="3" t="str">
        <f t="shared" si="76"/>
        <v>without CL</v>
      </c>
      <c r="E181" s="3"/>
      <c r="F181" s="197"/>
      <c r="G181" s="3" t="s">
        <v>41</v>
      </c>
      <c r="H181" s="172"/>
      <c r="I181" s="172"/>
      <c r="J181" s="172">
        <f>J180*GST</f>
        <v>20.380000000000003</v>
      </c>
      <c r="K181" s="192"/>
      <c r="L181" s="197"/>
      <c r="M181" s="192"/>
      <c r="N181" s="197"/>
      <c r="O181" s="172"/>
      <c r="P181" s="172"/>
      <c r="Q181" s="172">
        <f>Q180*GST</f>
        <v>18.28</v>
      </c>
      <c r="R181" s="191" t="str">
        <f>IFERROR(Q181/Q191,"")</f>
        <v/>
      </c>
    </row>
    <row r="182" spans="1:18" s="20" customFormat="1" x14ac:dyDescent="0.25">
      <c r="A182" s="3"/>
      <c r="B182" s="3" t="str">
        <f t="shared" si="76"/>
        <v>SAPN</v>
      </c>
      <c r="C182" s="3" t="str">
        <f t="shared" si="76"/>
        <v>Small business</v>
      </c>
      <c r="D182" s="3" t="str">
        <f t="shared" si="76"/>
        <v>without CL</v>
      </c>
      <c r="E182" s="3"/>
      <c r="F182" s="197"/>
      <c r="G182" s="5" t="s">
        <v>87</v>
      </c>
      <c r="H182" s="174"/>
      <c r="I182" s="174"/>
      <c r="J182" s="174">
        <f>SUM(J180:J181)</f>
        <v>224.18</v>
      </c>
      <c r="K182" s="193"/>
      <c r="L182" s="198"/>
      <c r="M182" s="193">
        <f>IF(OR(J182=0,Q182=""),"",Q182/J182-1)</f>
        <v>-0.10304219823356231</v>
      </c>
      <c r="N182" s="198"/>
      <c r="O182" s="174"/>
      <c r="P182" s="174"/>
      <c r="Q182" s="174">
        <f>SUM(Q180:Q181)</f>
        <v>201.08</v>
      </c>
      <c r="R182" s="191" t="str">
        <f>IFERROR(Q182/Q191,"")</f>
        <v/>
      </c>
    </row>
    <row r="183" spans="1:18" s="20" customForma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 t="str">
        <f>IFERROR(J183/J191,"")</f>
        <v/>
      </c>
      <c r="L183" s="3"/>
      <c r="M183" s="3"/>
      <c r="N183" s="3"/>
      <c r="O183" s="3"/>
      <c r="P183" s="3"/>
      <c r="Q183" s="3"/>
      <c r="R183" s="3" t="str">
        <f>IFERROR(Q183/Q191,"")</f>
        <v/>
      </c>
    </row>
    <row r="184" spans="1:18" s="20" customForma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 t="str">
        <f>IFERROR(J184/J191,"")</f>
        <v/>
      </c>
      <c r="L184" s="3"/>
      <c r="M184" s="3"/>
      <c r="N184" s="3"/>
      <c r="O184" s="3"/>
      <c r="P184" s="3"/>
      <c r="Q184" s="3"/>
      <c r="R184" s="3" t="str">
        <f>IFERROR(Q184/Q191,"")</f>
        <v/>
      </c>
    </row>
    <row r="185" spans="1:18" s="20" customForma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 t="str">
        <f>IFERROR(J185/J191,"")</f>
        <v/>
      </c>
      <c r="L185" s="3"/>
      <c r="M185" s="3"/>
      <c r="N185" s="3"/>
      <c r="O185" s="3"/>
      <c r="P185" s="3"/>
      <c r="Q185" s="3"/>
      <c r="R185" s="3" t="str">
        <f>IFERROR(Q185/Q191,"")</f>
        <v/>
      </c>
    </row>
    <row r="186" spans="1:18" s="20" customForma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 t="str">
        <f>IFERROR(J186/J191,"")</f>
        <v/>
      </c>
      <c r="L186" s="3"/>
      <c r="M186" s="3"/>
      <c r="N186" s="3"/>
      <c r="O186" s="3"/>
      <c r="P186" s="3"/>
      <c r="Q186" s="3"/>
      <c r="R186" s="3" t="str">
        <f>IFERROR(Q186/Q191,"")</f>
        <v/>
      </c>
    </row>
    <row r="187" spans="1:18" s="20" customForma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 t="str">
        <f>IFERROR(J187/J191,"")</f>
        <v/>
      </c>
      <c r="L187" s="3"/>
      <c r="M187" s="3"/>
      <c r="N187" s="3"/>
      <c r="O187" s="3"/>
      <c r="P187" s="3"/>
      <c r="Q187" s="3"/>
      <c r="R187" s="3" t="str">
        <f>IFERROR(Q187/Q191,"")</f>
        <v/>
      </c>
    </row>
    <row r="188" spans="1:18" s="20" customForma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 t="str">
        <f>IFERROR(J188/J191,"")</f>
        <v/>
      </c>
      <c r="L188" s="3"/>
      <c r="M188" s="3"/>
      <c r="N188" s="3"/>
      <c r="O188" s="3"/>
      <c r="P188" s="3"/>
      <c r="Q188" s="3"/>
      <c r="R188" s="3" t="str">
        <f>IFERROR(Q188/Q191,"")</f>
        <v/>
      </c>
    </row>
    <row r="189" spans="1:18" s="20" customForma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 t="str">
        <f>IFERROR(J189/J191,"")</f>
        <v/>
      </c>
      <c r="L189" s="3"/>
      <c r="M189" s="3"/>
      <c r="N189" s="3"/>
      <c r="O189" s="3"/>
      <c r="P189" s="3"/>
      <c r="Q189" s="3"/>
      <c r="R189" s="3" t="str">
        <f>IFERROR(Q189/Q191,"")</f>
        <v/>
      </c>
    </row>
    <row r="190" spans="1:18" s="20" customForma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 t="str">
        <f>IFERROR(J190/J191,"")</f>
        <v/>
      </c>
      <c r="L190" s="3"/>
      <c r="M190" s="3"/>
      <c r="N190" s="3"/>
      <c r="O190" s="3"/>
      <c r="P190" s="3"/>
      <c r="Q190" s="3"/>
      <c r="R190" s="3" t="str">
        <f>IFERROR(Q190/Q191,"")</f>
        <v/>
      </c>
    </row>
    <row r="191" spans="1:18" s="20" customForma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5">
      <c r="F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</sheetData>
  <mergeCells count="3">
    <mergeCell ref="H3:K3"/>
    <mergeCell ref="O3:R3"/>
    <mergeCell ref="A1:B1"/>
  </mergeCells>
  <conditionalFormatting sqref="B7:R11 B15:R22 B14:H14 J14:O14 Q14:R14 B26:R28 B25:H25 Q25:R25 B32:R39 B31:H31 Q31:R31 J25:O25 J31:O31 B43:R46 B42:H42 J42:O42 Q42:R42 B52:H60 B63:H66 B69:H77 B83:R84 B90:H98 B101:H104 B107:H115 B121:R125 B127:R134 B126:H126 Q126:R126 J126:O126 B136:R138 B135:H135 J135:O135 B139:H139 J139:O139 Q135:R135 Q139:R139 B149:R155 B148:H148 Q148:R148 J148:O148 B159:R166 B158:H158 J158:O158 Q158:R158 B170:R177 B169:H169 Q169:R169 J169:O169 B181:R182 B180:H180 J180:O180 Q180:R180 E13:R13 E24:R24 E30:R30 E41:R41 E51:H51 E62:H62 E68:H68 E79:H79 E89:H89 E100:H100 E106:H106 E117:H117 E157:R157 B215:R215 B80:H82 B47:H49 B118:H120 B85:H87 B140:R147 E168:R168 E179:R179">
    <cfRule type="expression" dxfId="610" priority="374">
      <formula>MOD(ROW(),2)=0</formula>
    </cfRule>
  </conditionalFormatting>
  <conditionalFormatting sqref="B7:D11 B14:D22 B25:D28 B31:D39 B42:D49 B52:D60 B63:D66 B69:D77 B80:D87 B90:D98 B101:D104 B107:D115 B118:D155 B158:D166 B169:D177 B180:D182 B215:D215">
    <cfRule type="expression" dxfId="609" priority="441">
      <formula>AND(B7=B6,MOD(ROW(),2)=1)</formula>
    </cfRule>
    <cfRule type="expression" dxfId="608" priority="442">
      <formula>AND(B7=B6,MOD(ROW(),2)=0)</formula>
    </cfRule>
  </conditionalFormatting>
  <conditionalFormatting sqref="P180">
    <cfRule type="expression" dxfId="607" priority="261">
      <formula>MOD(ROW(),2)=0</formula>
    </cfRule>
  </conditionalFormatting>
  <conditionalFormatting sqref="I14">
    <cfRule type="expression" dxfId="606" priority="298">
      <formula>MOD(ROW(),2)=0</formula>
    </cfRule>
  </conditionalFormatting>
  <conditionalFormatting sqref="P14">
    <cfRule type="expression" dxfId="605" priority="297">
      <formula>MOD(ROW(),2)=0</formula>
    </cfRule>
  </conditionalFormatting>
  <conditionalFormatting sqref="P25">
    <cfRule type="expression" dxfId="604" priority="296">
      <formula>MOD(ROW(),2)=0</formula>
    </cfRule>
  </conditionalFormatting>
  <conditionalFormatting sqref="P31">
    <cfRule type="expression" dxfId="603" priority="295">
      <formula>MOD(ROW(),2)=0</formula>
    </cfRule>
  </conditionalFormatting>
  <conditionalFormatting sqref="I25">
    <cfRule type="expression" dxfId="602" priority="294">
      <formula>MOD(ROW(),2)=0</formula>
    </cfRule>
  </conditionalFormatting>
  <conditionalFormatting sqref="I31">
    <cfRule type="expression" dxfId="601" priority="293">
      <formula>MOD(ROW(),2)=0</formula>
    </cfRule>
  </conditionalFormatting>
  <conditionalFormatting sqref="I42">
    <cfRule type="expression" dxfId="600" priority="292">
      <formula>MOD(ROW(),2)=0</formula>
    </cfRule>
  </conditionalFormatting>
  <conditionalFormatting sqref="P42">
    <cfRule type="expression" dxfId="599" priority="291">
      <formula>MOD(ROW(),2)=0</formula>
    </cfRule>
  </conditionalFormatting>
  <conditionalFormatting sqref="P126">
    <cfRule type="expression" dxfId="598" priority="274">
      <formula>MOD(ROW(),2)=0</formula>
    </cfRule>
  </conditionalFormatting>
  <conditionalFormatting sqref="I126">
    <cfRule type="expression" dxfId="597" priority="273">
      <formula>MOD(ROW(),2)=0</formula>
    </cfRule>
  </conditionalFormatting>
  <conditionalFormatting sqref="I135">
    <cfRule type="expression" dxfId="596" priority="272">
      <formula>MOD(ROW(),2)=0</formula>
    </cfRule>
  </conditionalFormatting>
  <conditionalFormatting sqref="I139">
    <cfRule type="expression" dxfId="595" priority="271">
      <formula>MOD(ROW(),2)=0</formula>
    </cfRule>
  </conditionalFormatting>
  <conditionalFormatting sqref="P135">
    <cfRule type="expression" dxfId="594" priority="270">
      <formula>MOD(ROW(),2)=0</formula>
    </cfRule>
  </conditionalFormatting>
  <conditionalFormatting sqref="P139">
    <cfRule type="expression" dxfId="593" priority="269">
      <formula>MOD(ROW(),2)=0</formula>
    </cfRule>
  </conditionalFormatting>
  <conditionalFormatting sqref="P148">
    <cfRule type="expression" dxfId="592" priority="268">
      <formula>MOD(ROW(),2)=0</formula>
    </cfRule>
  </conditionalFormatting>
  <conditionalFormatting sqref="I148">
    <cfRule type="expression" dxfId="591" priority="267">
      <formula>MOD(ROW(),2)=0</formula>
    </cfRule>
  </conditionalFormatting>
  <conditionalFormatting sqref="I158">
    <cfRule type="expression" dxfId="590" priority="266">
      <formula>MOD(ROW(),2)=0</formula>
    </cfRule>
  </conditionalFormatting>
  <conditionalFormatting sqref="P158">
    <cfRule type="expression" dxfId="589" priority="265">
      <formula>MOD(ROW(),2)=0</formula>
    </cfRule>
  </conditionalFormatting>
  <conditionalFormatting sqref="P169">
    <cfRule type="expression" dxfId="588" priority="264">
      <formula>MOD(ROW(),2)=0</formula>
    </cfRule>
  </conditionalFormatting>
  <conditionalFormatting sqref="I169">
    <cfRule type="expression" dxfId="587" priority="263">
      <formula>MOD(ROW(),2)=0</formula>
    </cfRule>
  </conditionalFormatting>
  <conditionalFormatting sqref="I180">
    <cfRule type="expression" dxfId="586" priority="262">
      <formula>MOD(ROW(),2)=0</formula>
    </cfRule>
  </conditionalFormatting>
  <conditionalFormatting sqref="B12:R12 B13:D13">
    <cfRule type="expression" dxfId="585" priority="256">
      <formula>MOD(ROW(),2)=0</formula>
    </cfRule>
  </conditionalFormatting>
  <conditionalFormatting sqref="B12:D13">
    <cfRule type="expression" dxfId="584" priority="259">
      <formula>AND(B12=B11,MOD(ROW(),2)=1)</formula>
    </cfRule>
    <cfRule type="expression" dxfId="583" priority="260">
      <formula>AND(B12=B11,MOD(ROW(),2)=0)</formula>
    </cfRule>
  </conditionalFormatting>
  <conditionalFormatting sqref="B23:R23 B24:D24">
    <cfRule type="expression" dxfId="582" priority="251">
      <formula>MOD(ROW(),2)=0</formula>
    </cfRule>
  </conditionalFormatting>
  <conditionalFormatting sqref="B23:D24">
    <cfRule type="expression" dxfId="581" priority="254">
      <formula>AND(B23=B22,MOD(ROW(),2)=1)</formula>
    </cfRule>
    <cfRule type="expression" dxfId="580" priority="255">
      <formula>AND(B23=B22,MOD(ROW(),2)=0)</formula>
    </cfRule>
  </conditionalFormatting>
  <conditionalFormatting sqref="B29:R29 B30:D30">
    <cfRule type="expression" dxfId="579" priority="246">
      <formula>MOD(ROW(),2)=0</formula>
    </cfRule>
  </conditionalFormatting>
  <conditionalFormatting sqref="B29:D30">
    <cfRule type="expression" dxfId="578" priority="249">
      <formula>AND(B29=B28,MOD(ROW(),2)=1)</formula>
    </cfRule>
    <cfRule type="expression" dxfId="577" priority="250">
      <formula>AND(B29=B28,MOD(ROW(),2)=0)</formula>
    </cfRule>
  </conditionalFormatting>
  <conditionalFormatting sqref="B40:F40 H40:R40 B41:D41">
    <cfRule type="expression" dxfId="576" priority="241">
      <formula>MOD(ROW(),2)=0</formula>
    </cfRule>
  </conditionalFormatting>
  <conditionalFormatting sqref="B40:D41">
    <cfRule type="expression" dxfId="575" priority="244">
      <formula>AND(B40=B39,MOD(ROW(),2)=1)</formula>
    </cfRule>
    <cfRule type="expression" dxfId="574" priority="245">
      <formula>AND(B40=B39,MOD(ROW(),2)=0)</formula>
    </cfRule>
  </conditionalFormatting>
  <conditionalFormatting sqref="G40">
    <cfRule type="expression" dxfId="573" priority="240">
      <formula>MOD(ROW(),2)=0</formula>
    </cfRule>
  </conditionalFormatting>
  <conditionalFormatting sqref="B50:F50 H50 B51:D51">
    <cfRule type="expression" dxfId="572" priority="235">
      <formula>MOD(ROW(),2)=0</formula>
    </cfRule>
  </conditionalFormatting>
  <conditionalFormatting sqref="B50:D51">
    <cfRule type="expression" dxfId="571" priority="238">
      <formula>AND(B50=B49,MOD(ROW(),2)=1)</formula>
    </cfRule>
    <cfRule type="expression" dxfId="570" priority="239">
      <formula>AND(B50=B49,MOD(ROW(),2)=0)</formula>
    </cfRule>
  </conditionalFormatting>
  <conditionalFormatting sqref="B61:F61 H61 B62:D62">
    <cfRule type="expression" dxfId="569" priority="230">
      <formula>MOD(ROW(),2)=0</formula>
    </cfRule>
  </conditionalFormatting>
  <conditionalFormatting sqref="B61:D62">
    <cfRule type="expression" dxfId="568" priority="233">
      <formula>AND(B61=B60,MOD(ROW(),2)=1)</formula>
    </cfRule>
    <cfRule type="expression" dxfId="567" priority="234">
      <formula>AND(B61=B60,MOD(ROW(),2)=0)</formula>
    </cfRule>
  </conditionalFormatting>
  <conditionalFormatting sqref="B67:F67 H67 B68:D68">
    <cfRule type="expression" dxfId="566" priority="225">
      <formula>MOD(ROW(),2)=0</formula>
    </cfRule>
  </conditionalFormatting>
  <conditionalFormatting sqref="B67:D68">
    <cfRule type="expression" dxfId="565" priority="228">
      <formula>AND(B67=B66,MOD(ROW(),2)=1)</formula>
    </cfRule>
    <cfRule type="expression" dxfId="564" priority="229">
      <formula>AND(B67=B66,MOD(ROW(),2)=0)</formula>
    </cfRule>
  </conditionalFormatting>
  <conditionalFormatting sqref="B78:F78 H78 B79:D79">
    <cfRule type="expression" dxfId="563" priority="220">
      <formula>MOD(ROW(),2)=0</formula>
    </cfRule>
  </conditionalFormatting>
  <conditionalFormatting sqref="B78:D79">
    <cfRule type="expression" dxfId="562" priority="223">
      <formula>AND(B78=B77,MOD(ROW(),2)=1)</formula>
    </cfRule>
    <cfRule type="expression" dxfId="561" priority="224">
      <formula>AND(B78=B77,MOD(ROW(),2)=0)</formula>
    </cfRule>
  </conditionalFormatting>
  <conditionalFormatting sqref="B88:F88 H88 B89:D89">
    <cfRule type="expression" dxfId="560" priority="215">
      <formula>MOD(ROW(),2)=0</formula>
    </cfRule>
  </conditionalFormatting>
  <conditionalFormatting sqref="B88:D89">
    <cfRule type="expression" dxfId="559" priority="218">
      <formula>AND(B88=B87,MOD(ROW(),2)=1)</formula>
    </cfRule>
    <cfRule type="expression" dxfId="558" priority="219">
      <formula>AND(B88=B87,MOD(ROW(),2)=0)</formula>
    </cfRule>
  </conditionalFormatting>
  <conditionalFormatting sqref="B99:F99 H99 B100:D100">
    <cfRule type="expression" dxfId="557" priority="210">
      <formula>MOD(ROW(),2)=0</formula>
    </cfRule>
  </conditionalFormatting>
  <conditionalFormatting sqref="B99:D100">
    <cfRule type="expression" dxfId="556" priority="213">
      <formula>AND(B99=B98,MOD(ROW(),2)=1)</formula>
    </cfRule>
    <cfRule type="expression" dxfId="555" priority="214">
      <formula>AND(B99=B98,MOD(ROW(),2)=0)</formula>
    </cfRule>
  </conditionalFormatting>
  <conditionalFormatting sqref="B105:F105 H105 B106:D106">
    <cfRule type="expression" dxfId="554" priority="205">
      <formula>MOD(ROW(),2)=0</formula>
    </cfRule>
  </conditionalFormatting>
  <conditionalFormatting sqref="B105:D106">
    <cfRule type="expression" dxfId="553" priority="208">
      <formula>AND(B105=B104,MOD(ROW(),2)=1)</formula>
    </cfRule>
    <cfRule type="expression" dxfId="552" priority="209">
      <formula>AND(B105=B104,MOD(ROW(),2)=0)</formula>
    </cfRule>
  </conditionalFormatting>
  <conditionalFormatting sqref="B116:F116 H116 B117:D117">
    <cfRule type="expression" dxfId="551" priority="200">
      <formula>MOD(ROW(),2)=0</formula>
    </cfRule>
  </conditionalFormatting>
  <conditionalFormatting sqref="B116:D117">
    <cfRule type="expression" dxfId="550" priority="203">
      <formula>AND(B116=B115,MOD(ROW(),2)=1)</formula>
    </cfRule>
    <cfRule type="expression" dxfId="549" priority="204">
      <formula>AND(B116=B115,MOD(ROW(),2)=0)</formula>
    </cfRule>
  </conditionalFormatting>
  <conditionalFormatting sqref="B156:R156 B157:D157">
    <cfRule type="expression" dxfId="548" priority="195">
      <formula>MOD(ROW(),2)=0</formula>
    </cfRule>
  </conditionalFormatting>
  <conditionalFormatting sqref="B156:D157">
    <cfRule type="expression" dxfId="547" priority="198">
      <formula>AND(B156=B155,MOD(ROW(),2)=1)</formula>
    </cfRule>
    <cfRule type="expression" dxfId="546" priority="199">
      <formula>AND(B156=B155,MOD(ROW(),2)=0)</formula>
    </cfRule>
  </conditionalFormatting>
  <conditionalFormatting sqref="B167:R167 B168:D168">
    <cfRule type="expression" dxfId="545" priority="190">
      <formula>MOD(ROW(),2)=0</formula>
    </cfRule>
  </conditionalFormatting>
  <conditionalFormatting sqref="B167:D168">
    <cfRule type="expression" dxfId="544" priority="193">
      <formula>AND(B167=B166,MOD(ROW(),2)=1)</formula>
    </cfRule>
    <cfRule type="expression" dxfId="543" priority="194">
      <formula>AND(B167=B166,MOD(ROW(),2)=0)</formula>
    </cfRule>
  </conditionalFormatting>
  <conditionalFormatting sqref="B178:R178 B179:D179">
    <cfRule type="expression" dxfId="542" priority="185">
      <formula>MOD(ROW(),2)=0</formula>
    </cfRule>
  </conditionalFormatting>
  <conditionalFormatting sqref="B178:D179">
    <cfRule type="expression" dxfId="541" priority="188">
      <formula>AND(B178=B177,MOD(ROW(),2)=1)</formula>
    </cfRule>
    <cfRule type="expression" dxfId="540" priority="189">
      <formula>AND(B178=B177,MOD(ROW(),2)=0)</formula>
    </cfRule>
  </conditionalFormatting>
  <conditionalFormatting sqref="G50">
    <cfRule type="expression" dxfId="539" priority="184">
      <formula>MOD(ROW(),2)=0</formula>
    </cfRule>
  </conditionalFormatting>
  <conditionalFormatting sqref="G61">
    <cfRule type="expression" dxfId="538" priority="183">
      <formula>MOD(ROW(),2)=0</formula>
    </cfRule>
  </conditionalFormatting>
  <conditionalFormatting sqref="G67">
    <cfRule type="expression" dxfId="537" priority="182">
      <formula>MOD(ROW(),2)=0</formula>
    </cfRule>
  </conditionalFormatting>
  <conditionalFormatting sqref="G78">
    <cfRule type="expression" dxfId="536" priority="181">
      <formula>MOD(ROW(),2)=0</formula>
    </cfRule>
  </conditionalFormatting>
  <conditionalFormatting sqref="G88">
    <cfRule type="expression" dxfId="535" priority="180">
      <formula>MOD(ROW(),2)=0</formula>
    </cfRule>
  </conditionalFormatting>
  <conditionalFormatting sqref="G99">
    <cfRule type="expression" dxfId="534" priority="179">
      <formula>MOD(ROW(),2)=0</formula>
    </cfRule>
  </conditionalFormatting>
  <conditionalFormatting sqref="G105">
    <cfRule type="expression" dxfId="533" priority="178">
      <formula>MOD(ROW(),2)=0</formula>
    </cfRule>
  </conditionalFormatting>
  <conditionalFormatting sqref="G116">
    <cfRule type="expression" dxfId="532" priority="177">
      <formula>MOD(ROW(),2)=0</formula>
    </cfRule>
  </conditionalFormatting>
  <conditionalFormatting sqref="I47:R49 I53:R60 J52:O52 Q52:R52 I64:R66 Q63:R63 I70:R77 Q69:R69 J63:O63 J69:O69 I81:R82 J80:O80 Q80:R80 I51:R51 I62:R62 I68:R68 I79:R79">
    <cfRule type="expression" dxfId="531" priority="26">
      <formula>MOD(ROW(),2)=0</formula>
    </cfRule>
  </conditionalFormatting>
  <conditionalFormatting sqref="I52">
    <cfRule type="expression" dxfId="530" priority="25">
      <formula>MOD(ROW(),2)=0</formula>
    </cfRule>
  </conditionalFormatting>
  <conditionalFormatting sqref="P52">
    <cfRule type="expression" dxfId="529" priority="24">
      <formula>MOD(ROW(),2)=0</formula>
    </cfRule>
  </conditionalFormatting>
  <conditionalFormatting sqref="P63">
    <cfRule type="expression" dxfId="528" priority="23">
      <formula>MOD(ROW(),2)=0</formula>
    </cfRule>
  </conditionalFormatting>
  <conditionalFormatting sqref="P69">
    <cfRule type="expression" dxfId="527" priority="22">
      <formula>MOD(ROW(),2)=0</formula>
    </cfRule>
  </conditionalFormatting>
  <conditionalFormatting sqref="I63">
    <cfRule type="expression" dxfId="526" priority="21">
      <formula>MOD(ROW(),2)=0</formula>
    </cfRule>
  </conditionalFormatting>
  <conditionalFormatting sqref="I69">
    <cfRule type="expression" dxfId="525" priority="20">
      <formula>MOD(ROW(),2)=0</formula>
    </cfRule>
  </conditionalFormatting>
  <conditionalFormatting sqref="I80">
    <cfRule type="expression" dxfId="524" priority="19">
      <formula>MOD(ROW(),2)=0</formula>
    </cfRule>
  </conditionalFormatting>
  <conditionalFormatting sqref="P80">
    <cfRule type="expression" dxfId="523" priority="18">
      <formula>MOD(ROW(),2)=0</formula>
    </cfRule>
  </conditionalFormatting>
  <conditionalFormatting sqref="I50:R50">
    <cfRule type="expression" dxfId="522" priority="17">
      <formula>MOD(ROW(),2)=0</formula>
    </cfRule>
  </conditionalFormatting>
  <conditionalFormatting sqref="I61:R61">
    <cfRule type="expression" dxfId="521" priority="16">
      <formula>MOD(ROW(),2)=0</formula>
    </cfRule>
  </conditionalFormatting>
  <conditionalFormatting sqref="I67:R67">
    <cfRule type="expression" dxfId="520" priority="15">
      <formula>MOD(ROW(),2)=0</formula>
    </cfRule>
  </conditionalFormatting>
  <conditionalFormatting sqref="I78:R78">
    <cfRule type="expression" dxfId="519" priority="14">
      <formula>MOD(ROW(),2)=0</formula>
    </cfRule>
  </conditionalFormatting>
  <conditionalFormatting sqref="I85:R87 I91:R98 J90:O90 Q90:R90 I102:R104 Q101:R101 I108:R115 Q107:R107 J101:O101 J107:O107 I119:R120 J118:O118 Q118:R118 I89:R89 I100:R100 I106:R106 I117:R117">
    <cfRule type="expression" dxfId="518" priority="13">
      <formula>MOD(ROW(),2)=0</formula>
    </cfRule>
  </conditionalFormatting>
  <conditionalFormatting sqref="I90">
    <cfRule type="expression" dxfId="517" priority="12">
      <formula>MOD(ROW(),2)=0</formula>
    </cfRule>
  </conditionalFormatting>
  <conditionalFormatting sqref="P90">
    <cfRule type="expression" dxfId="516" priority="11">
      <formula>MOD(ROW(),2)=0</formula>
    </cfRule>
  </conditionalFormatting>
  <conditionalFormatting sqref="P101">
    <cfRule type="expression" dxfId="515" priority="10">
      <formula>MOD(ROW(),2)=0</formula>
    </cfRule>
  </conditionalFormatting>
  <conditionalFormatting sqref="P107">
    <cfRule type="expression" dxfId="514" priority="9">
      <formula>MOD(ROW(),2)=0</formula>
    </cfRule>
  </conditionalFormatting>
  <conditionalFormatting sqref="I101">
    <cfRule type="expression" dxfId="513" priority="8">
      <formula>MOD(ROW(),2)=0</formula>
    </cfRule>
  </conditionalFormatting>
  <conditionalFormatting sqref="I107">
    <cfRule type="expression" dxfId="512" priority="7">
      <formula>MOD(ROW(),2)=0</formula>
    </cfRule>
  </conditionalFormatting>
  <conditionalFormatting sqref="I118">
    <cfRule type="expression" dxfId="511" priority="6">
      <formula>MOD(ROW(),2)=0</formula>
    </cfRule>
  </conditionalFormatting>
  <conditionalFormatting sqref="P118">
    <cfRule type="expression" dxfId="510" priority="5">
      <formula>MOD(ROW(),2)=0</formula>
    </cfRule>
  </conditionalFormatting>
  <conditionalFormatting sqref="I88:R88">
    <cfRule type="expression" dxfId="509" priority="4">
      <formula>MOD(ROW(),2)=0</formula>
    </cfRule>
  </conditionalFormatting>
  <conditionalFormatting sqref="I99:R99">
    <cfRule type="expression" dxfId="508" priority="3">
      <formula>MOD(ROW(),2)=0</formula>
    </cfRule>
  </conditionalFormatting>
  <conditionalFormatting sqref="I105:R105">
    <cfRule type="expression" dxfId="507" priority="2">
      <formula>MOD(ROW(),2)=0</formula>
    </cfRule>
  </conditionalFormatting>
  <conditionalFormatting sqref="I116:R116">
    <cfRule type="expression" dxfId="506" priority="1">
      <formula>MOD(ROW(),2)=0</formula>
    </cfRule>
  </conditionalFormatting>
  <hyperlinks>
    <hyperlink ref="A1" location="Index!A1" display="&lt;&lt;Back to Index" xr:uid="{00000000-0004-0000-1300-00000000000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ignoredErrors>
    <ignoredError sqref="K25:N25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BF83-8252-4C85-AFBB-619D4781C1EB}">
  <sheetPr codeName="Sheet21">
    <tabColor rgb="FF0070C0"/>
  </sheetPr>
  <dimension ref="A1:R268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8.85546875" defaultRowHeight="15" outlineLevelRow="1" x14ac:dyDescent="0.25"/>
  <cols>
    <col min="1" max="1" width="1.85546875" style="3" customWidth="1"/>
    <col min="2" max="3" width="15.85546875" style="3" customWidth="1"/>
    <col min="4" max="4" width="18.140625" style="3" customWidth="1"/>
    <col min="5" max="5" width="10.85546875" style="3" customWidth="1"/>
    <col min="6" max="6" width="10.85546875" style="20" customWidth="1"/>
    <col min="7" max="7" width="24.28515625" style="3" bestFit="1" customWidth="1"/>
    <col min="8" max="10" width="10.85546875" style="63" customWidth="1"/>
    <col min="11" max="11" width="11.85546875" style="20" bestFit="1" customWidth="1"/>
    <col min="12" max="12" width="0.85546875" style="20" customWidth="1"/>
    <col min="13" max="13" width="12.85546875" style="20" bestFit="1" customWidth="1"/>
    <col min="14" max="14" width="0.85546875" style="20" customWidth="1"/>
    <col min="15" max="17" width="10.85546875" style="63" customWidth="1"/>
    <col min="18" max="18" width="11.85546875" style="20" bestFit="1" customWidth="1"/>
    <col min="19" max="16384" width="8.85546875" style="3"/>
  </cols>
  <sheetData>
    <row r="1" spans="1:18" ht="10.35" customHeight="1" x14ac:dyDescent="0.25">
      <c r="A1" s="286" t="s">
        <v>21</v>
      </c>
      <c r="B1" s="291"/>
    </row>
    <row r="2" spans="1:18" s="14" customFormat="1" ht="22.5" customHeight="1" x14ac:dyDescent="0.25">
      <c r="A2" s="15" t="s">
        <v>205</v>
      </c>
      <c r="F2" s="21"/>
      <c r="H2" s="64"/>
      <c r="I2" s="64"/>
      <c r="J2" s="64"/>
      <c r="K2" s="21"/>
      <c r="L2" s="21"/>
      <c r="M2" s="21"/>
      <c r="N2" s="21"/>
      <c r="O2" s="64"/>
      <c r="P2" s="64"/>
      <c r="Q2" s="64"/>
      <c r="R2" s="21"/>
    </row>
    <row r="3" spans="1:18" s="29" customFormat="1" ht="25.5" customHeight="1" x14ac:dyDescent="0.25">
      <c r="B3" s="30"/>
      <c r="C3" s="30"/>
      <c r="D3" s="30"/>
      <c r="E3" s="30"/>
      <c r="F3" s="44"/>
      <c r="G3" s="30"/>
      <c r="H3" s="320" t="str">
        <f>PY</f>
        <v>2022-23</v>
      </c>
      <c r="I3" s="320"/>
      <c r="J3" s="320"/>
      <c r="K3" s="320"/>
      <c r="L3" s="36"/>
      <c r="M3" s="41" t="str">
        <f>FY</f>
        <v>2023-24</v>
      </c>
      <c r="N3" s="36"/>
      <c r="O3" s="320" t="str">
        <f>FY</f>
        <v>2023-24</v>
      </c>
      <c r="P3" s="320"/>
      <c r="Q3" s="320"/>
      <c r="R3" s="320"/>
    </row>
    <row r="4" spans="1:18" s="29" customFormat="1" ht="13.5" customHeight="1" x14ac:dyDescent="0.25">
      <c r="B4" s="30"/>
      <c r="C4" s="30"/>
      <c r="D4" s="30"/>
      <c r="E4" s="30"/>
      <c r="F4" s="40" t="str">
        <f t="shared" ref="F4:K4" si="0">$H$3</f>
        <v>2022-23</v>
      </c>
      <c r="G4" s="30"/>
      <c r="H4" s="65" t="str">
        <f>$H$3</f>
        <v>2022-23</v>
      </c>
      <c r="I4" s="65" t="str">
        <f t="shared" si="0"/>
        <v>2022-23</v>
      </c>
      <c r="J4" s="65" t="str">
        <f t="shared" si="0"/>
        <v>2022-23</v>
      </c>
      <c r="K4" s="40" t="str">
        <f t="shared" si="0"/>
        <v>2022-23</v>
      </c>
      <c r="L4" s="40"/>
      <c r="M4" s="40" t="str">
        <f>FY</f>
        <v>2023-24</v>
      </c>
      <c r="N4" s="40"/>
      <c r="O4" s="65" t="str">
        <f>$O$3</f>
        <v>2023-24</v>
      </c>
      <c r="P4" s="65" t="str">
        <f>$O$3</f>
        <v>2023-24</v>
      </c>
      <c r="Q4" s="65" t="str">
        <f>$O$3</f>
        <v>2023-24</v>
      </c>
      <c r="R4" s="40" t="str">
        <f>$O$3</f>
        <v>2023-24</v>
      </c>
    </row>
    <row r="5" spans="1:18" s="5" customFormat="1" ht="17.850000000000001" customHeight="1" x14ac:dyDescent="0.25">
      <c r="B5" s="24" t="s">
        <v>1</v>
      </c>
      <c r="C5" s="24" t="s">
        <v>12</v>
      </c>
      <c r="D5" s="24" t="s">
        <v>25</v>
      </c>
      <c r="E5" s="24" t="s">
        <v>13</v>
      </c>
      <c r="F5" s="12" t="s">
        <v>27</v>
      </c>
      <c r="G5" s="24" t="s">
        <v>35</v>
      </c>
      <c r="H5" s="194" t="s">
        <v>49</v>
      </c>
      <c r="I5" s="194" t="s">
        <v>50</v>
      </c>
      <c r="J5" s="194" t="s">
        <v>24</v>
      </c>
      <c r="K5" s="178" t="s">
        <v>26</v>
      </c>
      <c r="L5" s="178"/>
      <c r="M5" s="178" t="s">
        <v>23</v>
      </c>
      <c r="N5" s="178"/>
      <c r="O5" s="194" t="s">
        <v>49</v>
      </c>
      <c r="P5" s="194" t="s">
        <v>50</v>
      </c>
      <c r="Q5" s="194" t="s">
        <v>24</v>
      </c>
      <c r="R5" s="178" t="s">
        <v>26</v>
      </c>
    </row>
    <row r="6" spans="1:18" s="31" customFormat="1" ht="17.850000000000001" customHeight="1" x14ac:dyDescent="0.25">
      <c r="B6" s="32"/>
      <c r="C6" s="32"/>
      <c r="D6" s="32"/>
      <c r="E6" s="32"/>
      <c r="F6" s="33" t="s">
        <v>59</v>
      </c>
      <c r="G6" s="32"/>
      <c r="H6" s="195" t="s">
        <v>74</v>
      </c>
      <c r="I6" s="195" t="s">
        <v>47</v>
      </c>
      <c r="J6" s="195" t="s">
        <v>48</v>
      </c>
      <c r="K6" s="196" t="s">
        <v>30</v>
      </c>
      <c r="L6" s="196"/>
      <c r="M6" s="196" t="s">
        <v>30</v>
      </c>
      <c r="N6" s="196"/>
      <c r="O6" s="195" t="s">
        <v>74</v>
      </c>
      <c r="P6" s="195" t="s">
        <v>47</v>
      </c>
      <c r="Q6" s="195" t="s">
        <v>48</v>
      </c>
      <c r="R6" s="196" t="s">
        <v>30</v>
      </c>
    </row>
    <row r="7" spans="1:18" x14ac:dyDescent="0.25">
      <c r="F7" s="13"/>
      <c r="K7" s="190"/>
      <c r="L7" s="37"/>
      <c r="M7" s="190"/>
      <c r="N7" s="37"/>
      <c r="R7" s="190"/>
    </row>
    <row r="8" spans="1:18" x14ac:dyDescent="0.25">
      <c r="B8" s="5" t="s">
        <v>2</v>
      </c>
      <c r="C8" s="5" t="s">
        <v>6</v>
      </c>
      <c r="D8" s="5" t="s">
        <v>146</v>
      </c>
      <c r="F8" s="175"/>
      <c r="K8" s="190"/>
      <c r="L8" s="37"/>
      <c r="M8" s="190"/>
      <c r="N8" s="37"/>
      <c r="R8" s="190"/>
    </row>
    <row r="9" spans="1:18" outlineLevel="1" x14ac:dyDescent="0.25">
      <c r="B9" s="3" t="str">
        <f t="shared" ref="B9:D9" si="1">B8</f>
        <v>Ausgrid</v>
      </c>
      <c r="C9" s="3" t="str">
        <f t="shared" si="1"/>
        <v>Residential</v>
      </c>
      <c r="D9" s="3" t="str">
        <f t="shared" si="1"/>
        <v>without CL</v>
      </c>
      <c r="E9" s="3" t="s">
        <v>22</v>
      </c>
      <c r="F9" s="175">
        <f t="array" ref="F9">IFERROR(INDEX(Usage!$B$5:$P$18,MATCH($B9,Usage!$B$5:$B$18,0),MATCH($C9&amp;$D9&amp;$E9&amp;"Total",Usage!$B$5:$S$5&amp;Usage!$B$6:$S$6&amp;Usage!$B$7:$S$7&amp;Usage!$B$13:$S$13,0)),0)</f>
        <v>3900</v>
      </c>
      <c r="G9" s="3" t="s">
        <v>201</v>
      </c>
      <c r="H9" s="172" cm="1">
        <f t="array" ref="H9">IFERROR(INDEX('Detail inputs'!$B$3:$K$196,MATCH($B9&amp;$G9&amp;H$5&amp;$C9,'Detail inputs'!$B$3:$B$196&amp;'Detail inputs'!$G$3:$G$196&amp;'Detail inputs'!$H$3:$H$196&amp;'Detail inputs'!$D$3:$D$196,0),MATCH(H$4,'Detail inputs'!$B$3:$K$3,0)),0)</f>
        <v>132</v>
      </c>
      <c r="I9" s="172"/>
      <c r="J9" s="172">
        <f>IF(AND(H9="",I9=""),"",H9+I9*$F9/1000)</f>
        <v>132</v>
      </c>
      <c r="K9" s="191">
        <f>IFERROR(J9/J12,"")</f>
        <v>0.76373470880940042</v>
      </c>
      <c r="L9" s="173"/>
      <c r="M9" s="191">
        <f>IF(OR(J9=0,Q9=""),"",Q9/J9-1)</f>
        <v>3.0303030303030276E-2</v>
      </c>
      <c r="N9" s="173"/>
      <c r="O9" s="172" cm="1">
        <f t="array" ref="O9">IFERROR(INDEX('Detail inputs'!$B$3:$K$196,MATCH($B9&amp;$G9&amp;O$5&amp;$C9,'Detail inputs'!$B$3:$B$196&amp;'Detail inputs'!$G$3:$G$196&amp;'Detail inputs'!$H$3:$H$196&amp;'Detail inputs'!$D$3:$D$196,0),MATCH(O$4,'Detail inputs'!$B$3:$K$3,0)),0)</f>
        <v>136</v>
      </c>
      <c r="P9" s="172"/>
      <c r="Q9" s="172">
        <f>IF(AND(O9="",P9=""),"",O9+P9*$F9/1000)</f>
        <v>136</v>
      </c>
      <c r="R9" s="191">
        <f>IFERROR(Q9/Q12,"")</f>
        <v>0.79350000903906381</v>
      </c>
    </row>
    <row r="10" spans="1:18" outlineLevel="1" x14ac:dyDescent="0.25">
      <c r="B10" s="3" t="str">
        <f t="shared" ref="B10:D10" si="2">B9</f>
        <v>Ausgrid</v>
      </c>
      <c r="C10" s="3" t="str">
        <f t="shared" si="2"/>
        <v>Residential</v>
      </c>
      <c r="D10" s="3" t="str">
        <f t="shared" si="2"/>
        <v>without CL</v>
      </c>
      <c r="E10" s="3" t="s">
        <v>22</v>
      </c>
      <c r="F10" s="175">
        <f t="array" ref="F10">IFERROR(INDEX(Usage!$B$5:$P$18,MATCH($B10,Usage!$B$5:$B$18,0),MATCH($C10&amp;$D10&amp;$E10&amp;"Total",Usage!$B$5:$S$5&amp;Usage!$B$6:$S$6&amp;Usage!$B$7:$S$7&amp;Usage!$B$13:$S$13,0)),0)</f>
        <v>3900</v>
      </c>
      <c r="G10" s="3" t="s">
        <v>202</v>
      </c>
      <c r="H10" s="172" cm="1">
        <f t="array" ref="H10">IFERROR(INDEX('Detail inputs'!$B$3:$K$196,MATCH($B10&amp;$G10&amp;H$5&amp;$C10,'Detail inputs'!$B$3:$B$196&amp;'Detail inputs'!$G$3:$G$196&amp;'Detail inputs'!$H$3:$H$196&amp;'Detail inputs'!$D$3:$D$196,0),MATCH(H$4,'Detail inputs'!$B$3:$K$3,0)),0)</f>
        <v>15.12</v>
      </c>
      <c r="I10" s="172"/>
      <c r="J10" s="172">
        <f>IF(AND(H10="",I10=""),"",H10+I10*$F10/1000)</f>
        <v>15.12</v>
      </c>
      <c r="K10" s="191">
        <f>IFERROR(J10/J12,"")</f>
        <v>8.748233937271313E-2</v>
      </c>
      <c r="L10" s="173"/>
      <c r="M10" s="191">
        <f>IF(OR(J10=0,Q10=""),"",Q10/J10-1)</f>
        <v>0.27860863987254847</v>
      </c>
      <c r="N10" s="173"/>
      <c r="O10" s="172" cm="1">
        <f t="array" ref="O10">IFERROR(INDEX('Detail inputs'!$B$3:$K$196,MATCH($B10&amp;$G10&amp;O$5,'Detail inputs'!$B$3:$B$196&amp;'Detail inputs'!$G$3:$G$196&amp;'Detail inputs'!$H$3:$H$196,0),MATCH(O$4,'Detail inputs'!$B$3:$K$3,0)),0)</f>
        <v>19.332562634872932</v>
      </c>
      <c r="P10" s="172"/>
      <c r="Q10" s="172">
        <f>IF(AND(O10="",P10=""),"",O10+P10*$F10/1000)</f>
        <v>19.332562634872932</v>
      </c>
      <c r="R10" s="191">
        <f>IFERROR(Q10/Q12,"")</f>
        <v>0.11279697518764661</v>
      </c>
    </row>
    <row r="11" spans="1:18" outlineLevel="1" x14ac:dyDescent="0.25">
      <c r="B11" s="3" t="str">
        <f t="shared" ref="B11:D11" si="3">B10</f>
        <v>Ausgrid</v>
      </c>
      <c r="C11" s="3" t="str">
        <f t="shared" si="3"/>
        <v>Residential</v>
      </c>
      <c r="D11" s="3" t="str">
        <f t="shared" si="3"/>
        <v>without CL</v>
      </c>
      <c r="E11" s="3" t="s">
        <v>22</v>
      </c>
      <c r="F11" s="175">
        <f t="array" ref="F11">IFERROR(INDEX(Usage!$B$5:$P$18,MATCH($B11,Usage!$B$5:$B$18,0),MATCH($C11&amp;$D11&amp;$E11&amp;"Total",Usage!$B$5:$S$5&amp;Usage!$B$6:$S$6&amp;Usage!$B$7:$S$7&amp;Usage!$B$13:$S$13,0)),0)</f>
        <v>3900</v>
      </c>
      <c r="G11" s="3" t="s">
        <v>203</v>
      </c>
      <c r="H11" s="172" cm="1">
        <f t="array" ref="H11">IFERROR(INDEX('Detail inputs'!$B$3:$K$196,MATCH($B11&amp;$G11&amp;H$5,'Detail inputs'!$B$3:$B$196&amp;'Detail inputs'!$G$3:$G$196&amp;'Detail inputs'!$H$3:$H$196,0),MATCH(H$4,'Detail inputs'!$B$3:$K$3,0)),0)</f>
        <v>25.714884256834605</v>
      </c>
      <c r="I11" s="172"/>
      <c r="J11" s="172">
        <f>IF(AND(H11="",I11=""),"",H11+I11*$F11/1000)</f>
        <v>25.714884256834605</v>
      </c>
      <c r="K11" s="191">
        <f>IFERROR(J11/J12,"")</f>
        <v>0.14878295181788645</v>
      </c>
      <c r="L11" s="173"/>
      <c r="M11" s="191">
        <f>IF(OR(J11=0,Q11=""),"",Q11/J11-1)</f>
        <v>-0.37545898167006109</v>
      </c>
      <c r="N11" s="173"/>
      <c r="O11" s="172" cm="1">
        <f t="array" ref="O11">IFERROR(INDEX('Detail inputs'!$B$3:$K$196,MATCH($B11&amp;$G11&amp;O$5,'Detail inputs'!$B$3:$B$196&amp;'Detail inputs'!$G$3:$G$196&amp;'Detail inputs'!$H$3:$H$196,0),MATCH(O$4,'Detail inputs'!$B$3:$K$3,0)),0)</f>
        <v>16.059999999999999</v>
      </c>
      <c r="P11" s="172"/>
      <c r="Q11" s="172">
        <f>IF(AND(O11="",P11=""),"",O11+P11*$F11/1000)</f>
        <v>16.059999999999999</v>
      </c>
      <c r="R11" s="191">
        <f>IFERROR(Q11/Q12,"")</f>
        <v>9.3703015773289447E-2</v>
      </c>
    </row>
    <row r="12" spans="1:18" s="20" customFormat="1" x14ac:dyDescent="0.25">
      <c r="A12" s="3"/>
      <c r="B12" s="3" t="str">
        <f t="shared" ref="B12:D12" si="4">B11</f>
        <v>Ausgrid</v>
      </c>
      <c r="C12" s="3" t="str">
        <f t="shared" si="4"/>
        <v>Residential</v>
      </c>
      <c r="D12" s="3" t="str">
        <f t="shared" si="4"/>
        <v>without CL</v>
      </c>
      <c r="E12" s="3" t="s">
        <v>22</v>
      </c>
      <c r="F12" s="175">
        <f t="array" ref="F12">IFERROR(INDEX(Usage!$B$5:$P$18,MATCH($B12,Usage!$B$5:$B$18,0),MATCH($C12&amp;$D12&amp;$E12&amp;"Total",Usage!$B$5:$S$5&amp;Usage!$B$6:$S$6&amp;Usage!$B$7:$S$7&amp;Usage!$B$13:$S$13,0)),0)</f>
        <v>3900</v>
      </c>
      <c r="G12" s="3" t="s">
        <v>61</v>
      </c>
      <c r="H12" s="172">
        <f>SUM(H9:H11)</f>
        <v>172.83488425683461</v>
      </c>
      <c r="I12" s="172"/>
      <c r="J12" s="172">
        <f>IF(AND(H12="",I12=""),"",H12+I12*$F12/1000)</f>
        <v>172.83488425683461</v>
      </c>
      <c r="K12" s="192"/>
      <c r="L12" s="172"/>
      <c r="M12" s="192">
        <f>IF(OR(J12=0,Q12=""),"",Q12/J12-1)</f>
        <v>-8.3450839693818279E-3</v>
      </c>
      <c r="N12" s="172"/>
      <c r="O12" s="172">
        <f>SUM(O9:O11)</f>
        <v>171.39256263487295</v>
      </c>
      <c r="P12" s="172"/>
      <c r="Q12" s="172">
        <f>IF(AND(O12="",P12=""),"",O12+P12*$F12/1000)</f>
        <v>171.39256263487295</v>
      </c>
      <c r="R12" s="192"/>
    </row>
    <row r="13" spans="1:18" s="20" customFormat="1" x14ac:dyDescent="0.25">
      <c r="A13" s="3"/>
      <c r="B13" s="3" t="str">
        <f t="shared" ref="B13:D13" si="5">B12</f>
        <v>Ausgrid</v>
      </c>
      <c r="C13" s="3" t="str">
        <f t="shared" si="5"/>
        <v>Residential</v>
      </c>
      <c r="D13" s="3" t="str">
        <f t="shared" si="5"/>
        <v>without CL</v>
      </c>
      <c r="E13" s="3" t="s">
        <v>22</v>
      </c>
      <c r="F13" s="175">
        <f t="array" ref="F13">IFERROR(INDEX(Usage!$B$5:$P$18,MATCH($B13,Usage!$B$5:$B$18,0),MATCH($C13&amp;$D13&amp;$E13&amp;"Total",Usage!$B$5:$S$5&amp;Usage!$B$6:$S$6&amp;Usage!$B$7:$S$7&amp;Usage!$B$13:$S$13,0)),0)</f>
        <v>3900</v>
      </c>
      <c r="G13" s="3" t="s">
        <v>209</v>
      </c>
      <c r="H13" s="172">
        <f>H12*CPIPY</f>
        <v>17.255402756991728</v>
      </c>
      <c r="I13" s="172"/>
      <c r="J13" s="172">
        <f>J12*CPIPY</f>
        <v>17.255402756991728</v>
      </c>
      <c r="K13" s="192"/>
      <c r="L13" s="172"/>
      <c r="M13" s="192">
        <f>IF(OR(J13=0,Q13=""),"",Q13/J13-1)</f>
        <v>4.1566682181149783E-2</v>
      </c>
      <c r="N13" s="172"/>
      <c r="O13" s="172">
        <f>O12*CPI</f>
        <v>17.972652599299341</v>
      </c>
      <c r="P13" s="172"/>
      <c r="Q13" s="172">
        <f>Q12*CPI</f>
        <v>17.972652599299341</v>
      </c>
      <c r="R13" s="192"/>
    </row>
    <row r="14" spans="1:18" s="20" customFormat="1" outlineLevel="1" x14ac:dyDescent="0.25">
      <c r="A14" s="3"/>
      <c r="B14" s="3" t="str">
        <f t="shared" ref="B14:D14" si="6">B13</f>
        <v>Ausgrid</v>
      </c>
      <c r="C14" s="3" t="str">
        <f t="shared" si="6"/>
        <v>Residential</v>
      </c>
      <c r="D14" s="3" t="str">
        <f t="shared" si="6"/>
        <v>without CL</v>
      </c>
      <c r="E14" s="3"/>
      <c r="F14" s="175"/>
      <c r="G14" s="3" t="s">
        <v>41</v>
      </c>
      <c r="H14" s="172"/>
      <c r="I14" s="172"/>
      <c r="J14" s="172">
        <f>SUM(J12,J13)*GST</f>
        <v>19.009028701382636</v>
      </c>
      <c r="K14" s="192"/>
      <c r="L14" s="172"/>
      <c r="M14" s="192"/>
      <c r="N14" s="172"/>
      <c r="O14" s="172"/>
      <c r="P14" s="172"/>
      <c r="Q14" s="172">
        <f>SUM(Q12,Q13)*GST</f>
        <v>18.93652152341723</v>
      </c>
      <c r="R14" s="193"/>
    </row>
    <row r="15" spans="1:18" s="20" customFormat="1" x14ac:dyDescent="0.25">
      <c r="A15" s="3"/>
      <c r="B15" s="3" t="str">
        <f>B14</f>
        <v>Ausgrid</v>
      </c>
      <c r="C15" s="3" t="str">
        <f>C14</f>
        <v>Residential</v>
      </c>
      <c r="D15" s="3" t="str">
        <f>D14</f>
        <v>without CL</v>
      </c>
      <c r="E15" s="3"/>
      <c r="F15" s="175"/>
      <c r="G15" s="5" t="s">
        <v>87</v>
      </c>
      <c r="H15" s="174"/>
      <c r="I15" s="174"/>
      <c r="J15" s="174">
        <f>SUM(J12:J14)</f>
        <v>209.099315715209</v>
      </c>
      <c r="K15" s="193"/>
      <c r="L15" s="174"/>
      <c r="M15" s="193">
        <f>IF(OR(J15=0,Q15=""),"",Q15/J15-1)</f>
        <v>-3.8143546997817523E-3</v>
      </c>
      <c r="N15" s="174"/>
      <c r="O15" s="174"/>
      <c r="P15" s="174"/>
      <c r="Q15" s="174">
        <f>SUM(Q12:Q14)</f>
        <v>208.30173675758954</v>
      </c>
      <c r="R15" s="193"/>
    </row>
    <row r="16" spans="1:18" s="20" customFormat="1" x14ac:dyDescent="0.25">
      <c r="A16" s="3"/>
      <c r="B16" s="3" t="str">
        <f t="shared" ref="B16:D16" si="7">B15</f>
        <v>Ausgrid</v>
      </c>
      <c r="C16" s="3" t="str">
        <f t="shared" si="7"/>
        <v>Residential</v>
      </c>
      <c r="D16" s="3" t="str">
        <f t="shared" si="7"/>
        <v>without CL</v>
      </c>
      <c r="E16" s="3"/>
      <c r="F16" s="175"/>
      <c r="G16" s="3"/>
      <c r="H16" s="172"/>
      <c r="I16" s="172"/>
      <c r="J16" s="172"/>
      <c r="K16" s="191"/>
      <c r="L16" s="172"/>
      <c r="M16" s="191"/>
      <c r="N16" s="172"/>
      <c r="O16" s="172"/>
      <c r="P16" s="172"/>
      <c r="Q16" s="172"/>
      <c r="R16" s="191"/>
    </row>
    <row r="17" spans="1:18" s="20" customFormat="1" x14ac:dyDescent="0.25">
      <c r="A17" s="3"/>
      <c r="B17" s="167" t="s">
        <v>2</v>
      </c>
      <c r="C17" s="5" t="s">
        <v>6</v>
      </c>
      <c r="D17" s="5" t="s">
        <v>147</v>
      </c>
      <c r="E17" s="3"/>
      <c r="F17" s="175"/>
      <c r="G17" s="3"/>
      <c r="H17" s="172"/>
      <c r="I17" s="172"/>
      <c r="J17" s="172"/>
      <c r="K17" s="191"/>
      <c r="L17" s="172"/>
      <c r="M17" s="191"/>
      <c r="N17" s="172"/>
      <c r="O17" s="172"/>
      <c r="P17" s="172"/>
      <c r="Q17" s="172"/>
      <c r="R17" s="191"/>
    </row>
    <row r="18" spans="1:18" outlineLevel="1" x14ac:dyDescent="0.25">
      <c r="B18" s="3" t="str">
        <f t="shared" ref="B18:D18" si="8">B17</f>
        <v>Ausgrid</v>
      </c>
      <c r="C18" s="3" t="str">
        <f t="shared" si="8"/>
        <v>Residential</v>
      </c>
      <c r="D18" s="3" t="str">
        <f t="shared" si="8"/>
        <v>with CL</v>
      </c>
      <c r="E18" s="3" t="s">
        <v>22</v>
      </c>
      <c r="F18" s="175">
        <f t="array" ref="F18">IFERROR(INDEX(Usage!$B$5:$P$18,MATCH($B18,Usage!$B$5:$B$18,0),MATCH($C18&amp;$D18&amp;$E18&amp;"Total",Usage!$B$5:$S$5&amp;Usage!$B$6:$S$6&amp;Usage!$B$7:$S$7&amp;Usage!$B$13:$S$13,0)),0)</f>
        <v>4800</v>
      </c>
      <c r="G18" s="3" t="s">
        <v>201</v>
      </c>
      <c r="H18" s="172" cm="1">
        <f t="array" ref="H18">IFERROR(INDEX('Detail inputs'!$B$3:$K$196,MATCH($B18&amp;$G18&amp;H$5&amp;$C18,'Detail inputs'!$B$3:$B$196&amp;'Detail inputs'!$G$3:$G$196&amp;'Detail inputs'!$H$3:$H$196&amp;'Detail inputs'!$D$3:$D$196,0),MATCH(H$4,'Detail inputs'!$B$3:$K$3,0)),0)</f>
        <v>132</v>
      </c>
      <c r="I18" s="172"/>
      <c r="J18" s="172">
        <f>IF(AND(H18="",I18=""),"",H18+I18*$F18/1000)</f>
        <v>132</v>
      </c>
      <c r="K18" s="191">
        <f>IFERROR(J18/J21,"")</f>
        <v>0.76373470880940042</v>
      </c>
      <c r="L18" s="173"/>
      <c r="M18" s="191">
        <f>IF(OR(J18=0,Q18=""),"",Q18/J18-1)</f>
        <v>3.0303030303030276E-2</v>
      </c>
      <c r="N18" s="173"/>
      <c r="O18" s="172" cm="1">
        <f t="array" ref="O18">IFERROR(INDEX('Detail inputs'!$B$3:$K$196,MATCH($B18&amp;$G18&amp;O$5&amp;$C18,'Detail inputs'!$B$3:$B$196&amp;'Detail inputs'!$G$3:$G$196&amp;'Detail inputs'!$H$3:$H$196&amp;'Detail inputs'!$D$3:$D$196,0),MATCH(O$4,'Detail inputs'!$B$3:$K$3,0)),0)</f>
        <v>136</v>
      </c>
      <c r="P18" s="172"/>
      <c r="Q18" s="172">
        <f>IF(AND(O18="",P18=""),"",O18+P18*$F18/1000)</f>
        <v>136</v>
      </c>
      <c r="R18" s="191">
        <f>IFERROR(Q18/Q21,"")</f>
        <v>0.79350000903906381</v>
      </c>
    </row>
    <row r="19" spans="1:18" outlineLevel="1" x14ac:dyDescent="0.25">
      <c r="B19" s="3" t="str">
        <f t="shared" ref="B19:D19" si="9">B18</f>
        <v>Ausgrid</v>
      </c>
      <c r="C19" s="3" t="str">
        <f t="shared" si="9"/>
        <v>Residential</v>
      </c>
      <c r="D19" s="3" t="str">
        <f t="shared" si="9"/>
        <v>with CL</v>
      </c>
      <c r="E19" s="3" t="s">
        <v>22</v>
      </c>
      <c r="F19" s="175">
        <f t="array" ref="F19">IFERROR(INDEX(Usage!$B$5:$P$18,MATCH($B19,Usage!$B$5:$B$18,0),MATCH($C19&amp;$D19&amp;$E19&amp;"Total",Usage!$B$5:$S$5&amp;Usage!$B$6:$S$6&amp;Usage!$B$7:$S$7&amp;Usage!$B$13:$S$13,0)),0)</f>
        <v>4800</v>
      </c>
      <c r="G19" s="3" t="s">
        <v>202</v>
      </c>
      <c r="H19" s="172" cm="1">
        <f t="array" ref="H19">IFERROR(INDEX('Detail inputs'!$B$3:$K$196,MATCH($B19&amp;$G19&amp;H$5&amp;$C19,'Detail inputs'!$B$3:$B$196&amp;'Detail inputs'!$G$3:$G$196&amp;'Detail inputs'!$H$3:$H$196&amp;'Detail inputs'!$D$3:$D$196,0),MATCH(H$4,'Detail inputs'!$B$3:$K$3,0)),0)</f>
        <v>15.12</v>
      </c>
      <c r="I19" s="172"/>
      <c r="J19" s="172">
        <f>IF(AND(H19="",I19=""),"",H19+I19*$F19/1000)</f>
        <v>15.12</v>
      </c>
      <c r="K19" s="191">
        <f>IFERROR(J19/J21,"")</f>
        <v>8.748233937271313E-2</v>
      </c>
      <c r="L19" s="173"/>
      <c r="M19" s="191">
        <f>IF(OR(J19=0,Q19=""),"",Q19/J19-1)</f>
        <v>0.27860863987254847</v>
      </c>
      <c r="N19" s="173"/>
      <c r="O19" s="172" cm="1">
        <f t="array" ref="O19">IFERROR(INDEX('Detail inputs'!$B$3:$K$196,MATCH($B19&amp;$G19&amp;O$5,'Detail inputs'!$B$3:$B$196&amp;'Detail inputs'!$G$3:$G$196&amp;'Detail inputs'!$H$3:$H$196,0),MATCH(O$4,'Detail inputs'!$B$3:$K$3,0)),0)</f>
        <v>19.332562634872932</v>
      </c>
      <c r="P19" s="172"/>
      <c r="Q19" s="172">
        <f>IF(AND(O19="",P19=""),"",O19+P19*$F19/1000)</f>
        <v>19.332562634872932</v>
      </c>
      <c r="R19" s="191">
        <f>IFERROR(Q19/Q21,"")</f>
        <v>0.11279697518764661</v>
      </c>
    </row>
    <row r="20" spans="1:18" outlineLevel="1" x14ac:dyDescent="0.25">
      <c r="B20" s="3" t="str">
        <f t="shared" ref="B20:D20" si="10">B19</f>
        <v>Ausgrid</v>
      </c>
      <c r="C20" s="3" t="str">
        <f t="shared" si="10"/>
        <v>Residential</v>
      </c>
      <c r="D20" s="3" t="str">
        <f t="shared" si="10"/>
        <v>with CL</v>
      </c>
      <c r="E20" s="3" t="s">
        <v>22</v>
      </c>
      <c r="F20" s="175">
        <f t="array" ref="F20">IFERROR(INDEX(Usage!$B$5:$P$18,MATCH($B20,Usage!$B$5:$B$18,0),MATCH($C20&amp;$D20&amp;$E20&amp;"Total",Usage!$B$5:$S$5&amp;Usage!$B$6:$S$6&amp;Usage!$B$7:$S$7&amp;Usage!$B$13:$S$13,0)),0)</f>
        <v>4800</v>
      </c>
      <c r="G20" s="3" t="s">
        <v>203</v>
      </c>
      <c r="H20" s="172" cm="1">
        <f t="array" ref="H20">IFERROR(INDEX('Detail inputs'!$B$3:$K$196,MATCH($B20&amp;$G20&amp;H$5,'Detail inputs'!$B$3:$B$196&amp;'Detail inputs'!$G$3:$G$196&amp;'Detail inputs'!$H$3:$H$196,0),MATCH(H$4,'Detail inputs'!$B$3:$K$3,0)),0)</f>
        <v>25.714884256834605</v>
      </c>
      <c r="I20" s="172"/>
      <c r="J20" s="172">
        <f>IF(AND(H20="",I20=""),"",H20+I20*$F20/1000)</f>
        <v>25.714884256834605</v>
      </c>
      <c r="K20" s="191">
        <f>IFERROR(J20/J21,"")</f>
        <v>0.14878295181788645</v>
      </c>
      <c r="L20" s="173"/>
      <c r="M20" s="191">
        <f>IF(OR(J20=0,Q20=""),"",Q20/J20-1)</f>
        <v>-0.37545898167006109</v>
      </c>
      <c r="N20" s="173"/>
      <c r="O20" s="172" cm="1">
        <f t="array" ref="O20">IFERROR(INDEX('Detail inputs'!$B$3:$K$196,MATCH($B20&amp;$G20&amp;O$5,'Detail inputs'!$B$3:$B$196&amp;'Detail inputs'!$G$3:$G$196&amp;'Detail inputs'!$H$3:$H$196,0),MATCH(O$4,'Detail inputs'!$B$3:$K$3,0)),0)</f>
        <v>16.059999999999999</v>
      </c>
      <c r="P20" s="172"/>
      <c r="Q20" s="172">
        <f>IF(AND(O20="",P20=""),"",O20+P20*$F20/1000)</f>
        <v>16.059999999999999</v>
      </c>
      <c r="R20" s="191">
        <f>IFERROR(Q20/Q21,"")</f>
        <v>9.3703015773289447E-2</v>
      </c>
    </row>
    <row r="21" spans="1:18" s="20" customFormat="1" x14ac:dyDescent="0.25">
      <c r="A21" s="3"/>
      <c r="B21" s="3" t="str">
        <f t="shared" ref="B21:D21" si="11">B20</f>
        <v>Ausgrid</v>
      </c>
      <c r="C21" s="3" t="str">
        <f t="shared" si="11"/>
        <v>Residential</v>
      </c>
      <c r="D21" s="3" t="str">
        <f t="shared" si="11"/>
        <v>with CL</v>
      </c>
      <c r="E21" s="3" t="s">
        <v>22</v>
      </c>
      <c r="F21" s="175">
        <f t="array" ref="F21">IFERROR(INDEX(Usage!$B$5:$P$18,MATCH($B21,Usage!$B$5:$B$18,0),MATCH($C21&amp;$D21&amp;$E21&amp;"Total",Usage!$B$5:$S$5&amp;Usage!$B$6:$S$6&amp;Usage!$B$7:$S$7&amp;Usage!$B$13:$S$13,0)),0)</f>
        <v>4800</v>
      </c>
      <c r="G21" s="3" t="s">
        <v>61</v>
      </c>
      <c r="H21" s="172">
        <f>SUM(H18:H20)</f>
        <v>172.83488425683461</v>
      </c>
      <c r="I21" s="172"/>
      <c r="J21" s="172">
        <f>IF(AND(H21="",I21=""),"",H21+I21*$F21/1000)</f>
        <v>172.83488425683461</v>
      </c>
      <c r="K21" s="192"/>
      <c r="L21" s="172"/>
      <c r="M21" s="192">
        <f>IF(OR(J21=0,Q21=""),"",Q21/J21-1)</f>
        <v>-8.3450839693818279E-3</v>
      </c>
      <c r="N21" s="172"/>
      <c r="O21" s="172">
        <f>SUM(O18:O20)</f>
        <v>171.39256263487295</v>
      </c>
      <c r="P21" s="172"/>
      <c r="Q21" s="172">
        <f>IF(AND(O21="",P21=""),"",O21+P21*$F21/1000)</f>
        <v>171.39256263487295</v>
      </c>
      <c r="R21" s="192"/>
    </row>
    <row r="22" spans="1:18" s="20" customFormat="1" x14ac:dyDescent="0.25">
      <c r="A22" s="3"/>
      <c r="B22" s="3" t="str">
        <f t="shared" ref="B22:D22" si="12">B21</f>
        <v>Ausgrid</v>
      </c>
      <c r="C22" s="3" t="str">
        <f t="shared" si="12"/>
        <v>Residential</v>
      </c>
      <c r="D22" s="3" t="str">
        <f t="shared" si="12"/>
        <v>with CL</v>
      </c>
      <c r="E22" s="3" t="s">
        <v>22</v>
      </c>
      <c r="F22" s="175">
        <f t="array" ref="F22">IFERROR(INDEX(Usage!$B$5:$P$18,MATCH($B22,Usage!$B$5:$B$18,0),MATCH($C22&amp;$D22&amp;$E22&amp;"Total",Usage!$B$5:$S$5&amp;Usage!$B$6:$S$6&amp;Usage!$B$7:$S$7&amp;Usage!$B$13:$S$13,0)),0)</f>
        <v>4800</v>
      </c>
      <c r="G22" s="3" t="s">
        <v>209</v>
      </c>
      <c r="H22" s="172">
        <f>H21*CPIPY</f>
        <v>17.255402756991728</v>
      </c>
      <c r="I22" s="172"/>
      <c r="J22" s="172">
        <f>J21*CPIPY</f>
        <v>17.255402756991728</v>
      </c>
      <c r="K22" s="192"/>
      <c r="L22" s="172"/>
      <c r="M22" s="192">
        <f>IF(OR(J22=0,Q22=""),"",Q22/J22-1)</f>
        <v>4.1566682181149783E-2</v>
      </c>
      <c r="N22" s="172"/>
      <c r="O22" s="172">
        <f>O21*CPI</f>
        <v>17.972652599299341</v>
      </c>
      <c r="P22" s="191">
        <f>+O22/O21</f>
        <v>0.10486249999999986</v>
      </c>
      <c r="Q22" s="172">
        <f>Q21*CPI</f>
        <v>17.972652599299341</v>
      </c>
      <c r="R22" s="192"/>
    </row>
    <row r="23" spans="1:18" s="20" customFormat="1" outlineLevel="1" x14ac:dyDescent="0.25">
      <c r="A23" s="3"/>
      <c r="B23" s="3" t="str">
        <f t="shared" ref="B23:D23" si="13">B22</f>
        <v>Ausgrid</v>
      </c>
      <c r="C23" s="3" t="str">
        <f t="shared" si="13"/>
        <v>Residential</v>
      </c>
      <c r="D23" s="3" t="str">
        <f t="shared" si="13"/>
        <v>with CL</v>
      </c>
      <c r="E23" s="3"/>
      <c r="F23" s="175"/>
      <c r="G23" s="3" t="s">
        <v>41</v>
      </c>
      <c r="H23" s="172"/>
      <c r="I23" s="172"/>
      <c r="J23" s="172">
        <f>SUM(J21,J22)*GST</f>
        <v>19.009028701382636</v>
      </c>
      <c r="K23" s="192"/>
      <c r="L23" s="172"/>
      <c r="M23" s="192"/>
      <c r="N23" s="172"/>
      <c r="O23" s="172"/>
      <c r="P23" s="172"/>
      <c r="Q23" s="172">
        <f>SUM(Q21,Q22)*GST</f>
        <v>18.93652152341723</v>
      </c>
      <c r="R23" s="193"/>
    </row>
    <row r="24" spans="1:18" s="20" customFormat="1" x14ac:dyDescent="0.25">
      <c r="A24" s="3"/>
      <c r="B24" s="3" t="str">
        <f t="shared" ref="B24:D24" si="14">B23</f>
        <v>Ausgrid</v>
      </c>
      <c r="C24" s="3" t="str">
        <f t="shared" si="14"/>
        <v>Residential</v>
      </c>
      <c r="D24" s="3" t="str">
        <f t="shared" si="14"/>
        <v>with CL</v>
      </c>
      <c r="E24" s="3"/>
      <c r="F24" s="175"/>
      <c r="G24" s="5" t="s">
        <v>87</v>
      </c>
      <c r="H24" s="174"/>
      <c r="I24" s="174"/>
      <c r="J24" s="174">
        <f>SUM(J21:J23)</f>
        <v>209.099315715209</v>
      </c>
      <c r="K24" s="193"/>
      <c r="L24" s="174"/>
      <c r="M24" s="193">
        <f>IF(OR(J24=0,Q24=""),"",Q24/J24-1)</f>
        <v>-3.8143546997817523E-3</v>
      </c>
      <c r="N24" s="174"/>
      <c r="O24" s="174"/>
      <c r="P24" s="174"/>
      <c r="Q24" s="174">
        <f>SUM(Q21:Q23)</f>
        <v>208.30173675758954</v>
      </c>
      <c r="R24" s="193"/>
    </row>
    <row r="25" spans="1:18" s="20" customFormat="1" x14ac:dyDescent="0.25">
      <c r="A25" s="3"/>
      <c r="B25" s="3" t="str">
        <f t="shared" ref="B25:D25" si="15">B24</f>
        <v>Ausgrid</v>
      </c>
      <c r="C25" s="3" t="str">
        <f t="shared" si="15"/>
        <v>Residential</v>
      </c>
      <c r="D25" s="3" t="str">
        <f t="shared" si="15"/>
        <v>with CL</v>
      </c>
      <c r="E25" s="3"/>
      <c r="F25" s="175"/>
      <c r="G25" s="3"/>
      <c r="H25" s="172"/>
      <c r="I25" s="172"/>
      <c r="J25" s="172"/>
      <c r="K25" s="191"/>
      <c r="L25" s="172"/>
      <c r="M25" s="191"/>
      <c r="N25" s="172"/>
      <c r="O25" s="172"/>
      <c r="P25" s="172"/>
      <c r="Q25" s="172"/>
      <c r="R25" s="191"/>
    </row>
    <row r="26" spans="1:18" s="20" customFormat="1" x14ac:dyDescent="0.25">
      <c r="A26" s="3"/>
      <c r="B26" s="5" t="s">
        <v>2</v>
      </c>
      <c r="C26" s="5" t="s">
        <v>15</v>
      </c>
      <c r="D26" s="5" t="s">
        <v>146</v>
      </c>
      <c r="E26" s="3"/>
      <c r="F26" s="175"/>
      <c r="G26" s="3"/>
      <c r="H26" s="172"/>
      <c r="I26" s="172"/>
      <c r="J26" s="172"/>
      <c r="K26" s="191"/>
      <c r="L26" s="172"/>
      <c r="M26" s="191"/>
      <c r="N26" s="172"/>
      <c r="O26" s="172"/>
      <c r="P26" s="172"/>
      <c r="Q26" s="172"/>
      <c r="R26" s="191"/>
    </row>
    <row r="27" spans="1:18" outlineLevel="1" x14ac:dyDescent="0.25">
      <c r="B27" s="3" t="str">
        <f>B26</f>
        <v>Ausgrid</v>
      </c>
      <c r="C27" s="3" t="str">
        <f t="shared" ref="C27:D27" si="16">C26</f>
        <v>Small business</v>
      </c>
      <c r="D27" s="3" t="str">
        <f t="shared" si="16"/>
        <v>without CL</v>
      </c>
      <c r="E27" s="3" t="s">
        <v>22</v>
      </c>
      <c r="F27" s="175">
        <f t="array" ref="F27">IFERROR(INDEX(Usage!$B$5:$P$18,MATCH($B27,Usage!$B$5:$B$18,0),MATCH($C27&amp;$D27&amp;$E27&amp;"Total",Usage!$B$5:$S$5&amp;Usage!$B$6:$S$6&amp;Usage!$B$7:$S$7&amp;Usage!$B$13:$S$13,0)),0)</f>
        <v>10000</v>
      </c>
      <c r="G27" s="3" t="s">
        <v>201</v>
      </c>
      <c r="H27" s="172" cm="1">
        <f t="array" ref="H27">IFERROR(INDEX('Detail inputs'!$B$3:$K$196,MATCH($B27&amp;$G27&amp;H$5&amp;$C27,'Detail inputs'!$B$3:$B$196&amp;'Detail inputs'!$G$3:$G$196&amp;'Detail inputs'!$H$3:$H$196&amp;'Detail inputs'!$D$3:$D$196,0),MATCH(H$4,'Detail inputs'!$B$3:$K$3,0)),0)</f>
        <v>204</v>
      </c>
      <c r="I27" s="172"/>
      <c r="J27" s="172">
        <f>IF(AND(H27="",I27=""),"",H27+I27*$F27/1000)</f>
        <v>204</v>
      </c>
      <c r="K27" s="191">
        <f>IFERROR(J27/J30,"")</f>
        <v>0.85378910088623727</v>
      </c>
      <c r="L27" s="173"/>
      <c r="M27" s="191">
        <f>IF(OR(J27=0,Q27=""),"",Q27/J27-1)</f>
        <v>-0.19117647058823528</v>
      </c>
      <c r="N27" s="173"/>
      <c r="O27" s="172" cm="1">
        <f t="array" ref="O27">IFERROR(INDEX('Detail inputs'!$B$3:$K$196,MATCH($B27&amp;$G27&amp;O$5&amp;$C27,'Detail inputs'!$B$3:$B$196&amp;'Detail inputs'!$G$3:$G$196&amp;'Detail inputs'!$H$3:$H$196&amp;'Detail inputs'!$D$3:$D$196,0),MATCH(O$4,'Detail inputs'!$B$3:$K$3,0)),0)</f>
        <v>165</v>
      </c>
      <c r="P27" s="172"/>
      <c r="Q27" s="172">
        <f>IF(AND(O27="",P27=""),"",O27+P27*$F27/1000)</f>
        <v>165</v>
      </c>
      <c r="R27" s="191">
        <f>IFERROR(Q27/Q30,"")</f>
        <v>0.8246752021316911</v>
      </c>
    </row>
    <row r="28" spans="1:18" outlineLevel="1" x14ac:dyDescent="0.25">
      <c r="B28" s="3" t="str">
        <f t="shared" ref="B28:D34" si="17">B27</f>
        <v>Ausgrid</v>
      </c>
      <c r="C28" s="3" t="str">
        <f t="shared" si="17"/>
        <v>Small business</v>
      </c>
      <c r="D28" s="3" t="str">
        <f t="shared" si="17"/>
        <v>without CL</v>
      </c>
      <c r="E28" s="3" t="s">
        <v>22</v>
      </c>
      <c r="F28" s="175">
        <f t="array" ref="F28">IFERROR(INDEX(Usage!$B$5:$P$18,MATCH($B28,Usage!$B$5:$B$18,0),MATCH($C28&amp;$D28&amp;$E28&amp;"Total",Usage!$B$5:$S$5&amp;Usage!$B$6:$S$6&amp;Usage!$B$7:$S$7&amp;Usage!$B$13:$S$13,0)),0)</f>
        <v>10000</v>
      </c>
      <c r="G28" s="3" t="s">
        <v>202</v>
      </c>
      <c r="H28" s="172" cm="1">
        <f t="array" ref="H28">IFERROR(INDEX('Detail inputs'!$B$3:$K$196,MATCH($B28&amp;$G28&amp;H$5&amp;$C28,'Detail inputs'!$B$3:$B$196&amp;'Detail inputs'!$G$3:$G$196&amp;'Detail inputs'!$H$3:$H$196&amp;'Detail inputs'!$D$3:$D$196,0),MATCH(H$4,'Detail inputs'!$B$3:$K$3,0)),0)</f>
        <v>9.2200000000000006</v>
      </c>
      <c r="I28" s="172"/>
      <c r="J28" s="172">
        <f>IF(AND(H28="",I28=""),"",H28+I28*$F28/1000)</f>
        <v>9.2200000000000006</v>
      </c>
      <c r="K28" s="191">
        <f>IFERROR(J28/J30,"")</f>
        <v>3.8587919167505431E-2</v>
      </c>
      <c r="L28" s="173"/>
      <c r="M28" s="191">
        <f>IF(OR(J28=0,Q28=""),"",Q28/J28-1)</f>
        <v>1.0627733067710019</v>
      </c>
      <c r="N28" s="173"/>
      <c r="O28" s="172" cm="1">
        <f t="array" ref="O28">IFERROR(INDEX('Detail inputs'!$B$3:$K$196,MATCH($B28&amp;$G28&amp;O$5&amp;$C28,'Detail inputs'!$B$3:$B$196&amp;'Detail inputs'!$G$3:$G$196&amp;'Detail inputs'!$H$3:$H$196&amp;'Detail inputs'!$D$3:$D$196,0),MATCH(O$4,'Detail inputs'!$B$3:$K$3,0)),0)</f>
        <v>19.01876988842864</v>
      </c>
      <c r="P28" s="172"/>
      <c r="Q28" s="172">
        <f>IF(AND(O28="",P28=""),"",O28+P28*$F28/1000)</f>
        <v>19.01876988842864</v>
      </c>
      <c r="R28" s="191">
        <f>IFERROR(Q28/Q30,"")</f>
        <v>9.5056411527490961E-2</v>
      </c>
    </row>
    <row r="29" spans="1:18" outlineLevel="1" x14ac:dyDescent="0.25">
      <c r="B29" s="3" t="str">
        <f t="shared" si="17"/>
        <v>Ausgrid</v>
      </c>
      <c r="C29" s="3" t="str">
        <f t="shared" si="17"/>
        <v>Small business</v>
      </c>
      <c r="D29" s="3" t="str">
        <f t="shared" si="17"/>
        <v>without CL</v>
      </c>
      <c r="E29" s="3" t="s">
        <v>22</v>
      </c>
      <c r="F29" s="175">
        <f t="array" ref="F29">IFERROR(INDEX(Usage!$B$5:$P$18,MATCH($B29,Usage!$B$5:$B$18,0),MATCH($C29&amp;$D29&amp;$E29&amp;"Total",Usage!$B$5:$S$5&amp;Usage!$B$6:$S$6&amp;Usage!$B$7:$S$7&amp;Usage!$B$13:$S$13,0)),0)</f>
        <v>10000</v>
      </c>
      <c r="G29" s="3" t="s">
        <v>203</v>
      </c>
      <c r="H29" s="172" cm="1">
        <f t="array" ref="H29">IFERROR(INDEX('Detail inputs'!$B$3:$K$196,MATCH($B29&amp;$G29&amp;H$5,'Detail inputs'!$B$3:$B$196&amp;'Detail inputs'!$G$3:$G$196&amp;'Detail inputs'!$H$3:$H$196,0),MATCH(H$4,'Detail inputs'!$B$3:$K$3,0)),0)</f>
        <v>25.714884256834605</v>
      </c>
      <c r="I29" s="172"/>
      <c r="J29" s="172">
        <f>IF(AND(H29="",I29=""),"",H29+I29*$F29/1000)</f>
        <v>25.714884256834605</v>
      </c>
      <c r="K29" s="191">
        <f>IFERROR(J29/J30,"")</f>
        <v>0.10762297994625723</v>
      </c>
      <c r="L29" s="173"/>
      <c r="M29" s="191">
        <f>IF(OR(J29=0,Q29=""),"",Q29/J29-1)</f>
        <v>-0.37545898167006109</v>
      </c>
      <c r="N29" s="173"/>
      <c r="O29" s="172" cm="1">
        <f t="array" ref="O29">IFERROR(INDEX('Detail inputs'!$B$3:$K$196,MATCH($B29&amp;$G29&amp;O$5,'Detail inputs'!$B$3:$B$196&amp;'Detail inputs'!$G$3:$G$196&amp;'Detail inputs'!$H$3:$H$196,0),MATCH(O$4,'Detail inputs'!$B$3:$K$3,0)),0)</f>
        <v>16.059999999999999</v>
      </c>
      <c r="P29" s="172"/>
      <c r="Q29" s="172">
        <f>IF(AND(O29="",P29=""),"",O29+P29*$F29/1000)</f>
        <v>16.059999999999999</v>
      </c>
      <c r="R29" s="191">
        <f>IFERROR(Q29/Q30,"")</f>
        <v>8.0268386340817927E-2</v>
      </c>
    </row>
    <row r="30" spans="1:18" s="20" customFormat="1" x14ac:dyDescent="0.25">
      <c r="A30" s="3"/>
      <c r="B30" s="3" t="str">
        <f t="shared" si="17"/>
        <v>Ausgrid</v>
      </c>
      <c r="C30" s="3" t="str">
        <f t="shared" si="17"/>
        <v>Small business</v>
      </c>
      <c r="D30" s="3" t="str">
        <f t="shared" si="17"/>
        <v>without CL</v>
      </c>
      <c r="E30" s="3" t="s">
        <v>22</v>
      </c>
      <c r="F30" s="175">
        <f t="array" ref="F30">IFERROR(INDEX(Usage!$B$5:$P$18,MATCH($B30,Usage!$B$5:$B$18,0),MATCH($C30&amp;$D30&amp;$E30&amp;"Total",Usage!$B$5:$S$5&amp;Usage!$B$6:$S$6&amp;Usage!$B$7:$S$7&amp;Usage!$B$13:$S$13,0)),0)</f>
        <v>10000</v>
      </c>
      <c r="G30" s="3" t="s">
        <v>61</v>
      </c>
      <c r="H30" s="172">
        <f>SUM(H27:H29)</f>
        <v>238.93488425683461</v>
      </c>
      <c r="I30" s="172"/>
      <c r="J30" s="172">
        <f>IF(AND(H30="",I30=""),"",H30+I30*$F30/1000)</f>
        <v>238.93488425683461</v>
      </c>
      <c r="K30" s="192"/>
      <c r="L30" s="172"/>
      <c r="M30" s="192">
        <f>IF(OR(J30=0,Q30=""),"",Q30/J30-1)</f>
        <v>-0.16262219093399088</v>
      </c>
      <c r="N30" s="172"/>
      <c r="O30" s="172">
        <f>SUM(O27:O29)</f>
        <v>200.07876988842864</v>
      </c>
      <c r="P30" s="172"/>
      <c r="Q30" s="172">
        <f>IF(AND(O30="",P30=""),"",O30+P30*$F30/1000)</f>
        <v>200.07876988842864</v>
      </c>
      <c r="R30" s="192"/>
    </row>
    <row r="31" spans="1:18" s="20" customFormat="1" x14ac:dyDescent="0.25">
      <c r="A31" s="3"/>
      <c r="B31" s="3" t="str">
        <f t="shared" si="17"/>
        <v>Ausgrid</v>
      </c>
      <c r="C31" s="3" t="str">
        <f t="shared" si="17"/>
        <v>Small business</v>
      </c>
      <c r="D31" s="3" t="str">
        <f t="shared" si="17"/>
        <v>without CL</v>
      </c>
      <c r="E31" s="3" t="s">
        <v>22</v>
      </c>
      <c r="F31" s="175">
        <f t="array" ref="F31">IFERROR(INDEX(Usage!$B$5:$P$18,MATCH($B31,Usage!$B$5:$B$18,0),MATCH($C31&amp;$D31&amp;$E31&amp;"Total",Usage!$B$5:$S$5&amp;Usage!$B$6:$S$6&amp;Usage!$B$7:$S$7&amp;Usage!$B$13:$S$13,0)),0)</f>
        <v>10000</v>
      </c>
      <c r="G31" s="3" t="s">
        <v>209</v>
      </c>
      <c r="H31" s="172">
        <f>H30*CPIPY</f>
        <v>23.854661506991732</v>
      </c>
      <c r="I31" s="172"/>
      <c r="J31" s="172">
        <f>J30*CPIPY</f>
        <v>23.854661506991732</v>
      </c>
      <c r="K31" s="192"/>
      <c r="L31" s="172"/>
      <c r="M31" s="192">
        <f>IF(OR(J31=0,Q31=""),"",Q31/J31-1)</f>
        <v>-0.12047546760301253</v>
      </c>
      <c r="N31" s="172"/>
      <c r="O31" s="172">
        <f>O30*CPI</f>
        <v>20.980760007425321</v>
      </c>
      <c r="P31" s="172"/>
      <c r="Q31" s="172">
        <f>Q30*CPI</f>
        <v>20.980760007425321</v>
      </c>
      <c r="R31" s="192"/>
    </row>
    <row r="32" spans="1:18" s="20" customFormat="1" outlineLevel="1" x14ac:dyDescent="0.25">
      <c r="A32" s="3"/>
      <c r="B32" s="3" t="str">
        <f t="shared" si="17"/>
        <v>Ausgrid</v>
      </c>
      <c r="C32" s="3" t="str">
        <f t="shared" si="17"/>
        <v>Small business</v>
      </c>
      <c r="D32" s="3" t="str">
        <f t="shared" si="17"/>
        <v>without CL</v>
      </c>
      <c r="E32" s="3"/>
      <c r="F32" s="175"/>
      <c r="G32" s="3" t="s">
        <v>41</v>
      </c>
      <c r="H32" s="172"/>
      <c r="I32" s="172"/>
      <c r="J32" s="172">
        <f>SUM(J30,J31)*GST</f>
        <v>26.278954576382638</v>
      </c>
      <c r="K32" s="192"/>
      <c r="L32" s="172"/>
      <c r="M32" s="192"/>
      <c r="N32" s="172"/>
      <c r="O32" s="172"/>
      <c r="P32" s="172"/>
      <c r="Q32" s="172">
        <f>SUM(Q30,Q31)*GST</f>
        <v>22.105952989585397</v>
      </c>
      <c r="R32" s="193"/>
    </row>
    <row r="33" spans="1:18" s="20" customFormat="1" x14ac:dyDescent="0.25">
      <c r="A33" s="3"/>
      <c r="B33" s="3" t="str">
        <f t="shared" si="17"/>
        <v>Ausgrid</v>
      </c>
      <c r="C33" s="3" t="str">
        <f t="shared" si="17"/>
        <v>Small business</v>
      </c>
      <c r="D33" s="3" t="str">
        <f t="shared" si="17"/>
        <v>without CL</v>
      </c>
      <c r="E33" s="3"/>
      <c r="F33" s="175"/>
      <c r="G33" s="5" t="s">
        <v>87</v>
      </c>
      <c r="H33" s="174"/>
      <c r="I33" s="174"/>
      <c r="J33" s="174">
        <f>SUM(J30:J32)</f>
        <v>289.06850034020903</v>
      </c>
      <c r="K33" s="193"/>
      <c r="L33" s="174"/>
      <c r="M33" s="193">
        <f>IF(OR(J33=0,Q33=""),"",Q33/J33-1)</f>
        <v>-0.15879633166791163</v>
      </c>
      <c r="N33" s="174"/>
      <c r="O33" s="174"/>
      <c r="P33" s="174"/>
      <c r="Q33" s="174">
        <f>SUM(Q30:Q32)</f>
        <v>243.16548288543936</v>
      </c>
      <c r="R33" s="193"/>
    </row>
    <row r="34" spans="1:18" s="20" customFormat="1" x14ac:dyDescent="0.25">
      <c r="A34" s="3"/>
      <c r="B34" s="3" t="str">
        <f t="shared" si="17"/>
        <v>Ausgrid</v>
      </c>
      <c r="C34" s="3" t="str">
        <f t="shared" si="17"/>
        <v>Small business</v>
      </c>
      <c r="D34" s="3" t="str">
        <f t="shared" si="17"/>
        <v>without CL</v>
      </c>
      <c r="E34" s="3"/>
      <c r="F34" s="175"/>
      <c r="G34" s="3"/>
      <c r="H34" s="172"/>
      <c r="I34" s="172"/>
      <c r="J34" s="172"/>
      <c r="K34" s="191"/>
      <c r="L34" s="172"/>
      <c r="M34" s="191"/>
      <c r="N34" s="172"/>
      <c r="O34" s="172"/>
      <c r="P34" s="172"/>
      <c r="Q34" s="172"/>
      <c r="R34" s="191"/>
    </row>
    <row r="35" spans="1:18" x14ac:dyDescent="0.25">
      <c r="B35" s="5" t="s">
        <v>4</v>
      </c>
      <c r="C35" s="5" t="s">
        <v>6</v>
      </c>
      <c r="D35" s="5" t="s">
        <v>146</v>
      </c>
      <c r="F35" s="175"/>
      <c r="H35" s="172"/>
      <c r="I35" s="172"/>
      <c r="J35" s="172"/>
      <c r="K35" s="191"/>
      <c r="L35" s="173"/>
      <c r="M35" s="191"/>
      <c r="N35" s="173"/>
      <c r="O35" s="172"/>
      <c r="P35" s="172"/>
      <c r="Q35" s="172"/>
      <c r="R35" s="191"/>
    </row>
    <row r="36" spans="1:18" outlineLevel="1" x14ac:dyDescent="0.25">
      <c r="B36" s="3" t="str">
        <f>B35</f>
        <v>Endeavour</v>
      </c>
      <c r="C36" s="3" t="str">
        <f t="shared" ref="C36:D36" si="18">C35</f>
        <v>Residential</v>
      </c>
      <c r="D36" s="3" t="str">
        <f t="shared" si="18"/>
        <v>without CL</v>
      </c>
      <c r="E36" s="3" t="s">
        <v>22</v>
      </c>
      <c r="F36" s="175">
        <f t="array" ref="F36">IFERROR(INDEX(Usage!$B$5:$P$18,MATCH($B36,Usage!$B$5:$B$18,0),MATCH($C36&amp;$D36&amp;$E36&amp;"Total",Usage!$B$5:$S$5&amp;Usage!$B$6:$S$6&amp;Usage!$B$7:$S$7&amp;Usage!$B$13:$S$13,0)),0)</f>
        <v>4900</v>
      </c>
      <c r="G36" s="3" t="s">
        <v>201</v>
      </c>
      <c r="H36" s="172" cm="1">
        <f t="array" ref="H36">IFERROR(INDEX('Detail inputs'!$B$3:$K$196,MATCH($B36&amp;$G36&amp;H$5&amp;$C36,'Detail inputs'!$B$3:$B$196&amp;'Detail inputs'!$G$3:$G$196&amp;'Detail inputs'!$H$3:$H$196&amp;'Detail inputs'!$D$3:$D$196,0),MATCH(H$4,'Detail inputs'!$B$3:$K$3,0)),0)</f>
        <v>132</v>
      </c>
      <c r="I36" s="172"/>
      <c r="J36" s="172">
        <f>IF(AND(H36="",I36=""),"",H36+I36*$F36/1000)</f>
        <v>132</v>
      </c>
      <c r="K36" s="191">
        <f>IFERROR(J36/J39,"")</f>
        <v>0.73695718001148292</v>
      </c>
      <c r="L36" s="173"/>
      <c r="M36" s="191">
        <f>IF(OR(J36=0,Q36=""),"",Q36/J36-1)</f>
        <v>3.0303030303030276E-2</v>
      </c>
      <c r="N36" s="173"/>
      <c r="O36" s="172" cm="1">
        <f t="array" ref="O36">IFERROR(INDEX('Detail inputs'!$B$3:$K$196,MATCH($B36&amp;$G36&amp;O$5&amp;$C36,'Detail inputs'!$B$3:$B$196&amp;'Detail inputs'!$G$3:$G$196&amp;'Detail inputs'!$H$3:$H$196&amp;'Detail inputs'!$D$3:$D$196,0),MATCH(O$4,'Detail inputs'!$B$3:$K$3,0)),0)</f>
        <v>136</v>
      </c>
      <c r="P36" s="172"/>
      <c r="Q36" s="172">
        <f>IF(AND(O36="",P36=""),"",O36+P36*$F36/1000)</f>
        <v>136</v>
      </c>
      <c r="R36" s="191">
        <f>IFERROR(Q36/Q39,"")</f>
        <v>0.77361310300183705</v>
      </c>
    </row>
    <row r="37" spans="1:18" outlineLevel="1" x14ac:dyDescent="0.25">
      <c r="B37" s="3" t="str">
        <f t="shared" ref="B37:D43" si="19">B36</f>
        <v>Endeavour</v>
      </c>
      <c r="C37" s="3" t="str">
        <f t="shared" si="19"/>
        <v>Residential</v>
      </c>
      <c r="D37" s="3" t="str">
        <f t="shared" si="19"/>
        <v>without CL</v>
      </c>
      <c r="E37" s="3" t="s">
        <v>22</v>
      </c>
      <c r="F37" s="175">
        <f t="array" ref="F37">IFERROR(INDEX(Usage!$B$5:$P$18,MATCH($B37,Usage!$B$5:$B$18,0),MATCH($C37&amp;$D37&amp;$E37&amp;"Total",Usage!$B$5:$S$5&amp;Usage!$B$6:$S$6&amp;Usage!$B$7:$S$7&amp;Usage!$B$13:$S$13,0)),0)</f>
        <v>4900</v>
      </c>
      <c r="G37" s="3" t="s">
        <v>202</v>
      </c>
      <c r="H37" s="172" cm="1">
        <f t="array" ref="H37">IFERROR(INDEX('Detail inputs'!$B$3:$K$196,MATCH($B37&amp;$G37&amp;H$5&amp;$C37,'Detail inputs'!$B$3:$B$196&amp;'Detail inputs'!$G$3:$G$196&amp;'Detail inputs'!$H$3:$H$196&amp;'Detail inputs'!$D$3:$D$196,0),MATCH(H$4,'Detail inputs'!$B$3:$K$3,0)),0)</f>
        <v>21.4</v>
      </c>
      <c r="I37" s="172"/>
      <c r="J37" s="172">
        <f>IF(AND(H37="",I37=""),"",H37+I37*$F37/1000)</f>
        <v>21.4</v>
      </c>
      <c r="K37" s="191">
        <f>IFERROR(J37/J39,"")</f>
        <v>0.11947639130489192</v>
      </c>
      <c r="L37" s="173"/>
      <c r="M37" s="191">
        <f>IF(OR(J37=0,Q37=""),"",Q37/J37-1)</f>
        <v>0.10927430633345492</v>
      </c>
      <c r="N37" s="173"/>
      <c r="O37" s="172" cm="1">
        <f t="array" ref="O37">IFERROR(INDEX('Detail inputs'!$B$3:$K$196,MATCH($B37&amp;$G37&amp;O$5,'Detail inputs'!$B$3:$B$196&amp;'Detail inputs'!$G$3:$G$196&amp;'Detail inputs'!$H$3:$H$196,0),MATCH(O$4,'Detail inputs'!$B$3:$K$3,0)),0)</f>
        <v>23.738470155535932</v>
      </c>
      <c r="P37" s="172"/>
      <c r="Q37" s="172">
        <f>IF(AND(O37="",P37=""),"",O37+P37*$F37/1000)</f>
        <v>23.738470155535932</v>
      </c>
      <c r="R37" s="191">
        <f>IFERROR(Q37/Q39,"")</f>
        <v>0.13503229086426952</v>
      </c>
    </row>
    <row r="38" spans="1:18" outlineLevel="1" x14ac:dyDescent="0.25">
      <c r="B38" s="3" t="str">
        <f t="shared" si="19"/>
        <v>Endeavour</v>
      </c>
      <c r="C38" s="3" t="str">
        <f t="shared" si="19"/>
        <v>Residential</v>
      </c>
      <c r="D38" s="3" t="str">
        <f t="shared" si="19"/>
        <v>without CL</v>
      </c>
      <c r="E38" s="3" t="s">
        <v>22</v>
      </c>
      <c r="F38" s="175">
        <f t="array" ref="F38">IFERROR(INDEX(Usage!$B$5:$P$18,MATCH($B38,Usage!$B$5:$B$18,0),MATCH($C38&amp;$D38&amp;$E38&amp;"Total",Usage!$B$5:$S$5&amp;Usage!$B$6:$S$6&amp;Usage!$B$7:$S$7&amp;Usage!$B$13:$S$13,0)),0)</f>
        <v>4900</v>
      </c>
      <c r="G38" s="3" t="s">
        <v>203</v>
      </c>
      <c r="H38" s="172" cm="1">
        <f t="array" ref="H38">IFERROR(INDEX('Detail inputs'!$B$3:$K$196,MATCH($B38&amp;$G38&amp;H$5,'Detail inputs'!$B$3:$B$196&amp;'Detail inputs'!$G$3:$G$196&amp;'Detail inputs'!$H$3:$H$196,0),MATCH(H$4,'Detail inputs'!$B$3:$K$3,0)),0)</f>
        <v>25.714884256834605</v>
      </c>
      <c r="I38" s="172"/>
      <c r="J38" s="172">
        <f>IF(AND(H38="",I38=""),"",H38+I38*$F38/1000)</f>
        <v>25.714884256834605</v>
      </c>
      <c r="K38" s="191">
        <f>IFERROR(J38/J39,"")</f>
        <v>0.14356642868362507</v>
      </c>
      <c r="L38" s="173"/>
      <c r="M38" s="191">
        <f>IF(OR(J38=0,Q38=""),"",Q38/J38-1)</f>
        <v>-0.37545898167006109</v>
      </c>
      <c r="N38" s="173"/>
      <c r="O38" s="172" cm="1">
        <f t="array" ref="O38">IFERROR(INDEX('Detail inputs'!$B$3:$K$196,MATCH($B38&amp;$G38&amp;O$5,'Detail inputs'!$B$3:$B$196&amp;'Detail inputs'!$G$3:$G$196&amp;'Detail inputs'!$H$3:$H$196,0),MATCH(O$4,'Detail inputs'!$B$3:$K$3,0)),0)</f>
        <v>16.059999999999999</v>
      </c>
      <c r="P38" s="172"/>
      <c r="Q38" s="172">
        <f>IF(AND(O38="",P38=""),"",O38+P38*$F38/1000)</f>
        <v>16.059999999999999</v>
      </c>
      <c r="R38" s="191">
        <f>IFERROR(Q38/Q39,"")</f>
        <v>9.1354606133893401E-2</v>
      </c>
    </row>
    <row r="39" spans="1:18" s="20" customFormat="1" x14ac:dyDescent="0.25">
      <c r="A39" s="3"/>
      <c r="B39" s="3" t="str">
        <f t="shared" si="19"/>
        <v>Endeavour</v>
      </c>
      <c r="C39" s="3" t="str">
        <f t="shared" si="19"/>
        <v>Residential</v>
      </c>
      <c r="D39" s="3" t="str">
        <f t="shared" si="19"/>
        <v>without CL</v>
      </c>
      <c r="E39" s="3" t="s">
        <v>22</v>
      </c>
      <c r="F39" s="175">
        <f t="array" ref="F39">IFERROR(INDEX(Usage!$B$5:$P$18,MATCH($B39,Usage!$B$5:$B$18,0),MATCH($C39&amp;$D39&amp;$E39&amp;"Total",Usage!$B$5:$S$5&amp;Usage!$B$6:$S$6&amp;Usage!$B$7:$S$7&amp;Usage!$B$13:$S$13,0)),0)</f>
        <v>4900</v>
      </c>
      <c r="G39" s="3" t="s">
        <v>61</v>
      </c>
      <c r="H39" s="172">
        <f>SUM(H36:H38)</f>
        <v>179.11488425683461</v>
      </c>
      <c r="I39" s="172"/>
      <c r="J39" s="172">
        <f>IF(AND(H39="",I39=""),"",H39+I39*$F39/1000)</f>
        <v>179.11488425683461</v>
      </c>
      <c r="K39" s="192"/>
      <c r="L39" s="172"/>
      <c r="M39" s="192">
        <f>IF(OR(J39=0,Q39=""),"",Q39/J39-1)</f>
        <v>-1.8515569574571122E-2</v>
      </c>
      <c r="N39" s="172"/>
      <c r="O39" s="172">
        <f>SUM(O36:O38)</f>
        <v>175.79847015553594</v>
      </c>
      <c r="P39" s="172"/>
      <c r="Q39" s="172">
        <f>IF(AND(O39="",P39=""),"",O39+P39*$F39/1000)</f>
        <v>175.79847015553594</v>
      </c>
      <c r="R39" s="192"/>
    </row>
    <row r="40" spans="1:18" s="20" customFormat="1" x14ac:dyDescent="0.25">
      <c r="A40" s="3"/>
      <c r="B40" s="3" t="str">
        <f t="shared" si="19"/>
        <v>Endeavour</v>
      </c>
      <c r="C40" s="3" t="str">
        <f t="shared" si="19"/>
        <v>Residential</v>
      </c>
      <c r="D40" s="3" t="str">
        <f t="shared" si="19"/>
        <v>without CL</v>
      </c>
      <c r="E40" s="3" t="s">
        <v>22</v>
      </c>
      <c r="F40" s="175">
        <f t="array" ref="F40">IFERROR(INDEX(Usage!$B$5:$P$18,MATCH($B40,Usage!$B$5:$B$18,0),MATCH($C40&amp;$D40&amp;$E40&amp;"Total",Usage!$B$5:$S$5&amp;Usage!$B$6:$S$6&amp;Usage!$B$7:$S$7&amp;Usage!$B$13:$S$13,0)),0)</f>
        <v>4900</v>
      </c>
      <c r="G40" s="3" t="s">
        <v>209</v>
      </c>
      <c r="H40" s="172">
        <f>H39*CPIPY</f>
        <v>17.882382256991729</v>
      </c>
      <c r="I40" s="172"/>
      <c r="J40" s="172">
        <f>J39*CPIPY</f>
        <v>17.882382256991729</v>
      </c>
      <c r="K40" s="192"/>
      <c r="L40" s="172"/>
      <c r="M40" s="192">
        <f>IF(OR(J40=0,Q40=""),"",Q40/J40-1)</f>
        <v>3.0884297838851937E-2</v>
      </c>
      <c r="N40" s="172"/>
      <c r="O40" s="172">
        <f>O39*CPI</f>
        <v>18.434667076684864</v>
      </c>
      <c r="P40" s="172"/>
      <c r="Q40" s="172">
        <f>Q39*CPI</f>
        <v>18.434667076684864</v>
      </c>
      <c r="R40" s="192"/>
    </row>
    <row r="41" spans="1:18" s="20" customFormat="1" outlineLevel="1" x14ac:dyDescent="0.25">
      <c r="A41" s="3"/>
      <c r="B41" s="3" t="str">
        <f t="shared" si="19"/>
        <v>Endeavour</v>
      </c>
      <c r="C41" s="3" t="str">
        <f t="shared" si="19"/>
        <v>Residential</v>
      </c>
      <c r="D41" s="3" t="str">
        <f t="shared" si="19"/>
        <v>without CL</v>
      </c>
      <c r="E41" s="3"/>
      <c r="F41" s="175"/>
      <c r="G41" s="3" t="s">
        <v>41</v>
      </c>
      <c r="H41" s="172"/>
      <c r="I41" s="172"/>
      <c r="J41" s="172">
        <f>SUM(J39,J40)*GST</f>
        <v>19.699726651382633</v>
      </c>
      <c r="K41" s="192"/>
      <c r="L41" s="172"/>
      <c r="M41" s="192"/>
      <c r="N41" s="172"/>
      <c r="O41" s="172"/>
      <c r="P41" s="172"/>
      <c r="Q41" s="172">
        <f>SUM(Q39,Q40)*GST</f>
        <v>19.42331372322208</v>
      </c>
      <c r="R41" s="193"/>
    </row>
    <row r="42" spans="1:18" s="20" customFormat="1" x14ac:dyDescent="0.25">
      <c r="A42" s="3"/>
      <c r="B42" s="3" t="str">
        <f t="shared" si="19"/>
        <v>Endeavour</v>
      </c>
      <c r="C42" s="3" t="str">
        <f t="shared" si="19"/>
        <v>Residential</v>
      </c>
      <c r="D42" s="3" t="str">
        <f t="shared" si="19"/>
        <v>without CL</v>
      </c>
      <c r="E42" s="3"/>
      <c r="F42" s="175"/>
      <c r="G42" s="5" t="s">
        <v>87</v>
      </c>
      <c r="H42" s="174"/>
      <c r="I42" s="174"/>
      <c r="J42" s="174">
        <f>SUM(J39:J41)</f>
        <v>216.69699316520897</v>
      </c>
      <c r="K42" s="193"/>
      <c r="L42" s="174"/>
      <c r="M42" s="193">
        <f>IF(OR(J42=0,Q42=""),"",Q42/J42-1)</f>
        <v>-1.403130779691053E-2</v>
      </c>
      <c r="N42" s="174"/>
      <c r="O42" s="174"/>
      <c r="P42" s="174"/>
      <c r="Q42" s="174">
        <f>SUM(Q39:Q41)</f>
        <v>213.65645095544289</v>
      </c>
      <c r="R42" s="193"/>
    </row>
    <row r="43" spans="1:18" s="20" customFormat="1" x14ac:dyDescent="0.25">
      <c r="A43" s="3"/>
      <c r="B43" s="3" t="str">
        <f t="shared" si="19"/>
        <v>Endeavour</v>
      </c>
      <c r="C43" s="3" t="str">
        <f t="shared" si="19"/>
        <v>Residential</v>
      </c>
      <c r="D43" s="3" t="str">
        <f t="shared" si="19"/>
        <v>without CL</v>
      </c>
      <c r="E43" s="3"/>
      <c r="F43" s="175"/>
      <c r="G43" s="3"/>
      <c r="H43" s="172"/>
      <c r="I43" s="172"/>
      <c r="J43" s="172"/>
      <c r="K43" s="191"/>
      <c r="L43" s="172"/>
      <c r="M43" s="191"/>
      <c r="N43" s="172"/>
      <c r="O43" s="172"/>
      <c r="P43" s="172"/>
      <c r="Q43" s="172"/>
      <c r="R43" s="191"/>
    </row>
    <row r="44" spans="1:18" s="20" customFormat="1" x14ac:dyDescent="0.25">
      <c r="A44" s="3"/>
      <c r="B44" s="5" t="s">
        <v>4</v>
      </c>
      <c r="C44" s="5" t="s">
        <v>6</v>
      </c>
      <c r="D44" s="5" t="s">
        <v>147</v>
      </c>
      <c r="E44" s="3"/>
      <c r="F44" s="175"/>
      <c r="G44" s="3"/>
      <c r="H44" s="172"/>
      <c r="I44" s="172"/>
      <c r="J44" s="172"/>
      <c r="K44" s="191"/>
      <c r="L44" s="172"/>
      <c r="M44" s="191"/>
      <c r="N44" s="172"/>
      <c r="O44" s="172"/>
      <c r="P44" s="172"/>
      <c r="Q44" s="172"/>
      <c r="R44" s="191"/>
    </row>
    <row r="45" spans="1:18" outlineLevel="1" x14ac:dyDescent="0.25">
      <c r="B45" s="3" t="str">
        <f t="shared" ref="B45:D45" si="20">B44</f>
        <v>Endeavour</v>
      </c>
      <c r="C45" s="3" t="str">
        <f t="shared" si="20"/>
        <v>Residential</v>
      </c>
      <c r="D45" s="3" t="str">
        <f t="shared" si="20"/>
        <v>with CL</v>
      </c>
      <c r="E45" s="3" t="s">
        <v>22</v>
      </c>
      <c r="F45" s="175">
        <f t="array" ref="F45">IFERROR(INDEX(Usage!$B$5:$P$18,MATCH($B45,Usage!$B$5:$B$18,0),MATCH($C45&amp;$D45&amp;$E45&amp;"Total",Usage!$B$5:$S$5&amp;Usage!$B$6:$S$6&amp;Usage!$B$7:$S$7&amp;Usage!$B$13:$S$13,0)),0)</f>
        <v>5200</v>
      </c>
      <c r="G45" s="3" t="s">
        <v>201</v>
      </c>
      <c r="H45" s="172" cm="1">
        <f t="array" ref="H45">IFERROR(INDEX('Detail inputs'!$B$3:$K$196,MATCH($B45&amp;$G45&amp;H$5&amp;$C45,'Detail inputs'!$B$3:$B$196&amp;'Detail inputs'!$G$3:$G$196&amp;'Detail inputs'!$H$3:$H$196&amp;'Detail inputs'!$D$3:$D$196,0),MATCH(H$4,'Detail inputs'!$B$3:$K$3,0)),0)</f>
        <v>132</v>
      </c>
      <c r="I45" s="172"/>
      <c r="J45" s="172">
        <f>IF(AND(H45="",I45=""),"",H45+I45*$F45/1000)</f>
        <v>132</v>
      </c>
      <c r="K45" s="191">
        <f>IFERROR(J45/J48,"")</f>
        <v>0.73695718001148292</v>
      </c>
      <c r="L45" s="173"/>
      <c r="M45" s="191">
        <f>IF(OR(J45=0,Q45=""),"",Q45/J45-1)</f>
        <v>3.0303030303030276E-2</v>
      </c>
      <c r="N45" s="173"/>
      <c r="O45" s="172" cm="1">
        <f t="array" ref="O45">IFERROR(INDEX('Detail inputs'!$B$3:$K$196,MATCH($B45&amp;$G45&amp;O$5&amp;$C45,'Detail inputs'!$B$3:$B$196&amp;'Detail inputs'!$G$3:$G$196&amp;'Detail inputs'!$H$3:$H$196&amp;'Detail inputs'!$D$3:$D$196,0),MATCH(O$4,'Detail inputs'!$B$3:$K$3,0)),0)</f>
        <v>136</v>
      </c>
      <c r="P45" s="172"/>
      <c r="Q45" s="172">
        <f>IF(AND(O45="",P45=""),"",O45+P45*$F45/1000)</f>
        <v>136</v>
      </c>
      <c r="R45" s="191">
        <f>IFERROR(Q45/Q48,"")</f>
        <v>0.77361310300183705</v>
      </c>
    </row>
    <row r="46" spans="1:18" outlineLevel="1" x14ac:dyDescent="0.25">
      <c r="B46" s="3" t="str">
        <f t="shared" ref="B46:D46" si="21">B45</f>
        <v>Endeavour</v>
      </c>
      <c r="C46" s="3" t="str">
        <f t="shared" si="21"/>
        <v>Residential</v>
      </c>
      <c r="D46" s="3" t="str">
        <f t="shared" si="21"/>
        <v>with CL</v>
      </c>
      <c r="E46" s="3" t="s">
        <v>22</v>
      </c>
      <c r="F46" s="175">
        <f t="array" ref="F46">IFERROR(INDEX(Usage!$B$5:$P$18,MATCH($B46,Usage!$B$5:$B$18,0),MATCH($C46&amp;$D46&amp;$E46&amp;"Total",Usage!$B$5:$S$5&amp;Usage!$B$6:$S$6&amp;Usage!$B$7:$S$7&amp;Usage!$B$13:$S$13,0)),0)</f>
        <v>5200</v>
      </c>
      <c r="G46" s="3" t="s">
        <v>202</v>
      </c>
      <c r="H46" s="172" cm="1">
        <f t="array" ref="H46">IFERROR(INDEX('Detail inputs'!$B$3:$K$196,MATCH($B46&amp;$G46&amp;H$5&amp;$C46,'Detail inputs'!$B$3:$B$196&amp;'Detail inputs'!$G$3:$G$196&amp;'Detail inputs'!$H$3:$H$196&amp;'Detail inputs'!$D$3:$D$196,0),MATCH(H$4,'Detail inputs'!$B$3:$K$3,0)),0)</f>
        <v>21.4</v>
      </c>
      <c r="I46" s="172"/>
      <c r="J46" s="172">
        <f>IF(AND(H46="",I46=""),"",H46+I46*$F46/1000)</f>
        <v>21.4</v>
      </c>
      <c r="K46" s="191">
        <f>IFERROR(J46/J48,"")</f>
        <v>0.11947639130489192</v>
      </c>
      <c r="L46" s="173"/>
      <c r="M46" s="191">
        <f>IF(OR(J46=0,Q46=""),"",Q46/J46-1)</f>
        <v>0.10927430633345492</v>
      </c>
      <c r="N46" s="173"/>
      <c r="O46" s="172" cm="1">
        <f t="array" ref="O46">IFERROR(INDEX('Detail inputs'!$B$3:$K$196,MATCH($B46&amp;$G46&amp;O$5,'Detail inputs'!$B$3:$B$196&amp;'Detail inputs'!$G$3:$G$196&amp;'Detail inputs'!$H$3:$H$196,0),MATCH(O$4,'Detail inputs'!$B$3:$K$3,0)),0)</f>
        <v>23.738470155535932</v>
      </c>
      <c r="P46" s="172"/>
      <c r="Q46" s="172">
        <f>IF(AND(O46="",P46=""),"",O46+P46*$F46/1000)</f>
        <v>23.738470155535932</v>
      </c>
      <c r="R46" s="191">
        <f>IFERROR(Q46/Q48,"")</f>
        <v>0.13503229086426952</v>
      </c>
    </row>
    <row r="47" spans="1:18" outlineLevel="1" x14ac:dyDescent="0.25">
      <c r="B47" s="3" t="str">
        <f t="shared" ref="B47:D47" si="22">B46</f>
        <v>Endeavour</v>
      </c>
      <c r="C47" s="3" t="str">
        <f t="shared" si="22"/>
        <v>Residential</v>
      </c>
      <c r="D47" s="3" t="str">
        <f t="shared" si="22"/>
        <v>with CL</v>
      </c>
      <c r="E47" s="3" t="s">
        <v>22</v>
      </c>
      <c r="F47" s="175">
        <f t="array" ref="F47">IFERROR(INDEX(Usage!$B$5:$P$18,MATCH($B47,Usage!$B$5:$B$18,0),MATCH($C47&amp;$D47&amp;$E47&amp;"Total",Usage!$B$5:$S$5&amp;Usage!$B$6:$S$6&amp;Usage!$B$7:$S$7&amp;Usage!$B$13:$S$13,0)),0)</f>
        <v>5200</v>
      </c>
      <c r="G47" s="3" t="s">
        <v>203</v>
      </c>
      <c r="H47" s="172" cm="1">
        <f t="array" ref="H47">IFERROR(INDEX('Detail inputs'!$B$3:$K$196,MATCH($B47&amp;$G47&amp;H$5,'Detail inputs'!$B$3:$B$196&amp;'Detail inputs'!$G$3:$G$196&amp;'Detail inputs'!$H$3:$H$196,0),MATCH(H$4,'Detail inputs'!$B$3:$K$3,0)),0)</f>
        <v>25.714884256834605</v>
      </c>
      <c r="I47" s="172"/>
      <c r="J47" s="172">
        <f>IF(AND(H47="",I47=""),"",H47+I47*$F47/1000)</f>
        <v>25.714884256834605</v>
      </c>
      <c r="K47" s="191">
        <f>IFERROR(J47/J48,"")</f>
        <v>0.14356642868362507</v>
      </c>
      <c r="L47" s="173"/>
      <c r="M47" s="191">
        <f>IF(OR(J47=0,Q47=""),"",Q47/J47-1)</f>
        <v>-0.37545898167006109</v>
      </c>
      <c r="N47" s="173"/>
      <c r="O47" s="172" cm="1">
        <f t="array" ref="O47">IFERROR(INDEX('Detail inputs'!$B$3:$K$196,MATCH($B47&amp;$G47&amp;O$5,'Detail inputs'!$B$3:$B$196&amp;'Detail inputs'!$G$3:$G$196&amp;'Detail inputs'!$H$3:$H$196,0),MATCH(O$4,'Detail inputs'!$B$3:$K$3,0)),0)</f>
        <v>16.059999999999999</v>
      </c>
      <c r="P47" s="172"/>
      <c r="Q47" s="172">
        <f>IF(AND(O47="",P47=""),"",O47+P47*$F47/1000)</f>
        <v>16.059999999999999</v>
      </c>
      <c r="R47" s="191">
        <f>IFERROR(Q47/Q48,"")</f>
        <v>9.1354606133893401E-2</v>
      </c>
    </row>
    <row r="48" spans="1:18" s="20" customFormat="1" x14ac:dyDescent="0.25">
      <c r="A48" s="3"/>
      <c r="B48" s="3" t="str">
        <f t="shared" ref="B48:D48" si="23">B47</f>
        <v>Endeavour</v>
      </c>
      <c r="C48" s="3" t="str">
        <f t="shared" si="23"/>
        <v>Residential</v>
      </c>
      <c r="D48" s="3" t="str">
        <f t="shared" si="23"/>
        <v>with CL</v>
      </c>
      <c r="E48" s="3" t="s">
        <v>22</v>
      </c>
      <c r="F48" s="175">
        <f t="array" ref="F48">IFERROR(INDEX(Usage!$B$5:$P$18,MATCH($B48,Usage!$B$5:$B$18,0),MATCH($C48&amp;$D48&amp;$E48&amp;"Total",Usage!$B$5:$S$5&amp;Usage!$B$6:$S$6&amp;Usage!$B$7:$S$7&amp;Usage!$B$13:$S$13,0)),0)</f>
        <v>5200</v>
      </c>
      <c r="G48" s="3" t="s">
        <v>61</v>
      </c>
      <c r="H48" s="172">
        <f>SUM(H45:H47)</f>
        <v>179.11488425683461</v>
      </c>
      <c r="I48" s="172"/>
      <c r="J48" s="172">
        <f>IF(AND(H48="",I48=""),"",H48+I48*$F48/1000)</f>
        <v>179.11488425683461</v>
      </c>
      <c r="K48" s="192"/>
      <c r="L48" s="172"/>
      <c r="M48" s="192">
        <f>IF(OR(J48=0,Q48=""),"",Q48/J48-1)</f>
        <v>-1.8515569574571122E-2</v>
      </c>
      <c r="N48" s="172"/>
      <c r="O48" s="172">
        <f>SUM(O45:O47)</f>
        <v>175.79847015553594</v>
      </c>
      <c r="P48" s="172"/>
      <c r="Q48" s="172">
        <f>IF(AND(O48="",P48=""),"",O48+P48*$F48/1000)</f>
        <v>175.79847015553594</v>
      </c>
      <c r="R48" s="192"/>
    </row>
    <row r="49" spans="1:18" s="20" customFormat="1" x14ac:dyDescent="0.25">
      <c r="A49" s="3"/>
      <c r="B49" s="3" t="str">
        <f t="shared" ref="B49:D49" si="24">B48</f>
        <v>Endeavour</v>
      </c>
      <c r="C49" s="3" t="str">
        <f t="shared" si="24"/>
        <v>Residential</v>
      </c>
      <c r="D49" s="3" t="str">
        <f t="shared" si="24"/>
        <v>with CL</v>
      </c>
      <c r="E49" s="3" t="s">
        <v>22</v>
      </c>
      <c r="F49" s="175">
        <f t="array" ref="F49">IFERROR(INDEX(Usage!$B$5:$P$18,MATCH($B49,Usage!$B$5:$B$18,0),MATCH($C49&amp;$D49&amp;$E49&amp;"Total",Usage!$B$5:$S$5&amp;Usage!$B$6:$S$6&amp;Usage!$B$7:$S$7&amp;Usage!$B$13:$S$13,0)),0)</f>
        <v>5200</v>
      </c>
      <c r="G49" s="3" t="s">
        <v>209</v>
      </c>
      <c r="H49" s="172">
        <f>H48*CPIPY</f>
        <v>17.882382256991729</v>
      </c>
      <c r="I49" s="172"/>
      <c r="J49" s="172">
        <f>J48*CPIPY</f>
        <v>17.882382256991729</v>
      </c>
      <c r="K49" s="192"/>
      <c r="L49" s="172"/>
      <c r="M49" s="192">
        <f>IF(OR(J49=0,Q49=""),"",Q49/J49-1)</f>
        <v>3.0884297838851937E-2</v>
      </c>
      <c r="N49" s="172"/>
      <c r="O49" s="172">
        <f>O48*CPI</f>
        <v>18.434667076684864</v>
      </c>
      <c r="P49" s="172"/>
      <c r="Q49" s="172">
        <f>Q48*CPI</f>
        <v>18.434667076684864</v>
      </c>
      <c r="R49" s="192"/>
    </row>
    <row r="50" spans="1:18" s="20" customFormat="1" outlineLevel="1" x14ac:dyDescent="0.25">
      <c r="A50" s="3"/>
      <c r="B50" s="3" t="str">
        <f t="shared" ref="B50:D50" si="25">B49</f>
        <v>Endeavour</v>
      </c>
      <c r="C50" s="3" t="str">
        <f t="shared" si="25"/>
        <v>Residential</v>
      </c>
      <c r="D50" s="3" t="str">
        <f t="shared" si="25"/>
        <v>with CL</v>
      </c>
      <c r="E50" s="3"/>
      <c r="F50" s="175"/>
      <c r="G50" s="3" t="s">
        <v>41</v>
      </c>
      <c r="H50" s="172"/>
      <c r="I50" s="172"/>
      <c r="J50" s="172">
        <f>SUM(J48,J49)*GST</f>
        <v>19.699726651382633</v>
      </c>
      <c r="K50" s="192"/>
      <c r="L50" s="172"/>
      <c r="M50" s="192"/>
      <c r="N50" s="172"/>
      <c r="O50" s="172"/>
      <c r="P50" s="172"/>
      <c r="Q50" s="172">
        <f>SUM(Q48,Q49)*GST</f>
        <v>19.42331372322208</v>
      </c>
      <c r="R50" s="193"/>
    </row>
    <row r="51" spans="1:18" s="20" customFormat="1" x14ac:dyDescent="0.25">
      <c r="A51" s="3"/>
      <c r="B51" s="3" t="str">
        <f t="shared" ref="B51:D51" si="26">B50</f>
        <v>Endeavour</v>
      </c>
      <c r="C51" s="3" t="str">
        <f t="shared" si="26"/>
        <v>Residential</v>
      </c>
      <c r="D51" s="3" t="str">
        <f t="shared" si="26"/>
        <v>with CL</v>
      </c>
      <c r="E51" s="3"/>
      <c r="F51" s="175"/>
      <c r="G51" s="5" t="s">
        <v>87</v>
      </c>
      <c r="H51" s="174"/>
      <c r="I51" s="174"/>
      <c r="J51" s="174">
        <f>SUM(J48:J50)</f>
        <v>216.69699316520897</v>
      </c>
      <c r="K51" s="193"/>
      <c r="L51" s="174"/>
      <c r="M51" s="193">
        <f>IF(OR(J51=0,Q51=""),"",Q51/J51-1)</f>
        <v>-1.403130779691053E-2</v>
      </c>
      <c r="N51" s="174"/>
      <c r="O51" s="174"/>
      <c r="P51" s="174"/>
      <c r="Q51" s="174">
        <f>SUM(Q48:Q50)</f>
        <v>213.65645095544289</v>
      </c>
      <c r="R51" s="193"/>
    </row>
    <row r="52" spans="1:18" s="20" customFormat="1" x14ac:dyDescent="0.25">
      <c r="A52" s="3"/>
      <c r="B52" s="3" t="str">
        <f t="shared" ref="B52:D52" si="27">B51</f>
        <v>Endeavour</v>
      </c>
      <c r="C52" s="3" t="str">
        <f t="shared" si="27"/>
        <v>Residential</v>
      </c>
      <c r="D52" s="3" t="str">
        <f t="shared" si="27"/>
        <v>with CL</v>
      </c>
      <c r="E52" s="3"/>
      <c r="F52" s="175"/>
      <c r="G52" s="3"/>
      <c r="H52" s="172"/>
      <c r="I52" s="172"/>
      <c r="J52" s="172"/>
      <c r="K52" s="191"/>
      <c r="L52" s="172"/>
      <c r="M52" s="191"/>
      <c r="N52" s="172"/>
      <c r="O52" s="172"/>
      <c r="P52" s="172"/>
      <c r="Q52" s="172"/>
      <c r="R52" s="191"/>
    </row>
    <row r="53" spans="1:18" s="20" customFormat="1" x14ac:dyDescent="0.25">
      <c r="A53" s="3"/>
      <c r="B53" s="5" t="s">
        <v>4</v>
      </c>
      <c r="C53" s="5" t="s">
        <v>15</v>
      </c>
      <c r="D53" s="5" t="s">
        <v>146</v>
      </c>
      <c r="E53" s="3"/>
      <c r="F53" s="175"/>
      <c r="G53" s="3"/>
      <c r="H53" s="172"/>
      <c r="I53" s="172"/>
      <c r="J53" s="172"/>
      <c r="K53" s="191"/>
      <c r="L53" s="172"/>
      <c r="M53" s="191"/>
      <c r="N53" s="172"/>
      <c r="O53" s="172"/>
      <c r="P53" s="172"/>
      <c r="Q53" s="172"/>
      <c r="R53" s="191"/>
    </row>
    <row r="54" spans="1:18" outlineLevel="1" x14ac:dyDescent="0.25">
      <c r="B54" s="3" t="str">
        <f t="shared" ref="B54:D54" si="28">B53</f>
        <v>Endeavour</v>
      </c>
      <c r="C54" s="3" t="str">
        <f t="shared" si="28"/>
        <v>Small business</v>
      </c>
      <c r="D54" s="3" t="str">
        <f t="shared" si="28"/>
        <v>without CL</v>
      </c>
      <c r="E54" s="3" t="s">
        <v>22</v>
      </c>
      <c r="F54" s="175">
        <f t="array" ref="F54">IFERROR(INDEX(Usage!$B$5:$P$18,MATCH($B54,Usage!$B$5:$B$18,0),MATCH($C54&amp;$D54&amp;$E54&amp;"Total",Usage!$B$5:$S$5&amp;Usage!$B$6:$S$6&amp;Usage!$B$7:$S$7&amp;Usage!$B$13:$S$13,0)),0)</f>
        <v>10000</v>
      </c>
      <c r="G54" s="3" t="s">
        <v>201</v>
      </c>
      <c r="H54" s="172" cm="1">
        <f t="array" ref="H54">IFERROR(INDEX('Detail inputs'!$B$3:$K$196,MATCH($B54&amp;$G54&amp;H$5&amp;$C54,'Detail inputs'!$B$3:$B$196&amp;'Detail inputs'!$G$3:$G$196&amp;'Detail inputs'!$H$3:$H$196&amp;'Detail inputs'!$D$3:$D$196,0),MATCH(H$4,'Detail inputs'!$B$3:$K$3,0)),0)</f>
        <v>204</v>
      </c>
      <c r="I54" s="172"/>
      <c r="J54" s="172">
        <f>IF(AND(H54="",I54=""),"",H54+I54*$F54/1000)</f>
        <v>204</v>
      </c>
      <c r="K54" s="191">
        <f>IFERROR(J54/J57,"")</f>
        <v>0.8339639700166781</v>
      </c>
      <c r="L54" s="173"/>
      <c r="M54" s="191">
        <f>IF(OR(J54=0,Q54=""),"",Q54/J54-1)</f>
        <v>-0.19117647058823528</v>
      </c>
      <c r="N54" s="173"/>
      <c r="O54" s="172" cm="1">
        <f t="array" ref="O54">IFERROR(INDEX('Detail inputs'!$B$3:$K$196,MATCH($B54&amp;$G54&amp;O$5&amp;$C54,'Detail inputs'!$B$3:$B$196&amp;'Detail inputs'!$G$3:$G$196&amp;'Detail inputs'!$H$3:$H$196&amp;'Detail inputs'!$D$3:$D$196,0),MATCH(O$4,'Detail inputs'!$B$3:$K$3,0)),0)</f>
        <v>165</v>
      </c>
      <c r="P54" s="172"/>
      <c r="Q54" s="172">
        <f>IF(AND(O54="",P54=""),"",O54+P54*$F54/1000)</f>
        <v>165</v>
      </c>
      <c r="R54" s="191">
        <f>IFERROR(Q54/Q57,"")</f>
        <v>0.82928578129659813</v>
      </c>
    </row>
    <row r="55" spans="1:18" outlineLevel="1" x14ac:dyDescent="0.25">
      <c r="B55" s="3" t="str">
        <f t="shared" ref="B55:D55" si="29">B54</f>
        <v>Endeavour</v>
      </c>
      <c r="C55" s="3" t="str">
        <f t="shared" si="29"/>
        <v>Small business</v>
      </c>
      <c r="D55" s="3" t="str">
        <f t="shared" si="29"/>
        <v>without CL</v>
      </c>
      <c r="E55" s="3" t="s">
        <v>22</v>
      </c>
      <c r="F55" s="175">
        <f t="array" ref="F55">IFERROR(INDEX(Usage!$B$5:$P$18,MATCH($B55,Usage!$B$5:$B$18,0),MATCH($C55&amp;$D55&amp;$E55&amp;"Total",Usage!$B$5:$S$5&amp;Usage!$B$6:$S$6&amp;Usage!$B$7:$S$7&amp;Usage!$B$13:$S$13,0)),0)</f>
        <v>10000</v>
      </c>
      <c r="G55" s="3" t="s">
        <v>202</v>
      </c>
      <c r="H55" s="172" cm="1">
        <f t="array" ref="H55">IFERROR(INDEX('Detail inputs'!$B$3:$K$196,MATCH($B55&amp;$G55&amp;H$5&amp;$C55,'Detail inputs'!$B$3:$B$196&amp;'Detail inputs'!$G$3:$G$196&amp;'Detail inputs'!$H$3:$H$196&amp;'Detail inputs'!$D$3:$D$196,0),MATCH(H$4,'Detail inputs'!$B$3:$K$3,0)),0)</f>
        <v>14.9</v>
      </c>
      <c r="I55" s="172"/>
      <c r="J55" s="172">
        <f>IF(AND(H55="",I55=""),"",H55+I55*$F55/1000)</f>
        <v>14.9</v>
      </c>
      <c r="K55" s="191">
        <f>IFERROR(J55/J57,"")</f>
        <v>6.0912074280629919E-2</v>
      </c>
      <c r="L55" s="173"/>
      <c r="M55" s="191">
        <f>IF(OR(J55=0,Q55=""),"",Q55/J55-1)</f>
        <v>0.20177128799638688</v>
      </c>
      <c r="N55" s="173"/>
      <c r="O55" s="172" cm="1">
        <f t="array" ref="O55">IFERROR(INDEX('Detail inputs'!$B$3:$K$196,MATCH($B55&amp;$G55&amp;O$5&amp;$C55,'Detail inputs'!$B$3:$B$196&amp;'Detail inputs'!$G$3:$G$196&amp;'Detail inputs'!$H$3:$H$196&amp;'Detail inputs'!$D$3:$D$196,0),MATCH(O$4,'Detail inputs'!$B$3:$K$3,0)),0)</f>
        <v>17.906392191146164</v>
      </c>
      <c r="P55" s="172"/>
      <c r="Q55" s="172">
        <f>IF(AND(O55="",P55=""),"",O55+P55*$F55/1000)</f>
        <v>17.906392191146164</v>
      </c>
      <c r="R55" s="191">
        <f>IFERROR(Q55/Q57,"")</f>
        <v>8.9997069323866363E-2</v>
      </c>
    </row>
    <row r="56" spans="1:18" outlineLevel="1" x14ac:dyDescent="0.25">
      <c r="B56" s="3" t="str">
        <f t="shared" ref="B56:D56" si="30">B55</f>
        <v>Endeavour</v>
      </c>
      <c r="C56" s="3" t="str">
        <f t="shared" si="30"/>
        <v>Small business</v>
      </c>
      <c r="D56" s="3" t="str">
        <f t="shared" si="30"/>
        <v>without CL</v>
      </c>
      <c r="E56" s="3" t="s">
        <v>22</v>
      </c>
      <c r="F56" s="175">
        <f t="array" ref="F56">IFERROR(INDEX(Usage!$B$5:$P$18,MATCH($B56,Usage!$B$5:$B$18,0),MATCH($C56&amp;$D56&amp;$E56&amp;"Total",Usage!$B$5:$S$5&amp;Usage!$B$6:$S$6&amp;Usage!$B$7:$S$7&amp;Usage!$B$13:$S$13,0)),0)</f>
        <v>10000</v>
      </c>
      <c r="G56" s="3" t="s">
        <v>203</v>
      </c>
      <c r="H56" s="172" cm="1">
        <f t="array" ref="H56">IFERROR(INDEX('Detail inputs'!$B$3:$K$196,MATCH($B56&amp;$G56&amp;H$5,'Detail inputs'!$B$3:$B$196&amp;'Detail inputs'!$G$3:$G$196&amp;'Detail inputs'!$H$3:$H$196,0),MATCH(H$4,'Detail inputs'!$B$3:$K$3,0)),0)</f>
        <v>25.714884256834605</v>
      </c>
      <c r="I56" s="172"/>
      <c r="J56" s="172">
        <f>IF(AND(H56="",I56=""),"",H56+I56*$F56/1000)</f>
        <v>25.714884256834605</v>
      </c>
      <c r="K56" s="191">
        <f>IFERROR(J56/J57,"")</f>
        <v>0.10512395570269197</v>
      </c>
      <c r="L56" s="173"/>
      <c r="M56" s="191">
        <f>IF(OR(J56=0,Q56=""),"",Q56/J56-1)</f>
        <v>-0.37545898167006109</v>
      </c>
      <c r="N56" s="173"/>
      <c r="O56" s="172" cm="1">
        <f t="array" ref="O56">IFERROR(INDEX('Detail inputs'!$B$3:$K$196,MATCH($B56&amp;$G56&amp;O$5,'Detail inputs'!$B$3:$B$196&amp;'Detail inputs'!$G$3:$G$196&amp;'Detail inputs'!$H$3:$H$196,0),MATCH(O$4,'Detail inputs'!$B$3:$K$3,0)),0)</f>
        <v>16.059999999999999</v>
      </c>
      <c r="P56" s="172"/>
      <c r="Q56" s="172">
        <f>IF(AND(O56="",P56=""),"",O56+P56*$F56/1000)</f>
        <v>16.059999999999999</v>
      </c>
      <c r="R56" s="191">
        <f>IFERROR(Q56/Q57,"")</f>
        <v>8.0717149379535544E-2</v>
      </c>
    </row>
    <row r="57" spans="1:18" s="20" customFormat="1" x14ac:dyDescent="0.25">
      <c r="A57" s="3"/>
      <c r="B57" s="3" t="str">
        <f t="shared" ref="B57:D57" si="31">B56</f>
        <v>Endeavour</v>
      </c>
      <c r="C57" s="3" t="str">
        <f t="shared" si="31"/>
        <v>Small business</v>
      </c>
      <c r="D57" s="3" t="str">
        <f t="shared" si="31"/>
        <v>without CL</v>
      </c>
      <c r="E57" s="3" t="s">
        <v>22</v>
      </c>
      <c r="F57" s="175">
        <f t="array" ref="F57">IFERROR(INDEX(Usage!$B$5:$P$18,MATCH($B57,Usage!$B$5:$B$18,0),MATCH($C57&amp;$D57&amp;$E57&amp;"Total",Usage!$B$5:$S$5&amp;Usage!$B$6:$S$6&amp;Usage!$B$7:$S$7&amp;Usage!$B$13:$S$13,0)),0)</f>
        <v>10000</v>
      </c>
      <c r="G57" s="3" t="s">
        <v>61</v>
      </c>
      <c r="H57" s="172">
        <f>SUM(H54:H56)</f>
        <v>244.61488425683461</v>
      </c>
      <c r="I57" s="172"/>
      <c r="J57" s="172">
        <f>IF(AND(H57="",I57=""),"",H57+I57*$F57/1000)</f>
        <v>244.61488425683461</v>
      </c>
      <c r="K57" s="192"/>
      <c r="L57" s="172"/>
      <c r="M57" s="192">
        <f>IF(OR(J57=0,Q57=""),"",Q57/J57-1)</f>
        <v>-0.18661371406066851</v>
      </c>
      <c r="N57" s="172"/>
      <c r="O57" s="172">
        <f>SUM(O54:O56)</f>
        <v>198.96639219114616</v>
      </c>
      <c r="P57" s="172"/>
      <c r="Q57" s="172">
        <f>IF(AND(O57="",P57=""),"",O57+P57*$F57/1000)</f>
        <v>198.96639219114616</v>
      </c>
      <c r="R57" s="192"/>
    </row>
    <row r="58" spans="1:18" s="20" customFormat="1" x14ac:dyDescent="0.25">
      <c r="A58" s="3"/>
      <c r="B58" s="3" t="str">
        <f t="shared" ref="B58:D58" si="32">B57</f>
        <v>Endeavour</v>
      </c>
      <c r="C58" s="3" t="str">
        <f t="shared" si="32"/>
        <v>Small business</v>
      </c>
      <c r="D58" s="3" t="str">
        <f t="shared" si="32"/>
        <v>without CL</v>
      </c>
      <c r="E58" s="3" t="s">
        <v>22</v>
      </c>
      <c r="F58" s="175">
        <f t="array" ref="F58">IFERROR(INDEX(Usage!$B$5:$P$18,MATCH($B58,Usage!$B$5:$B$18,0),MATCH($C58&amp;$D58&amp;$E58&amp;"Total",Usage!$B$5:$S$5&amp;Usage!$B$6:$S$6&amp;Usage!$B$7:$S$7&amp;Usage!$B$13:$S$13,0)),0)</f>
        <v>10000</v>
      </c>
      <c r="G58" s="3" t="s">
        <v>209</v>
      </c>
      <c r="H58" s="172">
        <f>H57*CPIPY</f>
        <v>24.42173850699173</v>
      </c>
      <c r="I58" s="172"/>
      <c r="J58" s="172">
        <f>J57*CPIPY</f>
        <v>24.42173850699173</v>
      </c>
      <c r="K58" s="192"/>
      <c r="L58" s="172"/>
      <c r="M58" s="192">
        <f>IF(OR(J58=0,Q58=""),"",Q58/J58-1)</f>
        <v>-0.14567452701326633</v>
      </c>
      <c r="N58" s="172"/>
      <c r="O58" s="172">
        <f>O57*CPI</f>
        <v>20.864113301144037</v>
      </c>
      <c r="P58" s="172"/>
      <c r="Q58" s="172">
        <f>Q57*CPI</f>
        <v>20.864113301144037</v>
      </c>
      <c r="R58" s="192"/>
    </row>
    <row r="59" spans="1:18" s="20" customFormat="1" outlineLevel="1" x14ac:dyDescent="0.25">
      <c r="A59" s="3"/>
      <c r="B59" s="3" t="str">
        <f t="shared" ref="B59:D59" si="33">B58</f>
        <v>Endeavour</v>
      </c>
      <c r="C59" s="3" t="str">
        <f t="shared" si="33"/>
        <v>Small business</v>
      </c>
      <c r="D59" s="3" t="str">
        <f t="shared" si="33"/>
        <v>without CL</v>
      </c>
      <c r="E59" s="3"/>
      <c r="F59" s="175"/>
      <c r="G59" s="3" t="s">
        <v>41</v>
      </c>
      <c r="H59" s="172"/>
      <c r="I59" s="172"/>
      <c r="J59" s="172">
        <f>SUM(J57,J58)*GST</f>
        <v>26.903662276382637</v>
      </c>
      <c r="K59" s="192"/>
      <c r="L59" s="172"/>
      <c r="M59" s="192"/>
      <c r="N59" s="172"/>
      <c r="O59" s="172"/>
      <c r="P59" s="172"/>
      <c r="Q59" s="172">
        <f>SUM(Q57,Q58)*GST</f>
        <v>21.98305054922902</v>
      </c>
      <c r="R59" s="193"/>
    </row>
    <row r="60" spans="1:18" s="20" customFormat="1" x14ac:dyDescent="0.25">
      <c r="A60" s="3"/>
      <c r="B60" s="3" t="str">
        <f t="shared" ref="B60:D60" si="34">B59</f>
        <v>Endeavour</v>
      </c>
      <c r="C60" s="3" t="str">
        <f t="shared" si="34"/>
        <v>Small business</v>
      </c>
      <c r="D60" s="3" t="str">
        <f t="shared" si="34"/>
        <v>without CL</v>
      </c>
      <c r="E60" s="3"/>
      <c r="F60" s="175"/>
      <c r="G60" s="5" t="s">
        <v>87</v>
      </c>
      <c r="H60" s="174"/>
      <c r="I60" s="174"/>
      <c r="J60" s="174">
        <f>SUM(J57:J59)</f>
        <v>295.94028504020901</v>
      </c>
      <c r="K60" s="193"/>
      <c r="L60" s="174"/>
      <c r="M60" s="193">
        <f>IF(OR(J60=0,Q60=""),"",Q60/J60-1)</f>
        <v>-0.18289746862727951</v>
      </c>
      <c r="N60" s="174"/>
      <c r="O60" s="174"/>
      <c r="P60" s="174"/>
      <c r="Q60" s="174">
        <f>SUM(Q57:Q59)</f>
        <v>241.81355604151923</v>
      </c>
      <c r="R60" s="193"/>
    </row>
    <row r="61" spans="1:18" s="20" customFormat="1" x14ac:dyDescent="0.25">
      <c r="A61" s="3"/>
      <c r="B61" s="3" t="str">
        <f t="shared" ref="B61:D61" si="35">B60</f>
        <v>Endeavour</v>
      </c>
      <c r="C61" s="3" t="str">
        <f t="shared" si="35"/>
        <v>Small business</v>
      </c>
      <c r="D61" s="3" t="str">
        <f t="shared" si="35"/>
        <v>without CL</v>
      </c>
      <c r="E61" s="3"/>
      <c r="F61" s="175"/>
      <c r="G61" s="3"/>
      <c r="H61" s="172"/>
      <c r="I61" s="172"/>
      <c r="J61" s="172"/>
      <c r="K61" s="191"/>
      <c r="L61" s="172"/>
      <c r="M61" s="191"/>
      <c r="N61" s="172"/>
      <c r="O61" s="172"/>
      <c r="P61" s="172"/>
      <c r="Q61" s="172"/>
      <c r="R61" s="191"/>
    </row>
    <row r="62" spans="1:18" x14ac:dyDescent="0.25">
      <c r="B62" s="5" t="s">
        <v>3</v>
      </c>
      <c r="C62" s="5" t="s">
        <v>6</v>
      </c>
      <c r="D62" s="5" t="s">
        <v>146</v>
      </c>
      <c r="F62" s="175"/>
      <c r="H62" s="172"/>
      <c r="I62" s="172"/>
      <c r="J62" s="172"/>
      <c r="K62" s="191"/>
      <c r="L62" s="173"/>
      <c r="M62" s="191"/>
      <c r="N62" s="173"/>
      <c r="O62" s="172"/>
      <c r="P62" s="172"/>
      <c r="Q62" s="172"/>
      <c r="R62" s="191"/>
    </row>
    <row r="63" spans="1:18" outlineLevel="1" x14ac:dyDescent="0.25">
      <c r="B63" s="3" t="str">
        <f t="shared" ref="B63:D63" si="36">B62</f>
        <v>Essential</v>
      </c>
      <c r="C63" s="3" t="str">
        <f t="shared" si="36"/>
        <v>Residential</v>
      </c>
      <c r="D63" s="3" t="str">
        <f t="shared" si="36"/>
        <v>without CL</v>
      </c>
      <c r="E63" s="3" t="s">
        <v>22</v>
      </c>
      <c r="F63" s="175">
        <f t="array" ref="F63">IFERROR(INDEX(Usage!$B$5:$P$18,MATCH($B63,Usage!$B$5:$B$18,0),MATCH($C63&amp;$D63&amp;$E63&amp;"Total",Usage!$B$5:$S$5&amp;Usage!$B$6:$S$6&amp;Usage!$B$7:$S$7&amp;Usage!$B$13:$S$13,0)),0)</f>
        <v>4600</v>
      </c>
      <c r="G63" s="3" t="s">
        <v>201</v>
      </c>
      <c r="H63" s="172" cm="1">
        <f t="array" ref="H63">IFERROR(INDEX('Detail inputs'!$B$3:$K$196,MATCH($B63&amp;$G63&amp;H$5&amp;$C63,'Detail inputs'!$B$3:$B$196&amp;'Detail inputs'!$G$3:$G$196&amp;'Detail inputs'!$H$3:$H$196&amp;'Detail inputs'!$D$3:$D$196,0),MATCH(H$4,'Detail inputs'!$B$3:$K$3,0)),0)</f>
        <v>132</v>
      </c>
      <c r="I63" s="172"/>
      <c r="J63" s="172">
        <f>IF(AND(H63="",I63=""),"",H63+I63*$F63/1000)</f>
        <v>132</v>
      </c>
      <c r="K63" s="191">
        <f>IFERROR(J63/J66,"")</f>
        <v>0.75108871907243924</v>
      </c>
      <c r="L63" s="173"/>
      <c r="M63" s="191">
        <f>IF(OR(J63=0,Q63=""),"",Q63/J63-1)</f>
        <v>3.0303030303030276E-2</v>
      </c>
      <c r="N63" s="173"/>
      <c r="O63" s="172" cm="1">
        <f t="array" ref="O63">IFERROR(INDEX('Detail inputs'!$B$3:$K$196,MATCH($B63&amp;$G63&amp;O$5&amp;$C63,'Detail inputs'!$B$3:$B$196&amp;'Detail inputs'!$G$3:$G$196&amp;'Detail inputs'!$H$3:$H$196&amp;'Detail inputs'!$D$3:$D$196,0),MATCH(O$4,'Detail inputs'!$B$3:$K$3,0)),0)</f>
        <v>136</v>
      </c>
      <c r="P63" s="172"/>
      <c r="Q63" s="172">
        <f>IF(AND(O63="",P63=""),"",O63+P63*$F63/1000)</f>
        <v>136</v>
      </c>
      <c r="R63" s="191">
        <f>IFERROR(Q63/Q66,"")</f>
        <v>0.78944696532551273</v>
      </c>
    </row>
    <row r="64" spans="1:18" outlineLevel="1" x14ac:dyDescent="0.25">
      <c r="B64" s="3" t="str">
        <f t="shared" ref="B64:D64" si="37">B63</f>
        <v>Essential</v>
      </c>
      <c r="C64" s="3" t="str">
        <f t="shared" si="37"/>
        <v>Residential</v>
      </c>
      <c r="D64" s="3" t="str">
        <f t="shared" si="37"/>
        <v>without CL</v>
      </c>
      <c r="E64" s="3" t="s">
        <v>22</v>
      </c>
      <c r="F64" s="175">
        <f t="array" ref="F64">IFERROR(INDEX(Usage!$B$5:$P$18,MATCH($B64,Usage!$B$5:$B$18,0),MATCH($C64&amp;$D64&amp;$E64&amp;"Total",Usage!$B$5:$S$5&amp;Usage!$B$6:$S$6&amp;Usage!$B$7:$S$7&amp;Usage!$B$13:$S$13,0)),0)</f>
        <v>4600</v>
      </c>
      <c r="G64" s="3" t="s">
        <v>202</v>
      </c>
      <c r="H64" s="172" cm="1">
        <f t="array" ref="H64">IFERROR(INDEX('Detail inputs'!$B$3:$K$196,MATCH($B64&amp;$G64&amp;H$5,'Detail inputs'!$B$3:$B$196&amp;'Detail inputs'!$G$3:$G$196&amp;'Detail inputs'!$H$3:$H$196,0),MATCH(H$4,'Detail inputs'!$B$3:$K$3,0)),0)</f>
        <v>18.03</v>
      </c>
      <c r="I64" s="172"/>
      <c r="J64" s="172">
        <f>IF(AND(H64="",I64=""),"",H64+I64*$F64/1000)</f>
        <v>18.03</v>
      </c>
      <c r="K64" s="191">
        <f>IFERROR(J64/J66,"")</f>
        <v>0.10259189094603091</v>
      </c>
      <c r="L64" s="173"/>
      <c r="M64" s="191">
        <f>IF(OR(J64=0,Q64=""),"",Q64/J64-1)</f>
        <v>0.12104808893233798</v>
      </c>
      <c r="N64" s="173"/>
      <c r="O64" s="172" cm="1">
        <f t="array" ref="O64">IFERROR(INDEX('Detail inputs'!$B$3:$K$196,MATCH($B64&amp;$G64&amp;O$5,'Detail inputs'!$B$3:$B$196&amp;'Detail inputs'!$G$3:$G$196&amp;'Detail inputs'!$H$3:$H$196,0),MATCH(O$4,'Detail inputs'!$B$3:$K$3,0)),0)</f>
        <v>20.212497043450053</v>
      </c>
      <c r="P64" s="172"/>
      <c r="Q64" s="172">
        <f>IF(AND(O64="",P64=""),"",O64+P64*$F64/1000)</f>
        <v>20.212497043450053</v>
      </c>
      <c r="R64" s="191">
        <f>IFERROR(Q64/Q66,"")</f>
        <v>0.11732863568090104</v>
      </c>
    </row>
    <row r="65" spans="1:18" outlineLevel="1" x14ac:dyDescent="0.25">
      <c r="B65" s="3" t="str">
        <f t="shared" ref="B65:D65" si="38">B64</f>
        <v>Essential</v>
      </c>
      <c r="C65" s="3" t="str">
        <f t="shared" si="38"/>
        <v>Residential</v>
      </c>
      <c r="D65" s="3" t="str">
        <f t="shared" si="38"/>
        <v>without CL</v>
      </c>
      <c r="E65" s="3" t="s">
        <v>22</v>
      </c>
      <c r="F65" s="175">
        <f t="array" ref="F65">IFERROR(INDEX(Usage!$B$5:$P$18,MATCH($B65,Usage!$B$5:$B$18,0),MATCH($C65&amp;$D65&amp;$E65&amp;"Total",Usage!$B$5:$S$5&amp;Usage!$B$6:$S$6&amp;Usage!$B$7:$S$7&amp;Usage!$B$13:$S$13,0)),0)</f>
        <v>4600</v>
      </c>
      <c r="G65" s="3" t="s">
        <v>203</v>
      </c>
      <c r="H65" s="172" cm="1">
        <f t="array" ref="H65">IFERROR(INDEX('Detail inputs'!$B$3:$K$196,MATCH($B65&amp;$G65&amp;H$5,'Detail inputs'!$B$3:$B$196&amp;'Detail inputs'!$G$3:$G$196&amp;'Detail inputs'!$H$3:$H$196,0),MATCH(H$4,'Detail inputs'!$B$3:$K$3,0)),0)</f>
        <v>25.714884256834605</v>
      </c>
      <c r="I65" s="172"/>
      <c r="J65" s="172">
        <f>IF(AND(H65="",I65=""),"",H65+I65*$F65/1000)</f>
        <v>25.714884256834605</v>
      </c>
      <c r="K65" s="191">
        <f>IFERROR(J65/J66,"")</f>
        <v>0.14631938998152982</v>
      </c>
      <c r="L65" s="173"/>
      <c r="M65" s="191">
        <f>IF(OR(J65=0,Q65=""),"",Q65/J65-1)</f>
        <v>-0.37545898167006109</v>
      </c>
      <c r="N65" s="173"/>
      <c r="O65" s="172" cm="1">
        <f t="array" ref="O65">IFERROR(INDEX('Detail inputs'!$B$3:$K$196,MATCH($B65&amp;$G65&amp;O$5,'Detail inputs'!$B$3:$B$196&amp;'Detail inputs'!$G$3:$G$196&amp;'Detail inputs'!$H$3:$H$196,0),MATCH(O$4,'Detail inputs'!$B$3:$K$3,0)),0)</f>
        <v>16.059999999999999</v>
      </c>
      <c r="P65" s="172"/>
      <c r="Q65" s="172">
        <f>IF(AND(O65="",P65=""),"",O65+P65*$F65/1000)</f>
        <v>16.059999999999999</v>
      </c>
      <c r="R65" s="191">
        <f>IFERROR(Q65/Q66,"")</f>
        <v>9.3224398993586269E-2</v>
      </c>
    </row>
    <row r="66" spans="1:18" s="20" customFormat="1" x14ac:dyDescent="0.25">
      <c r="A66" s="3"/>
      <c r="B66" s="3" t="str">
        <f t="shared" ref="B66:D66" si="39">B65</f>
        <v>Essential</v>
      </c>
      <c r="C66" s="3" t="str">
        <f t="shared" si="39"/>
        <v>Residential</v>
      </c>
      <c r="D66" s="3" t="str">
        <f t="shared" si="39"/>
        <v>without CL</v>
      </c>
      <c r="E66" s="3" t="s">
        <v>22</v>
      </c>
      <c r="F66" s="175">
        <f t="array" ref="F66">IFERROR(INDEX(Usage!$B$5:$P$18,MATCH($B66,Usage!$B$5:$B$18,0),MATCH($C66&amp;$D66&amp;$E66&amp;"Total",Usage!$B$5:$S$5&amp;Usage!$B$6:$S$6&amp;Usage!$B$7:$S$7&amp;Usage!$B$13:$S$13,0)),0)</f>
        <v>4600</v>
      </c>
      <c r="G66" s="3" t="s">
        <v>61</v>
      </c>
      <c r="H66" s="172">
        <f>SUM(H63:H65)</f>
        <v>175.74488425683461</v>
      </c>
      <c r="I66" s="172"/>
      <c r="J66" s="172">
        <f>IF(AND(H66="",I66=""),"",H66+I66*$F66/1000)</f>
        <v>175.74488425683461</v>
      </c>
      <c r="K66" s="192"/>
      <c r="L66" s="172"/>
      <c r="M66" s="192">
        <f>IF(OR(J66=0,Q66=""),"",Q66/J66-1)</f>
        <v>-1.9758112607761613E-2</v>
      </c>
      <c r="N66" s="172"/>
      <c r="O66" s="172">
        <f>SUM(O63:O65)</f>
        <v>172.27249704345004</v>
      </c>
      <c r="P66" s="172"/>
      <c r="Q66" s="172">
        <f>IF(AND(O66="",P66=""),"",O66+P66*$F66/1000)</f>
        <v>172.27249704345004</v>
      </c>
      <c r="R66" s="192"/>
    </row>
    <row r="67" spans="1:18" s="20" customFormat="1" x14ac:dyDescent="0.25">
      <c r="A67" s="3"/>
      <c r="B67" s="3" t="str">
        <f t="shared" ref="B67:D67" si="40">B66</f>
        <v>Essential</v>
      </c>
      <c r="C67" s="3" t="str">
        <f t="shared" si="40"/>
        <v>Residential</v>
      </c>
      <c r="D67" s="3" t="str">
        <f t="shared" si="40"/>
        <v>without CL</v>
      </c>
      <c r="E67" s="3" t="s">
        <v>22</v>
      </c>
      <c r="F67" s="175">
        <f t="array" ref="F67">IFERROR(INDEX(Usage!$B$5:$P$18,MATCH($B67,Usage!$B$5:$B$18,0),MATCH($C67&amp;$D67&amp;$E67&amp;"Total",Usage!$B$5:$S$5&amp;Usage!$B$6:$S$6&amp;Usage!$B$7:$S$7&amp;Usage!$B$13:$S$13,0)),0)</f>
        <v>4600</v>
      </c>
      <c r="G67" s="3" t="s">
        <v>209</v>
      </c>
      <c r="H67" s="172">
        <f>H66*CPIPY</f>
        <v>17.545929881991729</v>
      </c>
      <c r="I67" s="172"/>
      <c r="J67" s="172">
        <f>J66*CPIPY</f>
        <v>17.545929881991729</v>
      </c>
      <c r="K67" s="192"/>
      <c r="L67" s="172"/>
      <c r="M67" s="192">
        <f>IF(OR(J67=0,Q67=""),"",Q67/J67-1)</f>
        <v>2.9579215391695834E-2</v>
      </c>
      <c r="N67" s="172"/>
      <c r="O67" s="172">
        <f>O66*CPI</f>
        <v>18.064924721218755</v>
      </c>
      <c r="P67" s="172"/>
      <c r="Q67" s="172">
        <f>Q66*CPI</f>
        <v>18.064924721218755</v>
      </c>
      <c r="R67" s="192"/>
    </row>
    <row r="68" spans="1:18" s="20" customFormat="1" outlineLevel="1" x14ac:dyDescent="0.25">
      <c r="A68" s="3"/>
      <c r="B68" s="3" t="str">
        <f t="shared" ref="B68:D68" si="41">B67</f>
        <v>Essential</v>
      </c>
      <c r="C68" s="3" t="str">
        <f t="shared" si="41"/>
        <v>Residential</v>
      </c>
      <c r="D68" s="3" t="str">
        <f t="shared" si="41"/>
        <v>without CL</v>
      </c>
      <c r="E68" s="3"/>
      <c r="F68" s="175"/>
      <c r="G68" s="3" t="s">
        <v>41</v>
      </c>
      <c r="H68" s="172"/>
      <c r="I68" s="172"/>
      <c r="J68" s="172">
        <f>SUM(J66,J67)*GST</f>
        <v>19.329081413882633</v>
      </c>
      <c r="K68" s="192"/>
      <c r="L68" s="172"/>
      <c r="M68" s="192"/>
      <c r="N68" s="172"/>
      <c r="O68" s="172"/>
      <c r="P68" s="172"/>
      <c r="Q68" s="172">
        <f>SUM(Q66,Q67)*GST</f>
        <v>19.03374217646688</v>
      </c>
      <c r="R68" s="193"/>
    </row>
    <row r="69" spans="1:18" s="20" customFormat="1" x14ac:dyDescent="0.25">
      <c r="A69" s="3"/>
      <c r="B69" s="3" t="str">
        <f t="shared" ref="B69:D69" si="42">B68</f>
        <v>Essential</v>
      </c>
      <c r="C69" s="3" t="str">
        <f t="shared" si="42"/>
        <v>Residential</v>
      </c>
      <c r="D69" s="3" t="str">
        <f t="shared" si="42"/>
        <v>without CL</v>
      </c>
      <c r="E69" s="3"/>
      <c r="F69" s="175"/>
      <c r="G69" s="5" t="s">
        <v>87</v>
      </c>
      <c r="H69" s="174"/>
      <c r="I69" s="174"/>
      <c r="J69" s="174">
        <f>SUM(J66:J68)</f>
        <v>212.61989555270895</v>
      </c>
      <c r="K69" s="193"/>
      <c r="L69" s="174"/>
      <c r="M69" s="193">
        <f>IF(OR(J69=0,Q69=""),"",Q69/J69-1)</f>
        <v>-1.5279527831241535E-2</v>
      </c>
      <c r="N69" s="174"/>
      <c r="O69" s="174"/>
      <c r="P69" s="174"/>
      <c r="Q69" s="174">
        <f>SUM(Q66:Q68)</f>
        <v>209.37116394113568</v>
      </c>
      <c r="R69" s="193"/>
    </row>
    <row r="70" spans="1:18" s="20" customFormat="1" x14ac:dyDescent="0.25">
      <c r="A70" s="3"/>
      <c r="B70" s="3" t="str">
        <f t="shared" ref="B70:D70" si="43">B69</f>
        <v>Essential</v>
      </c>
      <c r="C70" s="3" t="str">
        <f t="shared" si="43"/>
        <v>Residential</v>
      </c>
      <c r="D70" s="3" t="str">
        <f t="shared" si="43"/>
        <v>without CL</v>
      </c>
      <c r="E70" s="3"/>
      <c r="F70" s="175"/>
      <c r="G70" s="3"/>
      <c r="H70" s="172"/>
      <c r="I70" s="172"/>
      <c r="J70" s="172"/>
      <c r="K70" s="191"/>
      <c r="L70" s="172"/>
      <c r="M70" s="191"/>
      <c r="N70" s="172"/>
      <c r="O70" s="172"/>
      <c r="P70" s="172"/>
      <c r="Q70" s="172"/>
      <c r="R70" s="191"/>
    </row>
    <row r="71" spans="1:18" s="20" customFormat="1" x14ac:dyDescent="0.25">
      <c r="A71" s="3"/>
      <c r="B71" s="5" t="s">
        <v>3</v>
      </c>
      <c r="C71" s="5" t="s">
        <v>6</v>
      </c>
      <c r="D71" s="5" t="s">
        <v>147</v>
      </c>
      <c r="E71" s="3"/>
      <c r="F71" s="175"/>
      <c r="G71" s="3"/>
      <c r="H71" s="172"/>
      <c r="I71" s="172"/>
      <c r="J71" s="172"/>
      <c r="K71" s="191"/>
      <c r="L71" s="172"/>
      <c r="M71" s="191"/>
      <c r="N71" s="172"/>
      <c r="O71" s="172"/>
      <c r="P71" s="172"/>
      <c r="Q71" s="172"/>
      <c r="R71" s="191"/>
    </row>
    <row r="72" spans="1:18" outlineLevel="1" x14ac:dyDescent="0.25">
      <c r="B72" s="3" t="str">
        <f t="shared" ref="B72:D72" si="44">B71</f>
        <v>Essential</v>
      </c>
      <c r="C72" s="3" t="str">
        <f t="shared" si="44"/>
        <v>Residential</v>
      </c>
      <c r="D72" s="3" t="str">
        <f t="shared" si="44"/>
        <v>with CL</v>
      </c>
      <c r="E72" s="3" t="s">
        <v>22</v>
      </c>
      <c r="F72" s="175">
        <f t="array" ref="F72">IFERROR(INDEX(Usage!$B$5:$P$18,MATCH($B72,Usage!$B$5:$B$18,0),MATCH($C72&amp;$D72&amp;$E72&amp;"Total",Usage!$B$5:$S$5&amp;Usage!$B$6:$S$6&amp;Usage!$B$7:$S$7&amp;Usage!$B$13:$S$13,0)),0)</f>
        <v>4600</v>
      </c>
      <c r="G72" s="3" t="s">
        <v>201</v>
      </c>
      <c r="H72" s="172" cm="1">
        <f t="array" ref="H72">IFERROR(INDEX('Detail inputs'!$B$3:$K$196,MATCH($B72&amp;$G72&amp;H$5&amp;$C72,'Detail inputs'!$B$3:$B$196&amp;'Detail inputs'!$G$3:$G$196&amp;'Detail inputs'!$H$3:$H$196&amp;'Detail inputs'!$D$3:$D$196,0),MATCH(H$4,'Detail inputs'!$B$3:$K$3,0)),0)</f>
        <v>132</v>
      </c>
      <c r="I72" s="172"/>
      <c r="J72" s="172">
        <f>IF(AND(H72="",I72=""),"",H72+I72*$F72/1000)</f>
        <v>132</v>
      </c>
      <c r="K72" s="191">
        <f>IFERROR(J72/J75,"")</f>
        <v>0.75108871907243924</v>
      </c>
      <c r="L72" s="173"/>
      <c r="M72" s="191">
        <f>IF(OR(J72=0,Q72=""),"",Q72/J72-1)</f>
        <v>3.0303030303030276E-2</v>
      </c>
      <c r="N72" s="173"/>
      <c r="O72" s="172" cm="1">
        <f t="array" ref="O72">IFERROR(INDEX('Detail inputs'!$B$3:$K$196,MATCH($B72&amp;$G72&amp;O$5&amp;$C72,'Detail inputs'!$B$3:$B$196&amp;'Detail inputs'!$G$3:$G$196&amp;'Detail inputs'!$H$3:$H$196&amp;'Detail inputs'!$D$3:$D$196,0),MATCH(O$4,'Detail inputs'!$B$3:$K$3,0)),0)</f>
        <v>136</v>
      </c>
      <c r="P72" s="172"/>
      <c r="Q72" s="172">
        <f>IF(AND(O72="",P72=""),"",O72+P72*$F72/1000)</f>
        <v>136</v>
      </c>
      <c r="R72" s="191">
        <f>IFERROR(Q72/Q75,"")</f>
        <v>0.78944696532551273</v>
      </c>
    </row>
    <row r="73" spans="1:18" outlineLevel="1" x14ac:dyDescent="0.25">
      <c r="B73" s="3" t="str">
        <f t="shared" ref="B73:D73" si="45">B72</f>
        <v>Essential</v>
      </c>
      <c r="C73" s="3" t="str">
        <f t="shared" si="45"/>
        <v>Residential</v>
      </c>
      <c r="D73" s="3" t="str">
        <f t="shared" si="45"/>
        <v>with CL</v>
      </c>
      <c r="E73" s="3" t="s">
        <v>22</v>
      </c>
      <c r="F73" s="175">
        <f t="array" ref="F73">IFERROR(INDEX(Usage!$B$5:$P$18,MATCH($B73,Usage!$B$5:$B$18,0),MATCH($C73&amp;$D73&amp;$E73&amp;"Total",Usage!$B$5:$S$5&amp;Usage!$B$6:$S$6&amp;Usage!$B$7:$S$7&amp;Usage!$B$13:$S$13,0)),0)</f>
        <v>4600</v>
      </c>
      <c r="G73" s="3" t="s">
        <v>202</v>
      </c>
      <c r="H73" s="172" cm="1">
        <f t="array" ref="H73">IFERROR(INDEX('Detail inputs'!$B$3:$K$196,MATCH($B73&amp;$G73&amp;H$5,'Detail inputs'!$B$3:$B$196&amp;'Detail inputs'!$G$3:$G$196&amp;'Detail inputs'!$H$3:$H$196,0),MATCH(H$4,'Detail inputs'!$B$3:$K$3,0)),0)</f>
        <v>18.03</v>
      </c>
      <c r="I73" s="172"/>
      <c r="J73" s="172">
        <f>IF(AND(H73="",I73=""),"",H73+I73*$F73/1000)</f>
        <v>18.03</v>
      </c>
      <c r="K73" s="191">
        <f>IFERROR(J73/J75,"")</f>
        <v>0.10259189094603091</v>
      </c>
      <c r="L73" s="173"/>
      <c r="M73" s="191">
        <f>IF(OR(J73=0,Q73=""),"",Q73/J73-1)</f>
        <v>0.12104808893233798</v>
      </c>
      <c r="N73" s="173"/>
      <c r="O73" s="172" cm="1">
        <f t="array" ref="O73">IFERROR(INDEX('Detail inputs'!$B$3:$K$196,MATCH($B73&amp;$G73&amp;O$5,'Detail inputs'!$B$3:$B$196&amp;'Detail inputs'!$G$3:$G$196&amp;'Detail inputs'!$H$3:$H$196,0),MATCH(O$4,'Detail inputs'!$B$3:$K$3,0)),0)</f>
        <v>20.212497043450053</v>
      </c>
      <c r="P73" s="172"/>
      <c r="Q73" s="172">
        <f>IF(AND(O73="",P73=""),"",O73+P73*$F73/1000)</f>
        <v>20.212497043450053</v>
      </c>
      <c r="R73" s="191">
        <f>IFERROR(Q73/Q75,"")</f>
        <v>0.11732863568090104</v>
      </c>
    </row>
    <row r="74" spans="1:18" outlineLevel="1" x14ac:dyDescent="0.25">
      <c r="B74" s="3" t="str">
        <f t="shared" ref="B74:D74" si="46">B73</f>
        <v>Essential</v>
      </c>
      <c r="C74" s="3" t="str">
        <f t="shared" si="46"/>
        <v>Residential</v>
      </c>
      <c r="D74" s="3" t="str">
        <f t="shared" si="46"/>
        <v>with CL</v>
      </c>
      <c r="E74" s="3" t="s">
        <v>22</v>
      </c>
      <c r="F74" s="175">
        <f t="array" ref="F74">IFERROR(INDEX(Usage!$B$5:$P$18,MATCH($B74,Usage!$B$5:$B$18,0),MATCH($C74&amp;$D74&amp;$E74&amp;"Total",Usage!$B$5:$S$5&amp;Usage!$B$6:$S$6&amp;Usage!$B$7:$S$7&amp;Usage!$B$13:$S$13,0)),0)</f>
        <v>4600</v>
      </c>
      <c r="G74" s="3" t="s">
        <v>203</v>
      </c>
      <c r="H74" s="172" cm="1">
        <f t="array" ref="H74">IFERROR(INDEX('Detail inputs'!$B$3:$K$196,MATCH($B74&amp;$G74&amp;H$5,'Detail inputs'!$B$3:$B$196&amp;'Detail inputs'!$G$3:$G$196&amp;'Detail inputs'!$H$3:$H$196,0),MATCH(H$4,'Detail inputs'!$B$3:$K$3,0)),0)</f>
        <v>25.714884256834605</v>
      </c>
      <c r="I74" s="172"/>
      <c r="J74" s="172">
        <f>IF(AND(H74="",I74=""),"",H74+I74*$F74/1000)</f>
        <v>25.714884256834605</v>
      </c>
      <c r="K74" s="191">
        <f>IFERROR(J74/J75,"")</f>
        <v>0.14631938998152982</v>
      </c>
      <c r="L74" s="173"/>
      <c r="M74" s="191">
        <f>IF(OR(J74=0,Q74=""),"",Q74/J74-1)</f>
        <v>-0.37545898167006109</v>
      </c>
      <c r="N74" s="173"/>
      <c r="O74" s="172" cm="1">
        <f t="array" ref="O74">IFERROR(INDEX('Detail inputs'!$B$3:$K$196,MATCH($B74&amp;$G74&amp;O$5,'Detail inputs'!$B$3:$B$196&amp;'Detail inputs'!$G$3:$G$196&amp;'Detail inputs'!$H$3:$H$196,0),MATCH(O$4,'Detail inputs'!$B$3:$K$3,0)),0)</f>
        <v>16.059999999999999</v>
      </c>
      <c r="P74" s="172"/>
      <c r="Q74" s="172">
        <f>IF(AND(O74="",P74=""),"",O74+P74*$F74/1000)</f>
        <v>16.059999999999999</v>
      </c>
      <c r="R74" s="191">
        <f>IFERROR(Q74/Q75,"")</f>
        <v>9.3224398993586269E-2</v>
      </c>
    </row>
    <row r="75" spans="1:18" s="20" customFormat="1" x14ac:dyDescent="0.25">
      <c r="A75" s="3"/>
      <c r="B75" s="3" t="str">
        <f t="shared" ref="B75:D75" si="47">B74</f>
        <v>Essential</v>
      </c>
      <c r="C75" s="3" t="str">
        <f t="shared" si="47"/>
        <v>Residential</v>
      </c>
      <c r="D75" s="3" t="str">
        <f t="shared" si="47"/>
        <v>with CL</v>
      </c>
      <c r="E75" s="3" t="s">
        <v>22</v>
      </c>
      <c r="F75" s="175">
        <f t="array" ref="F75">IFERROR(INDEX(Usage!$B$5:$P$18,MATCH($B75,Usage!$B$5:$B$18,0),MATCH($C75&amp;$D75&amp;$E75&amp;"Total",Usage!$B$5:$S$5&amp;Usage!$B$6:$S$6&amp;Usage!$B$7:$S$7&amp;Usage!$B$13:$S$13,0)),0)</f>
        <v>4600</v>
      </c>
      <c r="G75" s="3" t="s">
        <v>61</v>
      </c>
      <c r="H75" s="172">
        <f>SUM(H72:H74)</f>
        <v>175.74488425683461</v>
      </c>
      <c r="I75" s="172"/>
      <c r="J75" s="172">
        <f>IF(AND(H75="",I75=""),"",H75+I75*$F75/1000)</f>
        <v>175.74488425683461</v>
      </c>
      <c r="K75" s="192"/>
      <c r="L75" s="172"/>
      <c r="M75" s="192">
        <f>IF(OR(J75=0,Q75=""),"",Q75/J75-1)</f>
        <v>-1.9758112607761613E-2</v>
      </c>
      <c r="N75" s="172"/>
      <c r="O75" s="172">
        <f>SUM(O72:O74)</f>
        <v>172.27249704345004</v>
      </c>
      <c r="P75" s="172"/>
      <c r="Q75" s="172">
        <f>IF(AND(O75="",P75=""),"",O75+P75*$F75/1000)</f>
        <v>172.27249704345004</v>
      </c>
      <c r="R75" s="192"/>
    </row>
    <row r="76" spans="1:18" s="20" customFormat="1" x14ac:dyDescent="0.25">
      <c r="A76" s="3"/>
      <c r="B76" s="3" t="str">
        <f t="shared" ref="B76:D76" si="48">B75</f>
        <v>Essential</v>
      </c>
      <c r="C76" s="3" t="str">
        <f t="shared" si="48"/>
        <v>Residential</v>
      </c>
      <c r="D76" s="3" t="str">
        <f t="shared" si="48"/>
        <v>with CL</v>
      </c>
      <c r="E76" s="3" t="s">
        <v>22</v>
      </c>
      <c r="F76" s="175">
        <f t="array" ref="F76">IFERROR(INDEX(Usage!$B$5:$P$18,MATCH($B76,Usage!$B$5:$B$18,0),MATCH($C76&amp;$D76&amp;$E76&amp;"Total",Usage!$B$5:$S$5&amp;Usage!$B$6:$S$6&amp;Usage!$B$7:$S$7&amp;Usage!$B$13:$S$13,0)),0)</f>
        <v>4600</v>
      </c>
      <c r="G76" s="3" t="s">
        <v>209</v>
      </c>
      <c r="H76" s="172">
        <f>H75*CPIPY</f>
        <v>17.545929881991729</v>
      </c>
      <c r="I76" s="172"/>
      <c r="J76" s="172">
        <f>J75*CPIPY</f>
        <v>17.545929881991729</v>
      </c>
      <c r="K76" s="192"/>
      <c r="L76" s="172"/>
      <c r="M76" s="192">
        <f>IF(OR(J76=0,Q76=""),"",Q76/J76-1)</f>
        <v>2.9579215391695834E-2</v>
      </c>
      <c r="N76" s="172"/>
      <c r="O76" s="172">
        <f>O75*CPI</f>
        <v>18.064924721218755</v>
      </c>
      <c r="P76" s="172"/>
      <c r="Q76" s="172">
        <f>Q75*CPI</f>
        <v>18.064924721218755</v>
      </c>
      <c r="R76" s="192"/>
    </row>
    <row r="77" spans="1:18" s="20" customFormat="1" outlineLevel="1" x14ac:dyDescent="0.25">
      <c r="A77" s="3"/>
      <c r="B77" s="3" t="str">
        <f t="shared" ref="B77:D77" si="49">B76</f>
        <v>Essential</v>
      </c>
      <c r="C77" s="3" t="str">
        <f t="shared" si="49"/>
        <v>Residential</v>
      </c>
      <c r="D77" s="3" t="str">
        <f t="shared" si="49"/>
        <v>with CL</v>
      </c>
      <c r="E77" s="3"/>
      <c r="F77" s="175"/>
      <c r="G77" s="3" t="s">
        <v>41</v>
      </c>
      <c r="H77" s="172"/>
      <c r="I77" s="172"/>
      <c r="J77" s="172">
        <f>SUM(J75,J76)*GST</f>
        <v>19.329081413882633</v>
      </c>
      <c r="K77" s="192"/>
      <c r="L77" s="172"/>
      <c r="M77" s="192"/>
      <c r="N77" s="172"/>
      <c r="O77" s="172"/>
      <c r="P77" s="172"/>
      <c r="Q77" s="172">
        <f>SUM(Q75,Q76)*GST</f>
        <v>19.03374217646688</v>
      </c>
      <c r="R77" s="193"/>
    </row>
    <row r="78" spans="1:18" s="20" customFormat="1" x14ac:dyDescent="0.25">
      <c r="A78" s="3"/>
      <c r="B78" s="3" t="str">
        <f t="shared" ref="B78:D78" si="50">B77</f>
        <v>Essential</v>
      </c>
      <c r="C78" s="3" t="str">
        <f t="shared" si="50"/>
        <v>Residential</v>
      </c>
      <c r="D78" s="3" t="str">
        <f t="shared" si="50"/>
        <v>with CL</v>
      </c>
      <c r="E78" s="3"/>
      <c r="F78" s="175"/>
      <c r="G78" s="5" t="s">
        <v>87</v>
      </c>
      <c r="H78" s="174"/>
      <c r="I78" s="174"/>
      <c r="J78" s="174">
        <f>SUM(J75:J77)</f>
        <v>212.61989555270895</v>
      </c>
      <c r="K78" s="193"/>
      <c r="L78" s="174"/>
      <c r="M78" s="193">
        <f>IF(OR(J78=0,Q78=""),"",Q78/J78-1)</f>
        <v>-1.5279527831241535E-2</v>
      </c>
      <c r="N78" s="174"/>
      <c r="O78" s="174"/>
      <c r="P78" s="174"/>
      <c r="Q78" s="174">
        <f>SUM(Q75:Q77)</f>
        <v>209.37116394113568</v>
      </c>
      <c r="R78" s="193"/>
    </row>
    <row r="79" spans="1:18" s="20" customFormat="1" x14ac:dyDescent="0.25">
      <c r="A79" s="3"/>
      <c r="B79" s="3" t="str">
        <f t="shared" ref="B79:D79" si="51">B78</f>
        <v>Essential</v>
      </c>
      <c r="C79" s="3" t="str">
        <f t="shared" si="51"/>
        <v>Residential</v>
      </c>
      <c r="D79" s="3" t="str">
        <f t="shared" si="51"/>
        <v>with CL</v>
      </c>
      <c r="E79" s="3"/>
      <c r="F79" s="175"/>
      <c r="G79" s="3"/>
      <c r="H79" s="172"/>
      <c r="I79" s="172"/>
      <c r="J79" s="172"/>
      <c r="K79" s="191"/>
      <c r="L79" s="172"/>
      <c r="M79" s="191"/>
      <c r="N79" s="172"/>
      <c r="O79" s="172"/>
      <c r="P79" s="172"/>
      <c r="Q79" s="172"/>
      <c r="R79" s="191"/>
    </row>
    <row r="80" spans="1:18" s="20" customFormat="1" x14ac:dyDescent="0.25">
      <c r="A80" s="3"/>
      <c r="B80" s="5" t="s">
        <v>3</v>
      </c>
      <c r="C80" s="5" t="s">
        <v>15</v>
      </c>
      <c r="D80" s="5" t="s">
        <v>146</v>
      </c>
      <c r="E80" s="3"/>
      <c r="F80" s="175"/>
      <c r="G80" s="3"/>
      <c r="H80" s="172"/>
      <c r="I80" s="172"/>
      <c r="J80" s="172"/>
      <c r="K80" s="191"/>
      <c r="L80" s="172"/>
      <c r="M80" s="191"/>
      <c r="N80" s="172"/>
      <c r="O80" s="172"/>
      <c r="P80" s="172"/>
      <c r="Q80" s="172"/>
      <c r="R80" s="191"/>
    </row>
    <row r="81" spans="1:18" outlineLevel="1" x14ac:dyDescent="0.25">
      <c r="B81" s="3" t="str">
        <f t="shared" ref="B81:D81" si="52">B80</f>
        <v>Essential</v>
      </c>
      <c r="C81" s="3" t="str">
        <f t="shared" si="52"/>
        <v>Small business</v>
      </c>
      <c r="D81" s="3" t="str">
        <f t="shared" si="52"/>
        <v>without CL</v>
      </c>
      <c r="E81" s="3" t="s">
        <v>22</v>
      </c>
      <c r="F81" s="175">
        <f t="array" ref="F81">IFERROR(INDEX(Usage!$B$5:$P$18,MATCH($B81,Usage!$B$5:$B$18,0),MATCH($C81&amp;$D81&amp;$E81&amp;"Total",Usage!$B$5:$S$5&amp;Usage!$B$6:$S$6&amp;Usage!$B$7:$S$7&amp;Usage!$B$13:$S$13,0)),0)</f>
        <v>10000</v>
      </c>
      <c r="G81" s="3" t="s">
        <v>201</v>
      </c>
      <c r="H81" s="172" cm="1">
        <f t="array" ref="H81">IFERROR(INDEX('Detail inputs'!$B$3:$K$196,MATCH($B81&amp;$G81&amp;H$5&amp;$C81,'Detail inputs'!$B$3:$B$196&amp;'Detail inputs'!$G$3:$G$196&amp;'Detail inputs'!$H$3:$H$196&amp;'Detail inputs'!$D$3:$D$196,0),MATCH(H$4,'Detail inputs'!$B$3:$K$3,0)),0)</f>
        <v>204</v>
      </c>
      <c r="I81" s="172"/>
      <c r="J81" s="172">
        <f>IF(AND(H81="",I81=""),"",H81+I81*$F81/1000)</f>
        <v>204</v>
      </c>
      <c r="K81" s="191">
        <f>IFERROR(J81/J84,"")</f>
        <v>0.87334418341768638</v>
      </c>
      <c r="L81" s="173"/>
      <c r="M81" s="191">
        <f>IF(OR(J81=0,Q81=""),"",Q81/J81-1)</f>
        <v>-0.19117647058823528</v>
      </c>
      <c r="N81" s="173"/>
      <c r="O81" s="172" cm="1">
        <f t="array" ref="O81">IFERROR(INDEX('Detail inputs'!$B$3:$K$196,MATCH($B81&amp;$G81&amp;O$5&amp;$C81,'Detail inputs'!$B$3:$B$196&amp;'Detail inputs'!$G$3:$G$196&amp;'Detail inputs'!$H$3:$H$196&amp;'Detail inputs'!$D$3:$D$196,0),MATCH(O$4,'Detail inputs'!$B$3:$K$3,0)),0)</f>
        <v>165</v>
      </c>
      <c r="P81" s="172"/>
      <c r="Q81" s="172">
        <f>IF(AND(O81="",P81=""),"",O81+P81*$F81/1000)</f>
        <v>165</v>
      </c>
      <c r="R81" s="191">
        <f>IFERROR(Q81/Q84,"")</f>
        <v>0.82042144096258141</v>
      </c>
    </row>
    <row r="82" spans="1:18" outlineLevel="1" x14ac:dyDescent="0.25">
      <c r="B82" s="3" t="str">
        <f t="shared" ref="B82:D82" si="53">B81</f>
        <v>Essential</v>
      </c>
      <c r="C82" s="3" t="str">
        <f t="shared" si="53"/>
        <v>Small business</v>
      </c>
      <c r="D82" s="3" t="str">
        <f t="shared" si="53"/>
        <v>without CL</v>
      </c>
      <c r="E82" s="3" t="s">
        <v>22</v>
      </c>
      <c r="F82" s="175">
        <f t="array" ref="F82">IFERROR(INDEX(Usage!$B$5:$P$18,MATCH($B82,Usage!$B$5:$B$18,0),MATCH($C82&amp;$D82&amp;$E82&amp;"Total",Usage!$B$5:$S$5&amp;Usage!$B$6:$S$6&amp;Usage!$B$7:$S$7&amp;Usage!$B$13:$S$13,0)),0)</f>
        <v>10000</v>
      </c>
      <c r="G82" s="3" t="s">
        <v>202</v>
      </c>
      <c r="H82" s="172" cm="1">
        <f t="array" ref="H82">IFERROR(INDEX('Detail inputs'!$B$3:$K$196,MATCH($B82&amp;$G82&amp;H$5&amp;$C82,'Detail inputs'!$B$3:$B$196&amp;'Detail inputs'!$G$3:$G$196&amp;'Detail inputs'!$H$3:$H$196&amp;'Detail inputs'!$D$3:$D$196,0),MATCH(H$4,'Detail inputs'!$B$3:$K$3,0)),0)</f>
        <v>3.87</v>
      </c>
      <c r="I82" s="172"/>
      <c r="J82" s="172">
        <f>IF(AND(H82="",I82=""),"",H82+I82*$F82/1000)</f>
        <v>3.87</v>
      </c>
      <c r="K82" s="191">
        <f>IFERROR(J82/J84,"")</f>
        <v>1.656785289130611E-2</v>
      </c>
      <c r="L82" s="173"/>
      <c r="M82" s="191">
        <f>IF(OR(J82=0,Q82=""),"",Q82/J82-1)</f>
        <v>4.1824672014139228</v>
      </c>
      <c r="N82" s="173"/>
      <c r="O82" s="172" cm="1">
        <f t="array" ref="O82">IFERROR(INDEX('Detail inputs'!$B$3:$K$196,MATCH($B82&amp;$G82&amp;O$5&amp;$C82,'Detail inputs'!$B$3:$B$196&amp;'Detail inputs'!$G$3:$G$196&amp;'Detail inputs'!$H$3:$H$196&amp;'Detail inputs'!$D$3:$D$196,0),MATCH(O$4,'Detail inputs'!$B$3:$K$3,0)),0)</f>
        <v>20.056148069471881</v>
      </c>
      <c r="P82" s="172"/>
      <c r="Q82" s="172">
        <f>IF(AND(O82="",P82=""),"",O82+P82*$F82/1000)</f>
        <v>20.056148069471881</v>
      </c>
      <c r="R82" s="191">
        <f>IFERROR(Q82/Q84,"")</f>
        <v>9.9724205450394038E-2</v>
      </c>
    </row>
    <row r="83" spans="1:18" outlineLevel="1" x14ac:dyDescent="0.25">
      <c r="B83" s="3" t="str">
        <f t="shared" ref="B83:D83" si="54">B82</f>
        <v>Essential</v>
      </c>
      <c r="C83" s="3" t="str">
        <f t="shared" si="54"/>
        <v>Small business</v>
      </c>
      <c r="D83" s="3" t="str">
        <f t="shared" si="54"/>
        <v>without CL</v>
      </c>
      <c r="E83" s="3" t="s">
        <v>22</v>
      </c>
      <c r="F83" s="175">
        <f t="array" ref="F83">IFERROR(INDEX(Usage!$B$5:$P$18,MATCH($B83,Usage!$B$5:$B$18,0),MATCH($C83&amp;$D83&amp;$E83&amp;"Total",Usage!$B$5:$S$5&amp;Usage!$B$6:$S$6&amp;Usage!$B$7:$S$7&amp;Usage!$B$13:$S$13,0)),0)</f>
        <v>10000</v>
      </c>
      <c r="G83" s="3" t="s">
        <v>203</v>
      </c>
      <c r="H83" s="172" cm="1">
        <f t="array" ref="H83">IFERROR(INDEX('Detail inputs'!$B$3:$K$196,MATCH($B83&amp;$G83&amp;H$5,'Detail inputs'!$B$3:$B$196&amp;'Detail inputs'!$G$3:$G$196&amp;'Detail inputs'!$H$3:$H$196,0),MATCH(H$4,'Detail inputs'!$B$3:$K$3,0)),0)</f>
        <v>25.714884256834605</v>
      </c>
      <c r="I83" s="172"/>
      <c r="J83" s="172">
        <f>IF(AND(H83="",I83=""),"",H83+I83*$F83/1000)</f>
        <v>25.714884256834605</v>
      </c>
      <c r="K83" s="191">
        <f>IFERROR(J83/J84,"")</f>
        <v>0.11008796369100753</v>
      </c>
      <c r="L83" s="173"/>
      <c r="M83" s="191">
        <f>IF(OR(J83=0,Q83=""),"",Q83/J83-1)</f>
        <v>-0.37545898167006109</v>
      </c>
      <c r="N83" s="173"/>
      <c r="O83" s="172" cm="1">
        <f t="array" ref="O83">IFERROR(INDEX('Detail inputs'!$B$3:$K$196,MATCH($B83&amp;$G83&amp;O$5,'Detail inputs'!$B$3:$B$196&amp;'Detail inputs'!$G$3:$G$196&amp;'Detail inputs'!$H$3:$H$196,0),MATCH(O$4,'Detail inputs'!$B$3:$K$3,0)),0)</f>
        <v>16.059999999999999</v>
      </c>
      <c r="P83" s="172"/>
      <c r="Q83" s="172">
        <f>IF(AND(O83="",P83=""),"",O83+P83*$F83/1000)</f>
        <v>16.059999999999999</v>
      </c>
      <c r="R83" s="191">
        <f>IFERROR(Q83/Q84,"")</f>
        <v>7.9854353587024585E-2</v>
      </c>
    </row>
    <row r="84" spans="1:18" s="20" customFormat="1" x14ac:dyDescent="0.25">
      <c r="A84" s="3"/>
      <c r="B84" s="3" t="str">
        <f t="shared" ref="B84:D84" si="55">B83</f>
        <v>Essential</v>
      </c>
      <c r="C84" s="3" t="str">
        <f t="shared" si="55"/>
        <v>Small business</v>
      </c>
      <c r="D84" s="3" t="str">
        <f t="shared" si="55"/>
        <v>without CL</v>
      </c>
      <c r="E84" s="3" t="s">
        <v>22</v>
      </c>
      <c r="F84" s="175">
        <f t="array" ref="F84">IFERROR(INDEX(Usage!$B$5:$P$18,MATCH($B84,Usage!$B$5:$B$18,0),MATCH($C84&amp;$D84&amp;$E84&amp;"Total",Usage!$B$5:$S$5&amp;Usage!$B$6:$S$6&amp;Usage!$B$7:$S$7&amp;Usage!$B$13:$S$13,0)),0)</f>
        <v>10000</v>
      </c>
      <c r="G84" s="3" t="s">
        <v>61</v>
      </c>
      <c r="H84" s="172">
        <f>SUM(H81:H83)</f>
        <v>233.58488425683461</v>
      </c>
      <c r="I84" s="172"/>
      <c r="J84" s="172">
        <f>IF(AND(H84="",I84=""),"",H84+I84*$F84/1000)</f>
        <v>233.58488425683461</v>
      </c>
      <c r="K84" s="192"/>
      <c r="L84" s="172"/>
      <c r="M84" s="192">
        <f>IF(OR(J84=0,Q84=""),"",Q84/J84-1)</f>
        <v>-0.13900187202037539</v>
      </c>
      <c r="N84" s="172"/>
      <c r="O84" s="172">
        <f>SUM(O81:O83)</f>
        <v>201.11614806947188</v>
      </c>
      <c r="P84" s="172"/>
      <c r="Q84" s="172">
        <f>IF(AND(O84="",P84=""),"",O84+P84*$F84/1000)</f>
        <v>201.11614806947188</v>
      </c>
      <c r="R84" s="192"/>
    </row>
    <row r="85" spans="1:18" s="20" customFormat="1" x14ac:dyDescent="0.25">
      <c r="A85" s="3"/>
      <c r="B85" s="3" t="str">
        <f t="shared" ref="B85:D85" si="56">B84</f>
        <v>Essential</v>
      </c>
      <c r="C85" s="3" t="str">
        <f t="shared" si="56"/>
        <v>Small business</v>
      </c>
      <c r="D85" s="3" t="str">
        <f t="shared" si="56"/>
        <v>without CL</v>
      </c>
      <c r="E85" s="3" t="s">
        <v>22</v>
      </c>
      <c r="F85" s="175">
        <f t="array" ref="F85">IFERROR(INDEX(Usage!$B$5:$P$18,MATCH($B85,Usage!$B$5:$B$18,0),MATCH($C85&amp;$D85&amp;$E85&amp;"Total",Usage!$B$5:$S$5&amp;Usage!$B$6:$S$6&amp;Usage!$B$7:$S$7&amp;Usage!$B$13:$S$13,0)),0)</f>
        <v>10000</v>
      </c>
      <c r="G85" s="3" t="s">
        <v>209</v>
      </c>
      <c r="H85" s="172">
        <f>H84*CPIPY</f>
        <v>23.320530881991733</v>
      </c>
      <c r="I85" s="172"/>
      <c r="J85" s="172">
        <f>J84*CPIPY</f>
        <v>23.320530881991733</v>
      </c>
      <c r="K85" s="192"/>
      <c r="L85" s="172"/>
      <c r="M85" s="192">
        <f>IF(OR(J85=0,Q85=""),"",Q85/J85-1)</f>
        <v>-9.5666295778007004E-2</v>
      </c>
      <c r="N85" s="172"/>
      <c r="O85" s="172">
        <f>O84*CPI</f>
        <v>21.089542076934965</v>
      </c>
      <c r="P85" s="172"/>
      <c r="Q85" s="172">
        <f>Q84*CPI</f>
        <v>21.089542076934965</v>
      </c>
      <c r="R85" s="192"/>
    </row>
    <row r="86" spans="1:18" s="20" customFormat="1" outlineLevel="1" x14ac:dyDescent="0.25">
      <c r="A86" s="3"/>
      <c r="B86" s="3" t="str">
        <f t="shared" ref="B86:D86" si="57">B85</f>
        <v>Essential</v>
      </c>
      <c r="C86" s="3" t="str">
        <f t="shared" si="57"/>
        <v>Small business</v>
      </c>
      <c r="D86" s="3" t="str">
        <f t="shared" si="57"/>
        <v>without CL</v>
      </c>
      <c r="E86" s="3"/>
      <c r="F86" s="175"/>
      <c r="G86" s="3" t="s">
        <v>41</v>
      </c>
      <c r="H86" s="172"/>
      <c r="I86" s="172"/>
      <c r="J86" s="172">
        <f>SUM(J84,J85)*GST</f>
        <v>25.690541513882636</v>
      </c>
      <c r="K86" s="192"/>
      <c r="L86" s="172"/>
      <c r="M86" s="192"/>
      <c r="N86" s="172"/>
      <c r="O86" s="172"/>
      <c r="P86" s="172"/>
      <c r="Q86" s="172">
        <f>SUM(Q84,Q85)*GST</f>
        <v>22.220569014640688</v>
      </c>
      <c r="R86" s="193"/>
    </row>
    <row r="87" spans="1:18" s="20" customFormat="1" x14ac:dyDescent="0.25">
      <c r="A87" s="3"/>
      <c r="B87" s="3" t="str">
        <f t="shared" ref="B87:D87" si="58">B86</f>
        <v>Essential</v>
      </c>
      <c r="C87" s="3" t="str">
        <f t="shared" si="58"/>
        <v>Small business</v>
      </c>
      <c r="D87" s="3" t="str">
        <f t="shared" si="58"/>
        <v>without CL</v>
      </c>
      <c r="E87" s="3"/>
      <c r="F87" s="175"/>
      <c r="G87" s="5" t="s">
        <v>87</v>
      </c>
      <c r="H87" s="174"/>
      <c r="I87" s="174"/>
      <c r="J87" s="174">
        <f>SUM(J84:J86)</f>
        <v>282.59595665270899</v>
      </c>
      <c r="K87" s="193"/>
      <c r="L87" s="174"/>
      <c r="M87" s="193">
        <f>IF(OR(J87=0,Q87=""),"",Q87/J87-1)</f>
        <v>-0.13506809490048499</v>
      </c>
      <c r="N87" s="174"/>
      <c r="O87" s="174"/>
      <c r="P87" s="174"/>
      <c r="Q87" s="174">
        <f>SUM(Q84:Q86)</f>
        <v>244.42625916104754</v>
      </c>
      <c r="R87" s="193"/>
    </row>
    <row r="88" spans="1:18" s="20" customFormat="1" x14ac:dyDescent="0.25">
      <c r="A88" s="3"/>
      <c r="B88" s="3" t="str">
        <f t="shared" ref="B88:D88" si="59">B87</f>
        <v>Essential</v>
      </c>
      <c r="C88" s="3" t="str">
        <f t="shared" si="59"/>
        <v>Small business</v>
      </c>
      <c r="D88" s="3" t="str">
        <f t="shared" si="59"/>
        <v>without CL</v>
      </c>
      <c r="E88" s="3"/>
      <c r="F88" s="175"/>
      <c r="G88" s="3"/>
      <c r="H88" s="172"/>
      <c r="I88" s="172"/>
      <c r="J88" s="172"/>
      <c r="K88" s="191"/>
      <c r="L88" s="172"/>
      <c r="M88" s="191"/>
      <c r="N88" s="172"/>
      <c r="O88" s="172"/>
      <c r="P88" s="172"/>
      <c r="Q88" s="172"/>
      <c r="R88" s="191"/>
    </row>
    <row r="89" spans="1:18" x14ac:dyDescent="0.25">
      <c r="B89" s="5" t="s">
        <v>0</v>
      </c>
      <c r="C89" s="5" t="s">
        <v>6</v>
      </c>
      <c r="D89" s="5" t="s">
        <v>146</v>
      </c>
      <c r="F89" s="175"/>
      <c r="H89" s="172"/>
      <c r="I89" s="172"/>
      <c r="J89" s="172"/>
      <c r="K89" s="191"/>
      <c r="L89" s="173"/>
      <c r="M89" s="191"/>
      <c r="N89" s="173"/>
      <c r="O89" s="172"/>
      <c r="P89" s="172"/>
      <c r="Q89" s="172"/>
      <c r="R89" s="191"/>
    </row>
    <row r="90" spans="1:18" outlineLevel="1" x14ac:dyDescent="0.25">
      <c r="B90" s="3" t="str">
        <f t="shared" ref="B90:D90" si="60">B89</f>
        <v>Energex</v>
      </c>
      <c r="C90" s="3" t="str">
        <f t="shared" si="60"/>
        <v>Residential</v>
      </c>
      <c r="D90" s="3" t="str">
        <f t="shared" si="60"/>
        <v>without CL</v>
      </c>
      <c r="E90" s="3" t="s">
        <v>22</v>
      </c>
      <c r="F90" s="175">
        <f t="array" ref="F90">IFERROR(INDEX(Usage!$B$5:$P$18,MATCH($B90,Usage!$B$5:$B$18,0),MATCH($C90&amp;$D90&amp;$E90&amp;"Total",Usage!$B$5:$S$5&amp;Usage!$B$6:$S$6&amp;Usage!$B$7:$S$7&amp;Usage!$B$13:$S$13,0)),0)</f>
        <v>4600</v>
      </c>
      <c r="G90" s="3" t="s">
        <v>201</v>
      </c>
      <c r="H90" s="172" cm="1">
        <f t="array" ref="H90">IFERROR(INDEX('Detail inputs'!$B$3:$K$196,MATCH($B90&amp;$G90&amp;H$5&amp;$C90,'Detail inputs'!$B$3:$B$196&amp;'Detail inputs'!$G$3:$G$196&amp;'Detail inputs'!$H$3:$H$196&amp;'Detail inputs'!$D$3:$D$196,0),MATCH(H$4,'Detail inputs'!$B$3:$K$3,0)),0)</f>
        <v>132</v>
      </c>
      <c r="I90" s="172"/>
      <c r="J90" s="172">
        <f>IF(AND(H90="",I90=""),"",H90+I90*$F90/1000)</f>
        <v>132</v>
      </c>
      <c r="K90" s="191">
        <f>IFERROR(J90/J93,"")</f>
        <v>0.75547338641225426</v>
      </c>
      <c r="L90" s="173"/>
      <c r="M90" s="191">
        <f>IF(OR(J90=0,Q90=""),"",Q90/J90-1)</f>
        <v>-3.0303030303030276E-2</v>
      </c>
      <c r="N90" s="173"/>
      <c r="O90" s="172" cm="1">
        <f t="array" ref="O90">IFERROR(INDEX('Detail inputs'!$B$3:$K$196,MATCH($B90&amp;$G90&amp;O$5&amp;$C90,'Detail inputs'!$B$3:$B$196&amp;'Detail inputs'!$G$3:$G$196&amp;'Detail inputs'!$H$3:$H$196&amp;'Detail inputs'!$D$3:$D$196,0),MATCH(O$4,'Detail inputs'!$B$3:$K$3,0)),0)</f>
        <v>128</v>
      </c>
      <c r="P90" s="172"/>
      <c r="Q90" s="172">
        <f>IF(AND(O90="",P90=""),"",O90+P90*$F90/1000)</f>
        <v>128</v>
      </c>
      <c r="R90" s="191">
        <f>IFERROR(Q90/Q93,"")</f>
        <v>0.75598461366302694</v>
      </c>
    </row>
    <row r="91" spans="1:18" outlineLevel="1" x14ac:dyDescent="0.25">
      <c r="B91" s="3" t="str">
        <f t="shared" ref="B91:D91" si="61">B90</f>
        <v>Energex</v>
      </c>
      <c r="C91" s="3" t="str">
        <f t="shared" si="61"/>
        <v>Residential</v>
      </c>
      <c r="D91" s="3" t="str">
        <f t="shared" si="61"/>
        <v>without CL</v>
      </c>
      <c r="E91" s="3" t="s">
        <v>22</v>
      </c>
      <c r="F91" s="175">
        <f t="array" ref="F91">IFERROR(INDEX(Usage!$B$5:$P$18,MATCH($B91,Usage!$B$5:$B$18,0),MATCH($C91&amp;$D91&amp;$E91&amp;"Total",Usage!$B$5:$S$5&amp;Usage!$B$6:$S$6&amp;Usage!$B$7:$S$7&amp;Usage!$B$13:$S$13,0)),0)</f>
        <v>4600</v>
      </c>
      <c r="G91" s="3" t="s">
        <v>202</v>
      </c>
      <c r="H91" s="172" cm="1">
        <f t="array" ref="H91">IFERROR(INDEX('Detail inputs'!$B$3:$K$196,MATCH($B91&amp;$G91&amp;H$5,'Detail inputs'!$B$3:$B$196&amp;'Detail inputs'!$G$3:$G$196&amp;'Detail inputs'!$H$3:$H$196,0),MATCH(H$4,'Detail inputs'!$B$3:$K$3,0)),0)</f>
        <v>17.010000000000002</v>
      </c>
      <c r="I91" s="172"/>
      <c r="J91" s="172">
        <f>IF(AND(H91="",I91=""),"",H91+I91*$F91/1000)</f>
        <v>17.010000000000002</v>
      </c>
      <c r="K91" s="191">
        <f>IFERROR(J91/J93,"")</f>
        <v>9.735304774903368E-2</v>
      </c>
      <c r="L91" s="173"/>
      <c r="M91" s="191">
        <f>IF(OR(J91=0,Q91=""),"",Q91/J91-1)</f>
        <v>0.48475104491222076</v>
      </c>
      <c r="N91" s="173"/>
      <c r="O91" s="172" cm="1">
        <f t="array" ref="O91">IFERROR(INDEX('Detail inputs'!$B$3:$K$196,MATCH($B91&amp;$G91&amp;O$5,'Detail inputs'!$B$3:$B$196&amp;'Detail inputs'!$G$3:$G$196&amp;'Detail inputs'!$H$3:$H$196,0),MATCH(O$4,'Detail inputs'!$B$3:$K$3,0)),0)</f>
        <v>25.255615273956877</v>
      </c>
      <c r="P91" s="172"/>
      <c r="Q91" s="172">
        <f>IF(AND(O91="",P91=""),"",O91+P91*$F91/1000)</f>
        <v>25.255615273956877</v>
      </c>
      <c r="R91" s="191">
        <f>IFERROR(Q91/Q93,"")</f>
        <v>0.14916294184144008</v>
      </c>
    </row>
    <row r="92" spans="1:18" outlineLevel="1" x14ac:dyDescent="0.25">
      <c r="B92" s="3" t="str">
        <f t="shared" ref="B92:D92" si="62">B91</f>
        <v>Energex</v>
      </c>
      <c r="C92" s="3" t="str">
        <f t="shared" si="62"/>
        <v>Residential</v>
      </c>
      <c r="D92" s="3" t="str">
        <f t="shared" si="62"/>
        <v>without CL</v>
      </c>
      <c r="E92" s="3" t="s">
        <v>22</v>
      </c>
      <c r="F92" s="175">
        <f t="array" ref="F92">IFERROR(INDEX(Usage!$B$5:$P$18,MATCH($B92,Usage!$B$5:$B$18,0),MATCH($C92&amp;$D92&amp;$E92&amp;"Total",Usage!$B$5:$S$5&amp;Usage!$B$6:$S$6&amp;Usage!$B$7:$S$7&amp;Usage!$B$13:$S$13,0)),0)</f>
        <v>4600</v>
      </c>
      <c r="G92" s="3" t="s">
        <v>203</v>
      </c>
      <c r="H92" s="172" cm="1">
        <f t="array" ref="H92">IFERROR(INDEX('Detail inputs'!$B$3:$K$196,MATCH($B92&amp;$G92&amp;H$5,'Detail inputs'!$B$3:$B$196&amp;'Detail inputs'!$G$3:$G$196&amp;'Detail inputs'!$H$3:$H$196,0),MATCH(H$4,'Detail inputs'!$B$3:$K$3,0)),0)</f>
        <v>25.714884256834605</v>
      </c>
      <c r="I92" s="172"/>
      <c r="J92" s="172">
        <f>IF(AND(H92="",I92=""),"",H92+I92*$F92/1000)</f>
        <v>25.714884256834605</v>
      </c>
      <c r="K92" s="191">
        <f>IFERROR(J92/J93,"")</f>
        <v>0.14717356583871213</v>
      </c>
      <c r="L92" s="173"/>
      <c r="M92" s="191">
        <f>IF(OR(J92=0,Q92=""),"",Q92/J92-1)</f>
        <v>-0.37545898167006109</v>
      </c>
      <c r="N92" s="173"/>
      <c r="O92" s="172" cm="1">
        <f t="array" ref="O92">IFERROR(INDEX('Detail inputs'!$B$3:$K$196,MATCH($B92&amp;$G92&amp;O$5,'Detail inputs'!$B$3:$B$196&amp;'Detail inputs'!$G$3:$G$196&amp;'Detail inputs'!$H$3:$H$196,0),MATCH(O$4,'Detail inputs'!$B$3:$K$3,0)),0)</f>
        <v>16.059999999999999</v>
      </c>
      <c r="P92" s="172"/>
      <c r="Q92" s="172">
        <f>IF(AND(O92="",P92=""),"",O92+P92*$F92/1000)</f>
        <v>16.059999999999999</v>
      </c>
      <c r="R92" s="191">
        <f>IFERROR(Q92/Q93,"")</f>
        <v>9.48524444955329E-2</v>
      </c>
    </row>
    <row r="93" spans="1:18" s="20" customFormat="1" x14ac:dyDescent="0.25">
      <c r="A93" s="3"/>
      <c r="B93" s="3" t="str">
        <f t="shared" ref="B93:D93" si="63">B92</f>
        <v>Energex</v>
      </c>
      <c r="C93" s="3" t="str">
        <f t="shared" si="63"/>
        <v>Residential</v>
      </c>
      <c r="D93" s="3" t="str">
        <f t="shared" si="63"/>
        <v>without CL</v>
      </c>
      <c r="E93" s="3" t="s">
        <v>22</v>
      </c>
      <c r="F93" s="175">
        <f t="array" ref="F93">IFERROR(INDEX(Usage!$B$5:$P$18,MATCH($B93,Usage!$B$5:$B$18,0),MATCH($C93&amp;$D93&amp;$E93&amp;"Total",Usage!$B$5:$S$5&amp;Usage!$B$6:$S$6&amp;Usage!$B$7:$S$7&amp;Usage!$B$13:$S$13,0)),0)</f>
        <v>4600</v>
      </c>
      <c r="G93" s="3" t="s">
        <v>61</v>
      </c>
      <c r="H93" s="172">
        <f>SUM(H90:H92)</f>
        <v>174.7248842568346</v>
      </c>
      <c r="I93" s="172"/>
      <c r="J93" s="172">
        <f>IF(AND(H93="",I93=""),"",H93+I93*$F93/1000)</f>
        <v>174.7248842568346</v>
      </c>
      <c r="K93" s="192"/>
      <c r="L93" s="172"/>
      <c r="M93" s="192">
        <f>IF(OR(J93=0,Q93=""),"",Q93/J93-1)</f>
        <v>-3.0958778458404446E-2</v>
      </c>
      <c r="N93" s="172"/>
      <c r="O93" s="172">
        <f>SUM(O90:O92)</f>
        <v>169.31561527395689</v>
      </c>
      <c r="P93" s="172"/>
      <c r="Q93" s="172">
        <f>IF(AND(O93="",P93=""),"",O93+P93*$F93/1000)</f>
        <v>169.31561527395689</v>
      </c>
      <c r="R93" s="192"/>
    </row>
    <row r="94" spans="1:18" s="20" customFormat="1" x14ac:dyDescent="0.25">
      <c r="A94" s="3"/>
      <c r="B94" s="3" t="str">
        <f t="shared" ref="B94:D94" si="64">B93</f>
        <v>Energex</v>
      </c>
      <c r="C94" s="3" t="str">
        <f t="shared" si="64"/>
        <v>Residential</v>
      </c>
      <c r="D94" s="3" t="str">
        <f t="shared" si="64"/>
        <v>without CL</v>
      </c>
      <c r="E94" s="3" t="s">
        <v>22</v>
      </c>
      <c r="F94" s="175">
        <f t="array" ref="F94">IFERROR(INDEX(Usage!$B$5:$P$18,MATCH($B94,Usage!$B$5:$B$18,0),MATCH($C94&amp;$D94&amp;$E94&amp;"Total",Usage!$B$5:$S$5&amp;Usage!$B$6:$S$6&amp;Usage!$B$7:$S$7&amp;Usage!$B$13:$S$13,0)),0)</f>
        <v>4600</v>
      </c>
      <c r="G94" s="3" t="s">
        <v>209</v>
      </c>
      <c r="H94" s="172">
        <f>H93*CPIPY</f>
        <v>17.444095631991729</v>
      </c>
      <c r="I94" s="172"/>
      <c r="J94" s="172">
        <f>J93*CPIPY</f>
        <v>17.444095631991729</v>
      </c>
      <c r="K94" s="192"/>
      <c r="L94" s="172"/>
      <c r="M94" s="192">
        <f>IF(OR(J94=0,Q94=""),"",Q94/J94-1)</f>
        <v>1.7814799989036123E-2</v>
      </c>
      <c r="N94" s="172"/>
      <c r="O94" s="172">
        <f>O93*CPI</f>
        <v>17.754858706665281</v>
      </c>
      <c r="P94" s="172"/>
      <c r="Q94" s="172">
        <f>Q93*CPI</f>
        <v>17.754858706665281</v>
      </c>
      <c r="R94" s="192"/>
    </row>
    <row r="95" spans="1:18" s="20" customFormat="1" outlineLevel="1" x14ac:dyDescent="0.25">
      <c r="A95" s="3"/>
      <c r="B95" s="3" t="str">
        <f t="shared" ref="B95:D95" si="65">B94</f>
        <v>Energex</v>
      </c>
      <c r="C95" s="3" t="str">
        <f t="shared" si="65"/>
        <v>Residential</v>
      </c>
      <c r="D95" s="3" t="str">
        <f t="shared" si="65"/>
        <v>without CL</v>
      </c>
      <c r="E95" s="3"/>
      <c r="F95" s="175"/>
      <c r="G95" s="3" t="s">
        <v>41</v>
      </c>
      <c r="H95" s="172"/>
      <c r="I95" s="172"/>
      <c r="J95" s="172">
        <f>SUM(J93,J94)*GST</f>
        <v>19.216897988882636</v>
      </c>
      <c r="K95" s="192"/>
      <c r="L95" s="172"/>
      <c r="M95" s="192"/>
      <c r="N95" s="172"/>
      <c r="O95" s="172"/>
      <c r="P95" s="172"/>
      <c r="Q95" s="172">
        <f>SUM(Q93,Q94)*GST</f>
        <v>18.707047398062219</v>
      </c>
      <c r="R95" s="193"/>
    </row>
    <row r="96" spans="1:18" s="20" customFormat="1" x14ac:dyDescent="0.25">
      <c r="A96" s="3"/>
      <c r="B96" s="3" t="str">
        <f t="shared" ref="B96:D96" si="66">B95</f>
        <v>Energex</v>
      </c>
      <c r="C96" s="3" t="str">
        <f t="shared" si="66"/>
        <v>Residential</v>
      </c>
      <c r="D96" s="3" t="str">
        <f t="shared" si="66"/>
        <v>without CL</v>
      </c>
      <c r="E96" s="3"/>
      <c r="F96" s="175"/>
      <c r="G96" s="5" t="s">
        <v>87</v>
      </c>
      <c r="H96" s="174"/>
      <c r="I96" s="174"/>
      <c r="J96" s="174">
        <f>SUM(J93:J95)</f>
        <v>211.38587787770896</v>
      </c>
      <c r="K96" s="193"/>
      <c r="L96" s="174"/>
      <c r="M96" s="193">
        <f>IF(OR(J96=0,Q96=""),"",Q96/J96-1)</f>
        <v>-2.6531367919805371E-2</v>
      </c>
      <c r="N96" s="174"/>
      <c r="O96" s="174"/>
      <c r="P96" s="174"/>
      <c r="Q96" s="174">
        <f>SUM(Q93:Q95)</f>
        <v>205.77752137868441</v>
      </c>
      <c r="R96" s="193"/>
    </row>
    <row r="97" spans="1:18" s="20" customFormat="1" x14ac:dyDescent="0.25">
      <c r="A97" s="3"/>
      <c r="B97" s="3" t="str">
        <f t="shared" ref="B97:D97" si="67">B96</f>
        <v>Energex</v>
      </c>
      <c r="C97" s="3" t="str">
        <f t="shared" si="67"/>
        <v>Residential</v>
      </c>
      <c r="D97" s="3" t="str">
        <f t="shared" si="67"/>
        <v>without CL</v>
      </c>
      <c r="E97" s="3"/>
      <c r="F97" s="175"/>
      <c r="G97" s="3"/>
      <c r="H97" s="172"/>
      <c r="I97" s="172"/>
      <c r="J97" s="172"/>
      <c r="K97" s="191"/>
      <c r="L97" s="172"/>
      <c r="M97" s="191"/>
      <c r="N97" s="172"/>
      <c r="O97" s="172"/>
      <c r="P97" s="172"/>
      <c r="Q97" s="172"/>
      <c r="R97" s="191"/>
    </row>
    <row r="98" spans="1:18" s="20" customFormat="1" x14ac:dyDescent="0.25">
      <c r="A98" s="3"/>
      <c r="B98" s="62" t="s">
        <v>0</v>
      </c>
      <c r="C98" s="62" t="s">
        <v>6</v>
      </c>
      <c r="D98" s="5" t="s">
        <v>147</v>
      </c>
      <c r="E98" s="3"/>
      <c r="F98" s="175"/>
      <c r="G98" s="3"/>
      <c r="H98" s="172"/>
      <c r="I98" s="172"/>
      <c r="J98" s="172"/>
      <c r="K98" s="191"/>
      <c r="L98" s="172"/>
      <c r="M98" s="191"/>
      <c r="N98" s="172"/>
      <c r="O98" s="172"/>
      <c r="P98" s="172"/>
      <c r="Q98" s="172"/>
      <c r="R98" s="191"/>
    </row>
    <row r="99" spans="1:18" outlineLevel="1" x14ac:dyDescent="0.25">
      <c r="B99" s="3" t="str">
        <f t="shared" ref="B99:D99" si="68">B98</f>
        <v>Energex</v>
      </c>
      <c r="C99" s="3" t="str">
        <f t="shared" si="68"/>
        <v>Residential</v>
      </c>
      <c r="D99" s="3" t="str">
        <f t="shared" si="68"/>
        <v>with CL</v>
      </c>
      <c r="E99" s="3" t="s">
        <v>22</v>
      </c>
      <c r="F99" s="175">
        <f t="array" ref="F99">IFERROR(INDEX(Usage!$B$5:$P$18,MATCH($B99,Usage!$B$5:$B$18,0),MATCH($C99&amp;$D99&amp;$E99&amp;"Total",Usage!$B$5:$S$5&amp;Usage!$B$6:$S$6&amp;Usage!$B$7:$S$7&amp;Usage!$B$13:$S$13,0)),0)</f>
        <v>4400</v>
      </c>
      <c r="G99" s="3" t="s">
        <v>201</v>
      </c>
      <c r="H99" s="172" cm="1">
        <f t="array" ref="H99">IFERROR(INDEX('Detail inputs'!$B$3:$K$196,MATCH($B99&amp;$G99&amp;H$5&amp;$C99,'Detail inputs'!$B$3:$B$196&amp;'Detail inputs'!$G$3:$G$196&amp;'Detail inputs'!$H$3:$H$196&amp;'Detail inputs'!$D$3:$D$196,0),MATCH(H$4,'Detail inputs'!$B$3:$K$3,0)),0)</f>
        <v>132</v>
      </c>
      <c r="I99" s="172"/>
      <c r="J99" s="172">
        <f>IF(AND(H99="",I99=""),"",H99+I99*$F99/1000)</f>
        <v>132</v>
      </c>
      <c r="K99" s="191">
        <f>IFERROR(J99/J102,"")</f>
        <v>0.75547338641225426</v>
      </c>
      <c r="L99" s="173"/>
      <c r="M99" s="191">
        <f>IF(OR(J99=0,Q99=""),"",Q99/J99-1)</f>
        <v>-3.0303030303030276E-2</v>
      </c>
      <c r="N99" s="173"/>
      <c r="O99" s="172" cm="1">
        <f t="array" ref="O99">IFERROR(INDEX('Detail inputs'!$B$3:$K$196,MATCH($B99&amp;$G99&amp;O$5&amp;$C99,'Detail inputs'!$B$3:$B$196&amp;'Detail inputs'!$G$3:$G$196&amp;'Detail inputs'!$H$3:$H$196&amp;'Detail inputs'!$D$3:$D$196,0),MATCH(O$4,'Detail inputs'!$B$3:$K$3,0)),0)</f>
        <v>128</v>
      </c>
      <c r="P99" s="172"/>
      <c r="Q99" s="172">
        <f>IF(AND(O99="",P99=""),"",O99+P99*$F99/1000)</f>
        <v>128</v>
      </c>
      <c r="R99" s="191">
        <f>IFERROR(Q99/Q102,"")</f>
        <v>0.75598461366302694</v>
      </c>
    </row>
    <row r="100" spans="1:18" outlineLevel="1" x14ac:dyDescent="0.25">
      <c r="B100" s="3" t="str">
        <f t="shared" ref="B100:D100" si="69">B99</f>
        <v>Energex</v>
      </c>
      <c r="C100" s="3" t="str">
        <f t="shared" si="69"/>
        <v>Residential</v>
      </c>
      <c r="D100" s="3" t="str">
        <f t="shared" si="69"/>
        <v>with CL</v>
      </c>
      <c r="E100" s="3" t="s">
        <v>22</v>
      </c>
      <c r="F100" s="175">
        <f t="array" ref="F100">IFERROR(INDEX(Usage!$B$5:$P$18,MATCH($B100,Usage!$B$5:$B$18,0),MATCH($C100&amp;$D100&amp;$E100&amp;"Total",Usage!$B$5:$S$5&amp;Usage!$B$6:$S$6&amp;Usage!$B$7:$S$7&amp;Usage!$B$13:$S$13,0)),0)</f>
        <v>4400</v>
      </c>
      <c r="G100" s="3" t="s">
        <v>202</v>
      </c>
      <c r="H100" s="172" cm="1">
        <f t="array" ref="H100">IFERROR(INDEX('Detail inputs'!$B$3:$K$196,MATCH($B100&amp;$G100&amp;H$5,'Detail inputs'!$B$3:$B$196&amp;'Detail inputs'!$G$3:$G$196&amp;'Detail inputs'!$H$3:$H$196,0),MATCH(H$4,'Detail inputs'!$B$3:$K$3,0)),0)</f>
        <v>17.010000000000002</v>
      </c>
      <c r="I100" s="172"/>
      <c r="J100" s="172">
        <f>IF(AND(H100="",I100=""),"",H100+I100*$F100/1000)</f>
        <v>17.010000000000002</v>
      </c>
      <c r="K100" s="191">
        <f>IFERROR(J100/J102,"")</f>
        <v>9.735304774903368E-2</v>
      </c>
      <c r="L100" s="173"/>
      <c r="M100" s="191">
        <f>IF(OR(J100=0,Q100=""),"",Q100/J100-1)</f>
        <v>0.48475104491222076</v>
      </c>
      <c r="N100" s="173"/>
      <c r="O100" s="172" cm="1">
        <f t="array" ref="O100">IFERROR(INDEX('Detail inputs'!$B$3:$K$196,MATCH($B100&amp;$G100&amp;O$5,'Detail inputs'!$B$3:$B$196&amp;'Detail inputs'!$G$3:$G$196&amp;'Detail inputs'!$H$3:$H$196,0),MATCH(O$4,'Detail inputs'!$B$3:$K$3,0)),0)</f>
        <v>25.255615273956877</v>
      </c>
      <c r="P100" s="172"/>
      <c r="Q100" s="172">
        <f>IF(AND(O100="",P100=""),"",O100+P100*$F100/1000)</f>
        <v>25.255615273956877</v>
      </c>
      <c r="R100" s="191">
        <f>IFERROR(Q100/Q102,"")</f>
        <v>0.14916294184144008</v>
      </c>
    </row>
    <row r="101" spans="1:18" outlineLevel="1" x14ac:dyDescent="0.25">
      <c r="B101" s="3" t="str">
        <f t="shared" ref="B101:D101" si="70">B100</f>
        <v>Energex</v>
      </c>
      <c r="C101" s="3" t="str">
        <f t="shared" si="70"/>
        <v>Residential</v>
      </c>
      <c r="D101" s="3" t="str">
        <f t="shared" si="70"/>
        <v>with CL</v>
      </c>
      <c r="E101" s="3" t="s">
        <v>22</v>
      </c>
      <c r="F101" s="175">
        <f t="array" ref="F101">IFERROR(INDEX(Usage!$B$5:$P$18,MATCH($B101,Usage!$B$5:$B$18,0),MATCH($C101&amp;$D101&amp;$E101&amp;"Total",Usage!$B$5:$S$5&amp;Usage!$B$6:$S$6&amp;Usage!$B$7:$S$7&amp;Usage!$B$13:$S$13,0)),0)</f>
        <v>4400</v>
      </c>
      <c r="G101" s="3" t="s">
        <v>203</v>
      </c>
      <c r="H101" s="172" cm="1">
        <f t="array" ref="H101">IFERROR(INDEX('Detail inputs'!$B$3:$K$196,MATCH($B101&amp;$G101&amp;H$5,'Detail inputs'!$B$3:$B$196&amp;'Detail inputs'!$G$3:$G$196&amp;'Detail inputs'!$H$3:$H$196,0),MATCH(H$4,'Detail inputs'!$B$3:$K$3,0)),0)</f>
        <v>25.714884256834605</v>
      </c>
      <c r="I101" s="172"/>
      <c r="J101" s="172">
        <f>IF(AND(H101="",I101=""),"",H101+I101*$F101/1000)</f>
        <v>25.714884256834605</v>
      </c>
      <c r="K101" s="191">
        <f>IFERROR(J101/J102,"")</f>
        <v>0.14717356583871213</v>
      </c>
      <c r="L101" s="173"/>
      <c r="M101" s="191">
        <f>IF(OR(J101=0,Q101=""),"",Q101/J101-1)</f>
        <v>-0.37545898167006109</v>
      </c>
      <c r="N101" s="173"/>
      <c r="O101" s="172" cm="1">
        <f t="array" ref="O101">IFERROR(INDEX('Detail inputs'!$B$3:$K$196,MATCH($B101&amp;$G101&amp;O$5,'Detail inputs'!$B$3:$B$196&amp;'Detail inputs'!$G$3:$G$196&amp;'Detail inputs'!$H$3:$H$196,0),MATCH(O$4,'Detail inputs'!$B$3:$K$3,0)),0)</f>
        <v>16.059999999999999</v>
      </c>
      <c r="P101" s="172"/>
      <c r="Q101" s="172">
        <f>IF(AND(O101="",P101=""),"",O101+P101*$F101/1000)</f>
        <v>16.059999999999999</v>
      </c>
      <c r="R101" s="191">
        <f>IFERROR(Q101/Q102,"")</f>
        <v>9.48524444955329E-2</v>
      </c>
    </row>
    <row r="102" spans="1:18" s="20" customFormat="1" x14ac:dyDescent="0.25">
      <c r="A102" s="3"/>
      <c r="B102" s="3" t="str">
        <f t="shared" ref="B102:D102" si="71">B101</f>
        <v>Energex</v>
      </c>
      <c r="C102" s="3" t="str">
        <f t="shared" si="71"/>
        <v>Residential</v>
      </c>
      <c r="D102" s="3" t="str">
        <f t="shared" si="71"/>
        <v>with CL</v>
      </c>
      <c r="E102" s="3" t="s">
        <v>22</v>
      </c>
      <c r="F102" s="175">
        <f t="array" ref="F102">IFERROR(INDEX(Usage!$B$5:$P$18,MATCH($B102,Usage!$B$5:$B$18,0),MATCH($C102&amp;$D102&amp;$E102&amp;"Total",Usage!$B$5:$S$5&amp;Usage!$B$6:$S$6&amp;Usage!$B$7:$S$7&amp;Usage!$B$13:$S$13,0)),0)</f>
        <v>4400</v>
      </c>
      <c r="G102" s="3" t="s">
        <v>61</v>
      </c>
      <c r="H102" s="172">
        <f>SUM(H99:H101)</f>
        <v>174.7248842568346</v>
      </c>
      <c r="I102" s="172"/>
      <c r="J102" s="172">
        <f>IF(AND(H102="",I102=""),"",H102+I102*$F102/1000)</f>
        <v>174.7248842568346</v>
      </c>
      <c r="K102" s="192"/>
      <c r="L102" s="172"/>
      <c r="M102" s="192">
        <f>IF(OR(J102=0,Q102=""),"",Q102/J102-1)</f>
        <v>-3.0958778458404446E-2</v>
      </c>
      <c r="N102" s="172"/>
      <c r="O102" s="172">
        <f>SUM(O99:O101)</f>
        <v>169.31561527395689</v>
      </c>
      <c r="P102" s="172"/>
      <c r="Q102" s="172">
        <f>IF(AND(O102="",P102=""),"",O102+P102*$F102/1000)</f>
        <v>169.31561527395689</v>
      </c>
      <c r="R102" s="192"/>
    </row>
    <row r="103" spans="1:18" s="20" customFormat="1" x14ac:dyDescent="0.25">
      <c r="A103" s="3"/>
      <c r="B103" s="3" t="str">
        <f t="shared" ref="B103:D103" si="72">B102</f>
        <v>Energex</v>
      </c>
      <c r="C103" s="3" t="str">
        <f t="shared" si="72"/>
        <v>Residential</v>
      </c>
      <c r="D103" s="3" t="str">
        <f t="shared" si="72"/>
        <v>with CL</v>
      </c>
      <c r="E103" s="3" t="s">
        <v>22</v>
      </c>
      <c r="F103" s="175">
        <f t="array" ref="F103">IFERROR(INDEX(Usage!$B$5:$P$18,MATCH($B103,Usage!$B$5:$B$18,0),MATCH($C103&amp;$D103&amp;$E103&amp;"Total",Usage!$B$5:$S$5&amp;Usage!$B$6:$S$6&amp;Usage!$B$7:$S$7&amp;Usage!$B$13:$S$13,0)),0)</f>
        <v>4400</v>
      </c>
      <c r="G103" s="3" t="s">
        <v>209</v>
      </c>
      <c r="H103" s="172">
        <f>H102*CPIPY</f>
        <v>17.444095631991729</v>
      </c>
      <c r="I103" s="172"/>
      <c r="J103" s="172">
        <f>J102*CPIPY</f>
        <v>17.444095631991729</v>
      </c>
      <c r="K103" s="192"/>
      <c r="L103" s="172"/>
      <c r="M103" s="192">
        <f>IF(OR(J103=0,Q103=""),"",Q103/J103-1)</f>
        <v>1.7814799989036123E-2</v>
      </c>
      <c r="N103" s="172"/>
      <c r="O103" s="172">
        <f>O102*CPI</f>
        <v>17.754858706665281</v>
      </c>
      <c r="P103" s="172"/>
      <c r="Q103" s="172">
        <f>Q102*CPI</f>
        <v>17.754858706665281</v>
      </c>
      <c r="R103" s="192"/>
    </row>
    <row r="104" spans="1:18" s="20" customFormat="1" outlineLevel="1" x14ac:dyDescent="0.25">
      <c r="A104" s="3"/>
      <c r="B104" s="3" t="str">
        <f t="shared" ref="B104:D104" si="73">B103</f>
        <v>Energex</v>
      </c>
      <c r="C104" s="3" t="str">
        <f t="shared" si="73"/>
        <v>Residential</v>
      </c>
      <c r="D104" s="3" t="str">
        <f t="shared" si="73"/>
        <v>with CL</v>
      </c>
      <c r="E104" s="3"/>
      <c r="F104" s="175"/>
      <c r="G104" s="3" t="s">
        <v>41</v>
      </c>
      <c r="H104" s="172"/>
      <c r="I104" s="172"/>
      <c r="J104" s="172">
        <f>SUM(J102,J103)*GST</f>
        <v>19.216897988882636</v>
      </c>
      <c r="K104" s="192"/>
      <c r="L104" s="172"/>
      <c r="M104" s="192"/>
      <c r="N104" s="172"/>
      <c r="O104" s="172"/>
      <c r="P104" s="172"/>
      <c r="Q104" s="172">
        <f>SUM(Q102,Q103)*GST</f>
        <v>18.707047398062219</v>
      </c>
      <c r="R104" s="193"/>
    </row>
    <row r="105" spans="1:18" s="20" customFormat="1" x14ac:dyDescent="0.25">
      <c r="A105" s="3"/>
      <c r="B105" s="3" t="str">
        <f t="shared" ref="B105:D105" si="74">B104</f>
        <v>Energex</v>
      </c>
      <c r="C105" s="3" t="str">
        <f t="shared" si="74"/>
        <v>Residential</v>
      </c>
      <c r="D105" s="3" t="str">
        <f t="shared" si="74"/>
        <v>with CL</v>
      </c>
      <c r="E105" s="3"/>
      <c r="F105" s="175"/>
      <c r="G105" s="5" t="s">
        <v>87</v>
      </c>
      <c r="H105" s="174"/>
      <c r="I105" s="174"/>
      <c r="J105" s="174">
        <f>SUM(J102:J104)</f>
        <v>211.38587787770896</v>
      </c>
      <c r="K105" s="193"/>
      <c r="L105" s="174"/>
      <c r="M105" s="193">
        <f>IF(OR(J105=0,Q105=""),"",Q105/J105-1)</f>
        <v>-2.6531367919805371E-2</v>
      </c>
      <c r="N105" s="174"/>
      <c r="O105" s="174"/>
      <c r="P105" s="174"/>
      <c r="Q105" s="174">
        <f>SUM(Q102:Q104)</f>
        <v>205.77752137868441</v>
      </c>
      <c r="R105" s="193"/>
    </row>
    <row r="106" spans="1:18" s="20" customFormat="1" x14ac:dyDescent="0.25">
      <c r="A106" s="3"/>
      <c r="B106" s="3" t="str">
        <f t="shared" ref="B106:D106" si="75">B105</f>
        <v>Energex</v>
      </c>
      <c r="C106" s="3" t="str">
        <f t="shared" si="75"/>
        <v>Residential</v>
      </c>
      <c r="D106" s="3" t="str">
        <f t="shared" si="75"/>
        <v>with CL</v>
      </c>
      <c r="E106" s="3"/>
      <c r="F106" s="175"/>
      <c r="G106" s="3"/>
      <c r="H106" s="172"/>
      <c r="I106" s="172"/>
      <c r="J106" s="172"/>
      <c r="K106" s="191"/>
      <c r="L106" s="172"/>
      <c r="M106" s="191"/>
      <c r="N106" s="172"/>
      <c r="O106" s="172"/>
      <c r="P106" s="172"/>
      <c r="Q106" s="172"/>
      <c r="R106" s="191"/>
    </row>
    <row r="107" spans="1:18" s="20" customFormat="1" x14ac:dyDescent="0.25">
      <c r="A107" s="3"/>
      <c r="B107" s="5" t="s">
        <v>0</v>
      </c>
      <c r="C107" s="5" t="s">
        <v>15</v>
      </c>
      <c r="D107" s="5" t="s">
        <v>146</v>
      </c>
      <c r="E107" s="3"/>
      <c r="F107" s="175"/>
      <c r="G107" s="3"/>
      <c r="H107" s="172"/>
      <c r="I107" s="172"/>
      <c r="J107" s="172"/>
      <c r="K107" s="191"/>
      <c r="L107" s="172"/>
      <c r="M107" s="191"/>
      <c r="N107" s="172"/>
      <c r="O107" s="172"/>
      <c r="P107" s="172"/>
      <c r="Q107" s="172"/>
      <c r="R107" s="191"/>
    </row>
    <row r="108" spans="1:18" outlineLevel="1" x14ac:dyDescent="0.25">
      <c r="B108" s="3" t="str">
        <f t="shared" ref="B108:D108" si="76">B107</f>
        <v>Energex</v>
      </c>
      <c r="C108" s="3" t="str">
        <f t="shared" si="76"/>
        <v>Small business</v>
      </c>
      <c r="D108" s="3" t="str">
        <f t="shared" si="76"/>
        <v>without CL</v>
      </c>
      <c r="E108" s="3" t="s">
        <v>22</v>
      </c>
      <c r="F108" s="175">
        <f t="array" ref="F108">IFERROR(INDEX(Usage!$B$5:$P$18,MATCH($B108,Usage!$B$5:$B$18,0),MATCH($C108&amp;$D108&amp;$E108&amp;"Total",Usage!$B$5:$S$5&amp;Usage!$B$6:$S$6&amp;Usage!$B$7:$S$7&amp;Usage!$B$13:$S$13,0)),0)</f>
        <v>10000</v>
      </c>
      <c r="G108" s="3" t="s">
        <v>201</v>
      </c>
      <c r="H108" s="172" cm="1">
        <f t="array" ref="H108">IFERROR(INDEX('Detail inputs'!$B$3:$K$196,MATCH($B108&amp;$G108&amp;H$5&amp;$C108,'Detail inputs'!$B$3:$B$196&amp;'Detail inputs'!$G$3:$G$196&amp;'Detail inputs'!$H$3:$H$196&amp;'Detail inputs'!$D$3:$D$196,0),MATCH(H$4,'Detail inputs'!$B$3:$K$3,0)),0)</f>
        <v>153</v>
      </c>
      <c r="I108" s="172"/>
      <c r="J108" s="172">
        <f>IF(AND(H108="",I108=""),"",H108+I108*$F108/1000)</f>
        <v>153</v>
      </c>
      <c r="K108" s="191">
        <f>IFERROR(J108/J111,"")</f>
        <v>0.78459573247657055</v>
      </c>
      <c r="L108" s="173"/>
      <c r="M108" s="191">
        <f>IF(OR(J108=0,Q108=""),"",Q108/J108-1)</f>
        <v>-0.14379084967320266</v>
      </c>
      <c r="N108" s="173"/>
      <c r="O108" s="172" cm="1">
        <f t="array" ref="O108">IFERROR(INDEX('Detail inputs'!$B$3:$K$196,MATCH($B108&amp;$G108&amp;O$5&amp;$C108,'Detail inputs'!$B$3:$B$196&amp;'Detail inputs'!$G$3:$G$196&amp;'Detail inputs'!$H$3:$H$196&amp;'Detail inputs'!$D$3:$D$196,0),MATCH(O$4,'Detail inputs'!$B$3:$K$3,0)),0)</f>
        <v>131</v>
      </c>
      <c r="P108" s="172"/>
      <c r="Q108" s="172">
        <f>IF(AND(O108="",P108=""),"",O108+P108*$F108/1000)</f>
        <v>131</v>
      </c>
      <c r="R108" s="191">
        <f>IFERROR(Q108/Q111,"")</f>
        <v>0.7774764688931427</v>
      </c>
    </row>
    <row r="109" spans="1:18" outlineLevel="1" x14ac:dyDescent="0.25">
      <c r="B109" s="3" t="str">
        <f t="shared" ref="B109:D109" si="77">B108</f>
        <v>Energex</v>
      </c>
      <c r="C109" s="3" t="str">
        <f t="shared" si="77"/>
        <v>Small business</v>
      </c>
      <c r="D109" s="3" t="str">
        <f t="shared" si="77"/>
        <v>without CL</v>
      </c>
      <c r="E109" s="3" t="s">
        <v>22</v>
      </c>
      <c r="F109" s="175">
        <f t="array" ref="F109">IFERROR(INDEX(Usage!$B$5:$P$18,MATCH($B109,Usage!$B$5:$B$18,0),MATCH($C109&amp;$D109&amp;$E109&amp;"Total",Usage!$B$5:$S$5&amp;Usage!$B$6:$S$6&amp;Usage!$B$7:$S$7&amp;Usage!$B$13:$S$13,0)),0)</f>
        <v>10000</v>
      </c>
      <c r="G109" s="3" t="s">
        <v>202</v>
      </c>
      <c r="H109" s="172" cm="1">
        <f t="array" ref="H109">IFERROR(INDEX('Detail inputs'!$B$3:$K$196,MATCH($B109&amp;$G109&amp;H$5&amp;$C109,'Detail inputs'!$B$3:$B$196&amp;'Detail inputs'!$G$3:$G$196&amp;'Detail inputs'!$H$3:$H$196&amp;'Detail inputs'!$D$3:$D$196,0),MATCH(H$4,'Detail inputs'!$B$3:$K$3,0)),0)</f>
        <v>16.29</v>
      </c>
      <c r="I109" s="172"/>
      <c r="J109" s="172">
        <f>IF(AND(H109="",I109=""),"",H109+I109*$F109/1000)</f>
        <v>16.29</v>
      </c>
      <c r="K109" s="191">
        <f>IFERROR(J109/J111,"")</f>
        <v>8.3536369163681914E-2</v>
      </c>
      <c r="L109" s="173"/>
      <c r="M109" s="191">
        <f>IF(OR(J109=0,Q109=""),"",Q109/J109-1)</f>
        <v>0.3157670633499623</v>
      </c>
      <c r="N109" s="173"/>
      <c r="O109" s="172" cm="1">
        <f t="array" ref="O109">IFERROR(INDEX('Detail inputs'!$B$3:$K$196,MATCH($B109&amp;$G109&amp;O$5&amp;$C109,'Detail inputs'!$B$3:$B$196&amp;'Detail inputs'!$G$3:$G$196&amp;'Detail inputs'!$H$3:$H$196&amp;'Detail inputs'!$D$3:$D$196,0),MATCH(O$4,'Detail inputs'!$B$3:$K$3,0)),0)</f>
        <v>21.433845461970886</v>
      </c>
      <c r="P109" s="172"/>
      <c r="Q109" s="172">
        <f>IF(AND(O109="",P109=""),"",O109+P109*$F109/1000)</f>
        <v>21.433845461970886</v>
      </c>
      <c r="R109" s="191">
        <f>IFERROR(Q109/Q111,"")</f>
        <v>0.12720847698148424</v>
      </c>
    </row>
    <row r="110" spans="1:18" outlineLevel="1" x14ac:dyDescent="0.25">
      <c r="B110" s="3" t="str">
        <f t="shared" ref="B110:D110" si="78">B109</f>
        <v>Energex</v>
      </c>
      <c r="C110" s="3" t="str">
        <f t="shared" si="78"/>
        <v>Small business</v>
      </c>
      <c r="D110" s="3" t="str">
        <f t="shared" si="78"/>
        <v>without CL</v>
      </c>
      <c r="E110" s="3" t="s">
        <v>22</v>
      </c>
      <c r="F110" s="175">
        <f t="array" ref="F110">IFERROR(INDEX(Usage!$B$5:$P$18,MATCH($B110,Usage!$B$5:$B$18,0),MATCH($C110&amp;$D110&amp;$E110&amp;"Total",Usage!$B$5:$S$5&amp;Usage!$B$6:$S$6&amp;Usage!$B$7:$S$7&amp;Usage!$B$13:$S$13,0)),0)</f>
        <v>10000</v>
      </c>
      <c r="G110" s="3" t="s">
        <v>203</v>
      </c>
      <c r="H110" s="172" cm="1">
        <f t="array" ref="H110">IFERROR(INDEX('Detail inputs'!$B$3:$K$196,MATCH($B110&amp;$G110&amp;H$5,'Detail inputs'!$B$3:$B$196&amp;'Detail inputs'!$G$3:$G$196&amp;'Detail inputs'!$H$3:$H$196,0),MATCH(H$4,'Detail inputs'!$B$3:$K$3,0)),0)</f>
        <v>25.714884256834605</v>
      </c>
      <c r="I110" s="172"/>
      <c r="J110" s="172">
        <f>IF(AND(H110="",I110=""),"",H110+I110*$F110/1000)</f>
        <v>25.714884256834605</v>
      </c>
      <c r="K110" s="191">
        <f>IFERROR(J110/J111,"")</f>
        <v>0.13186789835974758</v>
      </c>
      <c r="L110" s="173"/>
      <c r="M110" s="191">
        <f>IF(OR(J110=0,Q110=""),"",Q110/J110-1)</f>
        <v>-0.37545898167006109</v>
      </c>
      <c r="N110" s="173"/>
      <c r="O110" s="172" cm="1">
        <f t="array" ref="O110">IFERROR(INDEX('Detail inputs'!$B$3:$K$196,MATCH($B110&amp;$G110&amp;O$5,'Detail inputs'!$B$3:$B$196&amp;'Detail inputs'!$G$3:$G$196&amp;'Detail inputs'!$H$3:$H$196,0),MATCH(O$4,'Detail inputs'!$B$3:$K$3,0)),0)</f>
        <v>16.059999999999999</v>
      </c>
      <c r="P110" s="172"/>
      <c r="Q110" s="172">
        <f>IF(AND(O110="",P110=""),"",O110+P110*$F110/1000)</f>
        <v>16.059999999999999</v>
      </c>
      <c r="R110" s="191">
        <f>IFERROR(Q110/Q111,"")</f>
        <v>9.5315054125373055E-2</v>
      </c>
    </row>
    <row r="111" spans="1:18" s="20" customFormat="1" x14ac:dyDescent="0.25">
      <c r="A111" s="3"/>
      <c r="B111" s="3" t="str">
        <f t="shared" ref="B111:D111" si="79">B110</f>
        <v>Energex</v>
      </c>
      <c r="C111" s="3" t="str">
        <f t="shared" si="79"/>
        <v>Small business</v>
      </c>
      <c r="D111" s="3" t="str">
        <f t="shared" si="79"/>
        <v>without CL</v>
      </c>
      <c r="E111" s="3" t="s">
        <v>22</v>
      </c>
      <c r="F111" s="175">
        <f t="array" ref="F111">IFERROR(INDEX(Usage!$B$5:$P$18,MATCH($B111,Usage!$B$5:$B$18,0),MATCH($C111&amp;$D111&amp;$E111&amp;"Total",Usage!$B$5:$S$5&amp;Usage!$B$6:$S$6&amp;Usage!$B$7:$S$7&amp;Usage!$B$13:$S$13,0)),0)</f>
        <v>10000</v>
      </c>
      <c r="G111" s="3" t="s">
        <v>61</v>
      </c>
      <c r="H111" s="172">
        <f>SUM(H108:H110)</f>
        <v>195.0048842568346</v>
      </c>
      <c r="I111" s="172"/>
      <c r="J111" s="172">
        <f>IF(AND(H111="",I111=""),"",H111+I111*$F111/1000)</f>
        <v>195.0048842568346</v>
      </c>
      <c r="K111" s="192"/>
      <c r="L111" s="172"/>
      <c r="M111" s="192">
        <f>IF(OR(J111=0,Q111=""),"",Q111/J111-1)</f>
        <v>-0.13595063988216249</v>
      </c>
      <c r="N111" s="172"/>
      <c r="O111" s="172">
        <f>SUM(O108:O110)</f>
        <v>168.49384546197089</v>
      </c>
      <c r="P111" s="172"/>
      <c r="Q111" s="172">
        <f>IF(AND(O111="",P111=""),"",O111+P111*$F111/1000)</f>
        <v>168.49384546197089</v>
      </c>
      <c r="R111" s="192"/>
    </row>
    <row r="112" spans="1:18" s="20" customFormat="1" x14ac:dyDescent="0.25">
      <c r="A112" s="3"/>
      <c r="B112" s="3" t="str">
        <f t="shared" ref="B112:D112" si="80">B111</f>
        <v>Energex</v>
      </c>
      <c r="C112" s="3" t="str">
        <f t="shared" si="80"/>
        <v>Small business</v>
      </c>
      <c r="D112" s="3" t="str">
        <f t="shared" si="80"/>
        <v>without CL</v>
      </c>
      <c r="E112" s="3" t="s">
        <v>22</v>
      </c>
      <c r="F112" s="175">
        <f t="array" ref="F112">IFERROR(INDEX(Usage!$B$5:$P$18,MATCH($B112,Usage!$B$5:$B$18,0),MATCH($C112&amp;$D112&amp;$E112&amp;"Total",Usage!$B$5:$S$5&amp;Usage!$B$6:$S$6&amp;Usage!$B$7:$S$7&amp;Usage!$B$13:$S$13,0)),0)</f>
        <v>10000</v>
      </c>
      <c r="G112" s="3" t="s">
        <v>209</v>
      </c>
      <c r="H112" s="172">
        <f>H111*CPIPY</f>
        <v>19.468800131991728</v>
      </c>
      <c r="I112" s="172"/>
      <c r="J112" s="172">
        <f>J111*CPIPY</f>
        <v>19.468800131991728</v>
      </c>
      <c r="K112" s="192"/>
      <c r="L112" s="172"/>
      <c r="M112" s="192">
        <f>IF(OR(J112=0,Q112=""),"",Q112/J112-1)</f>
        <v>-9.2461489667143293E-2</v>
      </c>
      <c r="N112" s="172"/>
      <c r="O112" s="172">
        <f>O111*CPI</f>
        <v>17.668685869755897</v>
      </c>
      <c r="P112" s="172"/>
      <c r="Q112" s="172">
        <f>Q111*CPI</f>
        <v>17.668685869755897</v>
      </c>
      <c r="R112" s="192"/>
    </row>
    <row r="113" spans="1:18" s="20" customFormat="1" outlineLevel="1" x14ac:dyDescent="0.25">
      <c r="A113" s="3"/>
      <c r="B113" s="3" t="str">
        <f t="shared" ref="B113:D113" si="81">B112</f>
        <v>Energex</v>
      </c>
      <c r="C113" s="3" t="str">
        <f t="shared" si="81"/>
        <v>Small business</v>
      </c>
      <c r="D113" s="3" t="str">
        <f t="shared" si="81"/>
        <v>without CL</v>
      </c>
      <c r="E113" s="3"/>
      <c r="F113" s="175"/>
      <c r="G113" s="3" t="s">
        <v>41</v>
      </c>
      <c r="H113" s="172"/>
      <c r="I113" s="172"/>
      <c r="J113" s="172">
        <f>SUM(J111,J112)*GST</f>
        <v>21.447368438882634</v>
      </c>
      <c r="K113" s="192"/>
      <c r="L113" s="172"/>
      <c r="M113" s="192"/>
      <c r="N113" s="172"/>
      <c r="O113" s="172"/>
      <c r="P113" s="172"/>
      <c r="Q113" s="172">
        <f>SUM(Q111,Q112)*GST</f>
        <v>18.61625313317268</v>
      </c>
      <c r="R113" s="193"/>
    </row>
    <row r="114" spans="1:18" s="20" customFormat="1" x14ac:dyDescent="0.25">
      <c r="A114" s="3"/>
      <c r="B114" s="3" t="str">
        <f t="shared" ref="B114:D114" si="82">B113</f>
        <v>Energex</v>
      </c>
      <c r="C114" s="3" t="str">
        <f t="shared" si="82"/>
        <v>Small business</v>
      </c>
      <c r="D114" s="3" t="str">
        <f t="shared" si="82"/>
        <v>without CL</v>
      </c>
      <c r="E114" s="3"/>
      <c r="F114" s="175"/>
      <c r="G114" s="5" t="s">
        <v>87</v>
      </c>
      <c r="H114" s="174"/>
      <c r="I114" s="174"/>
      <c r="J114" s="174">
        <f>SUM(J111:J113)</f>
        <v>235.92105282770893</v>
      </c>
      <c r="K114" s="193"/>
      <c r="L114" s="174"/>
      <c r="M114" s="193">
        <f>IF(OR(J114=0,Q114=""),"",Q114/J114-1)</f>
        <v>-0.13200292211968201</v>
      </c>
      <c r="N114" s="174"/>
      <c r="O114" s="174"/>
      <c r="P114" s="174"/>
      <c r="Q114" s="174">
        <f>SUM(Q111:Q113)</f>
        <v>204.77878446489947</v>
      </c>
      <c r="R114" s="193"/>
    </row>
    <row r="115" spans="1:18" s="20" customFormat="1" x14ac:dyDescent="0.25">
      <c r="A115" s="3"/>
      <c r="B115" s="3" t="str">
        <f t="shared" ref="B115:D115" si="83">B114</f>
        <v>Energex</v>
      </c>
      <c r="C115" s="3" t="str">
        <f t="shared" si="83"/>
        <v>Small business</v>
      </c>
      <c r="D115" s="3" t="str">
        <f t="shared" si="83"/>
        <v>without CL</v>
      </c>
      <c r="E115" s="3"/>
      <c r="F115" s="175"/>
      <c r="G115" s="3"/>
      <c r="H115" s="172"/>
      <c r="I115" s="172"/>
      <c r="J115" s="172"/>
      <c r="K115" s="191"/>
      <c r="L115" s="172"/>
      <c r="M115" s="191"/>
      <c r="N115" s="172"/>
      <c r="O115" s="172"/>
      <c r="P115" s="172"/>
      <c r="Q115" s="172"/>
      <c r="R115" s="191"/>
    </row>
    <row r="116" spans="1:18" x14ac:dyDescent="0.25">
      <c r="B116" s="5" t="s">
        <v>5</v>
      </c>
      <c r="C116" s="5" t="s">
        <v>6</v>
      </c>
      <c r="D116" s="5" t="s">
        <v>146</v>
      </c>
      <c r="F116" s="175"/>
      <c r="H116" s="172"/>
      <c r="I116" s="172"/>
      <c r="J116" s="172"/>
      <c r="K116" s="191"/>
      <c r="L116" s="173"/>
      <c r="M116" s="191"/>
      <c r="N116" s="173"/>
      <c r="O116" s="172"/>
      <c r="P116" s="172"/>
      <c r="Q116" s="172"/>
      <c r="R116" s="191"/>
    </row>
    <row r="117" spans="1:18" outlineLevel="1" x14ac:dyDescent="0.25">
      <c r="B117" s="3" t="str">
        <f>B116</f>
        <v>SAPN</v>
      </c>
      <c r="C117" s="3" t="str">
        <f t="shared" ref="C117:D117" si="84">C116</f>
        <v>Residential</v>
      </c>
      <c r="D117" s="3" t="str">
        <f t="shared" si="84"/>
        <v>without CL</v>
      </c>
      <c r="E117" s="3" t="s">
        <v>22</v>
      </c>
      <c r="F117" s="175">
        <f t="array" ref="F117">IFERROR(INDEX(Usage!$B$5:$P$18,MATCH($B117,Usage!$B$5:$B$18,0),MATCH($C117&amp;$D117&amp;$E117&amp;"Total",Usage!$B$5:$S$5&amp;Usage!$B$6:$S$6&amp;Usage!$B$7:$S$7&amp;Usage!$B$13:$S$13,0)),0)</f>
        <v>4000</v>
      </c>
      <c r="G117" s="3" t="s">
        <v>201</v>
      </c>
      <c r="H117" s="172" cm="1">
        <f t="array" ref="H117">IFERROR(INDEX('Detail inputs'!$B$3:$K$196,MATCH($B117&amp;$G117&amp;H$5&amp;$C117,'Detail inputs'!$B$3:$B$196&amp;'Detail inputs'!$G$3:$G$196&amp;'Detail inputs'!$H$3:$H$196&amp;'Detail inputs'!$D$3:$D$196,0),MATCH(H$4,'Detail inputs'!$B$3:$K$3,0)),0)</f>
        <v>133</v>
      </c>
      <c r="I117" s="172"/>
      <c r="J117" s="172">
        <f>IF(AND(H117="",I117=""),"",H117+I117*$F117/1000)</f>
        <v>133</v>
      </c>
      <c r="K117" s="191">
        <f>IFERROR(J117/J120,"")</f>
        <v>0.72679627378726919</v>
      </c>
      <c r="L117" s="173"/>
      <c r="M117" s="191">
        <f>IF(OR(J117=0,Q117=""),"",Q117/J117-1)</f>
        <v>0</v>
      </c>
      <c r="N117" s="173"/>
      <c r="O117" s="172" cm="1">
        <f t="array" ref="O117">IFERROR(INDEX('Detail inputs'!$B$3:$K$196,MATCH($B117&amp;$G117&amp;O$5&amp;$C117,'Detail inputs'!$B$3:$B$196&amp;'Detail inputs'!$G$3:$G$196&amp;'Detail inputs'!$H$3:$H$196&amp;'Detail inputs'!$D$3:$D$196,0),MATCH(O$4,'Detail inputs'!$B$3:$K$3,0)),0)</f>
        <v>133</v>
      </c>
      <c r="P117" s="172"/>
      <c r="Q117" s="172">
        <f>IF(AND(O117="",P117=""),"",O117+P117*$F117/1000)</f>
        <v>133</v>
      </c>
      <c r="R117" s="191">
        <f>IFERROR(Q117/Q120,"")</f>
        <v>0.75711830424515192</v>
      </c>
    </row>
    <row r="118" spans="1:18" outlineLevel="1" x14ac:dyDescent="0.25">
      <c r="B118" s="3" t="str">
        <f t="shared" ref="B118:D124" si="85">B117</f>
        <v>SAPN</v>
      </c>
      <c r="C118" s="3" t="str">
        <f t="shared" si="85"/>
        <v>Residential</v>
      </c>
      <c r="D118" s="3" t="str">
        <f t="shared" si="85"/>
        <v>without CL</v>
      </c>
      <c r="E118" s="3" t="s">
        <v>22</v>
      </c>
      <c r="F118" s="175">
        <f t="array" ref="F118">IFERROR(INDEX(Usage!$B$5:$P$18,MATCH($B118,Usage!$B$5:$B$18,0),MATCH($C118&amp;$D118&amp;$E118&amp;"Total",Usage!$B$5:$S$5&amp;Usage!$B$6:$S$6&amp;Usage!$B$7:$S$7&amp;Usage!$B$13:$S$13,0)),0)</f>
        <v>4000</v>
      </c>
      <c r="G118" s="3" t="s">
        <v>202</v>
      </c>
      <c r="H118" s="172" cm="1">
        <f t="array" ref="H118">IFERROR(INDEX('Detail inputs'!$B$3:$K$196,MATCH($B118&amp;$G118&amp;H$5,'Detail inputs'!$B$3:$B$196&amp;'Detail inputs'!$G$3:$G$196&amp;'Detail inputs'!$H$3:$H$196,0),MATCH(H$4,'Detail inputs'!$B$3:$K$3,0)),0)</f>
        <v>24.28</v>
      </c>
      <c r="I118" s="172"/>
      <c r="J118" s="172">
        <f>IF(AND(H118="",I118=""),"",H118+I118*$F118/1000)</f>
        <v>24.28</v>
      </c>
      <c r="K118" s="191">
        <f>IFERROR(J118/J120,"")</f>
        <v>0.13268130471845788</v>
      </c>
      <c r="L118" s="173"/>
      <c r="M118" s="191">
        <f>IF(OR(J118=0,Q118=""),"",Q118/J118-1)</f>
        <v>9.5802056028742921E-2</v>
      </c>
      <c r="N118" s="173"/>
      <c r="O118" s="172" cm="1">
        <f t="array" ref="O118">IFERROR(INDEX('Detail inputs'!$B$3:$K$196,MATCH($B118&amp;$G118&amp;O$5,'Detail inputs'!$B$3:$B$196&amp;'Detail inputs'!$G$3:$G$196&amp;'Detail inputs'!$H$3:$H$196,0),MATCH(O$4,'Detail inputs'!$B$3:$K$3,0)),0)</f>
        <v>26.606073920377881</v>
      </c>
      <c r="P118" s="172"/>
      <c r="Q118" s="172">
        <f>IF(AND(O118="",P118=""),"",O118+P118*$F118/1000)</f>
        <v>26.606073920377881</v>
      </c>
      <c r="R118" s="191">
        <f>IFERROR(Q118/Q120,"")</f>
        <v>0.15145823736253883</v>
      </c>
    </row>
    <row r="119" spans="1:18" outlineLevel="1" x14ac:dyDescent="0.25">
      <c r="B119" s="3" t="str">
        <f t="shared" si="85"/>
        <v>SAPN</v>
      </c>
      <c r="C119" s="3" t="str">
        <f t="shared" si="85"/>
        <v>Residential</v>
      </c>
      <c r="D119" s="3" t="str">
        <f t="shared" si="85"/>
        <v>without CL</v>
      </c>
      <c r="E119" s="3" t="s">
        <v>22</v>
      </c>
      <c r="F119" s="175">
        <f t="array" ref="F119">IFERROR(INDEX(Usage!$B$5:$P$18,MATCH($B119,Usage!$B$5:$B$18,0),MATCH($C119&amp;$D119&amp;$E119&amp;"Total",Usage!$B$5:$S$5&amp;Usage!$B$6:$S$6&amp;Usage!$B$7:$S$7&amp;Usage!$B$13:$S$13,0)),0)</f>
        <v>4000</v>
      </c>
      <c r="G119" s="3" t="s">
        <v>203</v>
      </c>
      <c r="H119" s="172" cm="1">
        <f t="array" ref="H119">IFERROR(INDEX('Detail inputs'!$B$3:$K$196,MATCH($B119&amp;$G119&amp;H$5,'Detail inputs'!$B$3:$B$196&amp;'Detail inputs'!$G$3:$G$196&amp;'Detail inputs'!$H$3:$H$196,0),MATCH(H$4,'Detail inputs'!$B$3:$K$3,0)),0)</f>
        <v>25.714884256834605</v>
      </c>
      <c r="I119" s="172"/>
      <c r="J119" s="172">
        <f>IF(AND(H119="",I119=""),"",H119+I119*$F119/1000)</f>
        <v>25.714884256834605</v>
      </c>
      <c r="K119" s="191">
        <f>IFERROR(J119/J120,"")</f>
        <v>0.14052242149427294</v>
      </c>
      <c r="L119" s="173"/>
      <c r="M119" s="191">
        <f>IF(OR(J119=0,Q119=""),"",Q119/J119-1)</f>
        <v>-0.37545898167006109</v>
      </c>
      <c r="N119" s="173"/>
      <c r="O119" s="172" cm="1">
        <f t="array" ref="O119">IFERROR(INDEX('Detail inputs'!$B$3:$K$196,MATCH($B119&amp;$G119&amp;O$5,'Detail inputs'!$B$3:$B$196&amp;'Detail inputs'!$G$3:$G$196&amp;'Detail inputs'!$H$3:$H$196,0),MATCH(O$4,'Detail inputs'!$B$3:$K$3,0)),0)</f>
        <v>16.059999999999999</v>
      </c>
      <c r="P119" s="172"/>
      <c r="Q119" s="172">
        <f>IF(AND(O119="",P119=""),"",O119+P119*$F119/1000)</f>
        <v>16.059999999999999</v>
      </c>
      <c r="R119" s="191">
        <f>IFERROR(Q119/Q120,"")</f>
        <v>9.1423458392309309E-2</v>
      </c>
    </row>
    <row r="120" spans="1:18" s="20" customFormat="1" x14ac:dyDescent="0.25">
      <c r="A120" s="3"/>
      <c r="B120" s="3" t="str">
        <f t="shared" si="85"/>
        <v>SAPN</v>
      </c>
      <c r="C120" s="3" t="str">
        <f t="shared" si="85"/>
        <v>Residential</v>
      </c>
      <c r="D120" s="3" t="str">
        <f t="shared" si="85"/>
        <v>without CL</v>
      </c>
      <c r="E120" s="3" t="s">
        <v>22</v>
      </c>
      <c r="F120" s="175">
        <f t="array" ref="F120">IFERROR(INDEX(Usage!$B$5:$P$18,MATCH($B120,Usage!$B$5:$B$18,0),MATCH($C120&amp;$D120&amp;$E120&amp;"Total",Usage!$B$5:$S$5&amp;Usage!$B$6:$S$6&amp;Usage!$B$7:$S$7&amp;Usage!$B$13:$S$13,0)),0)</f>
        <v>4000</v>
      </c>
      <c r="G120" s="3" t="s">
        <v>61</v>
      </c>
      <c r="H120" s="172">
        <f>SUM(H117:H119)</f>
        <v>182.99488425683461</v>
      </c>
      <c r="I120" s="172"/>
      <c r="J120" s="172">
        <f>IF(AND(H120="",I120=""),"",H120+I120*$F120/1000)</f>
        <v>182.99488425683461</v>
      </c>
      <c r="K120" s="192"/>
      <c r="L120" s="172"/>
      <c r="M120" s="192">
        <f>IF(OR(J120=0,Q120=""),"",Q120/J120-1)</f>
        <v>-4.0049263487446529E-2</v>
      </c>
      <c r="N120" s="172"/>
      <c r="O120" s="172">
        <f>SUM(O117:O119)</f>
        <v>175.66607392037787</v>
      </c>
      <c r="P120" s="172"/>
      <c r="Q120" s="172">
        <f>IF(AND(O120="",P120=""),"",O120+P120*$F120/1000)</f>
        <v>175.66607392037787</v>
      </c>
      <c r="R120" s="192"/>
    </row>
    <row r="121" spans="1:18" s="20" customFormat="1" x14ac:dyDescent="0.25">
      <c r="A121" s="3"/>
      <c r="B121" s="3" t="str">
        <f t="shared" si="85"/>
        <v>SAPN</v>
      </c>
      <c r="C121" s="3" t="str">
        <f t="shared" si="85"/>
        <v>Residential</v>
      </c>
      <c r="D121" s="3" t="str">
        <f t="shared" si="85"/>
        <v>without CL</v>
      </c>
      <c r="E121" s="3" t="s">
        <v>22</v>
      </c>
      <c r="F121" s="175">
        <f t="array" ref="F121">IFERROR(INDEX(Usage!$B$5:$P$18,MATCH($B121,Usage!$B$5:$B$18,0),MATCH($C121&amp;$D121&amp;$E121&amp;"Total",Usage!$B$5:$S$5&amp;Usage!$B$6:$S$6&amp;Usage!$B$7:$S$7&amp;Usage!$B$13:$S$13,0)),0)</f>
        <v>4000</v>
      </c>
      <c r="G121" s="3" t="s">
        <v>209</v>
      </c>
      <c r="H121" s="172">
        <f>H120*CPIPY</f>
        <v>18.269751756991731</v>
      </c>
      <c r="I121" s="172"/>
      <c r="J121" s="172">
        <f>J120*CPIPY</f>
        <v>18.269751756991731</v>
      </c>
      <c r="K121" s="192"/>
      <c r="L121" s="172"/>
      <c r="M121" s="192">
        <f>IF(OR(J121=0,Q121=""),"",Q121/J121-1)</f>
        <v>8.2667745841742413E-3</v>
      </c>
      <c r="N121" s="172"/>
      <c r="O121" s="172">
        <f>O120*CPI</f>
        <v>18.420783676475601</v>
      </c>
      <c r="P121" s="172"/>
      <c r="Q121" s="172">
        <f>Q120*CPI</f>
        <v>18.420783676475601</v>
      </c>
      <c r="R121" s="192"/>
    </row>
    <row r="122" spans="1:18" s="20" customFormat="1" outlineLevel="1" x14ac:dyDescent="0.25">
      <c r="A122" s="3"/>
      <c r="B122" s="3" t="str">
        <f t="shared" si="85"/>
        <v>SAPN</v>
      </c>
      <c r="C122" s="3" t="str">
        <f t="shared" si="85"/>
        <v>Residential</v>
      </c>
      <c r="D122" s="3" t="str">
        <f t="shared" si="85"/>
        <v>without CL</v>
      </c>
      <c r="E122" s="3"/>
      <c r="F122" s="175"/>
      <c r="G122" s="3" t="s">
        <v>41</v>
      </c>
      <c r="H122" s="172"/>
      <c r="I122" s="172"/>
      <c r="J122" s="172">
        <f>SUM(J120,J121)*GST</f>
        <v>20.126463601382635</v>
      </c>
      <c r="K122" s="192"/>
      <c r="L122" s="172"/>
      <c r="M122" s="192"/>
      <c r="N122" s="172"/>
      <c r="O122" s="172"/>
      <c r="P122" s="172"/>
      <c r="Q122" s="172">
        <f>SUM(Q120,Q121)*GST</f>
        <v>19.408685759685348</v>
      </c>
      <c r="R122" s="193"/>
    </row>
    <row r="123" spans="1:18" s="20" customFormat="1" x14ac:dyDescent="0.25">
      <c r="A123" s="3"/>
      <c r="B123" s="3" t="str">
        <f t="shared" si="85"/>
        <v>SAPN</v>
      </c>
      <c r="C123" s="3" t="str">
        <f t="shared" si="85"/>
        <v>Residential</v>
      </c>
      <c r="D123" s="3" t="str">
        <f t="shared" si="85"/>
        <v>without CL</v>
      </c>
      <c r="E123" s="3"/>
      <c r="F123" s="175"/>
      <c r="G123" s="5" t="s">
        <v>87</v>
      </c>
      <c r="H123" s="174"/>
      <c r="I123" s="174"/>
      <c r="J123" s="174">
        <f>SUM(J120:J122)</f>
        <v>221.39109961520896</v>
      </c>
      <c r="K123" s="193"/>
      <c r="L123" s="174"/>
      <c r="M123" s="193">
        <f>IF(OR(J123=0,Q123=""),"",Q123/J123-1)</f>
        <v>-3.5663386072850689E-2</v>
      </c>
      <c r="N123" s="174"/>
      <c r="O123" s="174"/>
      <c r="P123" s="174"/>
      <c r="Q123" s="174">
        <f>SUM(Q120:Q122)</f>
        <v>213.4955433565388</v>
      </c>
      <c r="R123" s="193"/>
    </row>
    <row r="124" spans="1:18" s="20" customFormat="1" x14ac:dyDescent="0.25">
      <c r="A124" s="3"/>
      <c r="B124" s="3" t="str">
        <f t="shared" si="85"/>
        <v>SAPN</v>
      </c>
      <c r="C124" s="3" t="str">
        <f t="shared" si="85"/>
        <v>Residential</v>
      </c>
      <c r="D124" s="3" t="str">
        <f t="shared" si="85"/>
        <v>without CL</v>
      </c>
      <c r="E124" s="3"/>
      <c r="F124" s="175"/>
      <c r="G124" s="3"/>
      <c r="H124" s="172"/>
      <c r="I124" s="172"/>
      <c r="J124" s="172"/>
      <c r="K124" s="191"/>
      <c r="L124" s="172"/>
      <c r="M124" s="191"/>
      <c r="N124" s="172"/>
      <c r="O124" s="172"/>
      <c r="P124" s="172"/>
      <c r="Q124" s="172"/>
      <c r="R124" s="191"/>
    </row>
    <row r="125" spans="1:18" s="20" customFormat="1" x14ac:dyDescent="0.25">
      <c r="A125" s="3"/>
      <c r="B125" s="5" t="s">
        <v>5</v>
      </c>
      <c r="C125" s="5" t="s">
        <v>6</v>
      </c>
      <c r="D125" s="5" t="s">
        <v>147</v>
      </c>
      <c r="E125" s="3"/>
      <c r="F125" s="175"/>
      <c r="G125" s="3"/>
      <c r="H125" s="172"/>
      <c r="I125" s="172"/>
      <c r="J125" s="172"/>
      <c r="K125" s="191"/>
      <c r="L125" s="172"/>
      <c r="M125" s="191"/>
      <c r="N125" s="172"/>
      <c r="O125" s="172"/>
      <c r="P125" s="172"/>
      <c r="Q125" s="172"/>
      <c r="R125" s="191"/>
    </row>
    <row r="126" spans="1:18" outlineLevel="1" x14ac:dyDescent="0.25">
      <c r="B126" s="3" t="str">
        <f t="shared" ref="B126:D126" si="86">B125</f>
        <v>SAPN</v>
      </c>
      <c r="C126" s="3" t="str">
        <f t="shared" si="86"/>
        <v>Residential</v>
      </c>
      <c r="D126" s="3" t="str">
        <f t="shared" si="86"/>
        <v>with CL</v>
      </c>
      <c r="E126" s="3" t="s">
        <v>22</v>
      </c>
      <c r="F126" s="175">
        <f t="array" ref="F126">IFERROR(INDEX(Usage!$B$5:$P$18,MATCH($B126,Usage!$B$5:$B$18,0),MATCH($C126&amp;$D126&amp;$E126&amp;"Total",Usage!$B$5:$S$5&amp;Usage!$B$6:$S$6&amp;Usage!$B$7:$S$7&amp;Usage!$B$13:$S$13,0)),0)</f>
        <v>4200</v>
      </c>
      <c r="G126" s="3" t="s">
        <v>201</v>
      </c>
      <c r="H126" s="172" cm="1">
        <f t="array" ref="H126">IFERROR(INDEX('Detail inputs'!$B$3:$K$196,MATCH($B126&amp;$G126&amp;H$5&amp;$C126,'Detail inputs'!$B$3:$B$196&amp;'Detail inputs'!$G$3:$G$196&amp;'Detail inputs'!$H$3:$H$196&amp;'Detail inputs'!$D$3:$D$196,0),MATCH(H$4,'Detail inputs'!$B$3:$K$3,0)),0)</f>
        <v>133</v>
      </c>
      <c r="I126" s="172"/>
      <c r="J126" s="172">
        <f>IF(AND(H126="",I126=""),"",H126+I126*$F126/1000)</f>
        <v>133</v>
      </c>
      <c r="K126" s="191">
        <f>IFERROR(J126/J129,"")</f>
        <v>0.72679627378726919</v>
      </c>
      <c r="L126" s="173"/>
      <c r="M126" s="191">
        <f>IF(OR(J126=0,Q126=""),"",Q126/J126-1)</f>
        <v>0</v>
      </c>
      <c r="N126" s="173"/>
      <c r="O126" s="172" cm="1">
        <f t="array" ref="O126">IFERROR(INDEX('Detail inputs'!$B$3:$K$196,MATCH($B126&amp;$G126&amp;O$5&amp;$C126,'Detail inputs'!$B$3:$B$196&amp;'Detail inputs'!$G$3:$G$196&amp;'Detail inputs'!$H$3:$H$196&amp;'Detail inputs'!$D$3:$D$196,0),MATCH(O$4,'Detail inputs'!$B$3:$K$3,0)),0)</f>
        <v>133</v>
      </c>
      <c r="P126" s="172"/>
      <c r="Q126" s="172">
        <f>IF(AND(O126="",P126=""),"",O126+P126*$F126/1000)</f>
        <v>133</v>
      </c>
      <c r="R126" s="191">
        <f>IFERROR(Q126/Q129,"")</f>
        <v>0.75711830424515192</v>
      </c>
    </row>
    <row r="127" spans="1:18" outlineLevel="1" x14ac:dyDescent="0.25">
      <c r="B127" s="3" t="str">
        <f t="shared" ref="B127:D127" si="87">B126</f>
        <v>SAPN</v>
      </c>
      <c r="C127" s="3" t="str">
        <f t="shared" si="87"/>
        <v>Residential</v>
      </c>
      <c r="D127" s="3" t="str">
        <f t="shared" si="87"/>
        <v>with CL</v>
      </c>
      <c r="E127" s="3" t="s">
        <v>22</v>
      </c>
      <c r="F127" s="175">
        <f t="array" ref="F127">IFERROR(INDEX(Usage!$B$5:$P$18,MATCH($B127,Usage!$B$5:$B$18,0),MATCH($C127&amp;$D127&amp;$E127&amp;"Total",Usage!$B$5:$S$5&amp;Usage!$B$6:$S$6&amp;Usage!$B$7:$S$7&amp;Usage!$B$13:$S$13,0)),0)</f>
        <v>4200</v>
      </c>
      <c r="G127" s="3" t="s">
        <v>202</v>
      </c>
      <c r="H127" s="172" cm="1">
        <f t="array" ref="H127">IFERROR(INDEX('Detail inputs'!$B$3:$K$196,MATCH($B127&amp;$G127&amp;H$5,'Detail inputs'!$B$3:$B$196&amp;'Detail inputs'!$G$3:$G$196&amp;'Detail inputs'!$H$3:$H$196,0),MATCH(H$4,'Detail inputs'!$B$3:$K$3,0)),0)</f>
        <v>24.28</v>
      </c>
      <c r="I127" s="172"/>
      <c r="J127" s="172">
        <f>IF(AND(H127="",I127=""),"",H127+I127*$F127/1000)</f>
        <v>24.28</v>
      </c>
      <c r="K127" s="191">
        <f>IFERROR(J127/J129,"")</f>
        <v>0.13268130471845788</v>
      </c>
      <c r="L127" s="173"/>
      <c r="M127" s="191">
        <f>IF(OR(J127=0,Q127=""),"",Q127/J127-1)</f>
        <v>9.5802056028742921E-2</v>
      </c>
      <c r="N127" s="173"/>
      <c r="O127" s="172" cm="1">
        <f t="array" ref="O127">IFERROR(INDEX('Detail inputs'!$B$3:$K$196,MATCH($B127&amp;$G127&amp;O$5,'Detail inputs'!$B$3:$B$196&amp;'Detail inputs'!$G$3:$G$196&amp;'Detail inputs'!$H$3:$H$196,0),MATCH(O$4,'Detail inputs'!$B$3:$K$3,0)),0)</f>
        <v>26.606073920377881</v>
      </c>
      <c r="P127" s="172"/>
      <c r="Q127" s="172">
        <f>IF(AND(O127="",P127=""),"",O127+P127*$F127/1000)</f>
        <v>26.606073920377881</v>
      </c>
      <c r="R127" s="191">
        <f>IFERROR(Q127/Q129,"")</f>
        <v>0.15145823736253883</v>
      </c>
    </row>
    <row r="128" spans="1:18" outlineLevel="1" x14ac:dyDescent="0.25">
      <c r="B128" s="3" t="str">
        <f t="shared" ref="B128:D128" si="88">B127</f>
        <v>SAPN</v>
      </c>
      <c r="C128" s="3" t="str">
        <f t="shared" si="88"/>
        <v>Residential</v>
      </c>
      <c r="D128" s="3" t="str">
        <f t="shared" si="88"/>
        <v>with CL</v>
      </c>
      <c r="E128" s="3" t="s">
        <v>22</v>
      </c>
      <c r="F128" s="175">
        <f t="array" ref="F128">IFERROR(INDEX(Usage!$B$5:$P$18,MATCH($B128,Usage!$B$5:$B$18,0),MATCH($C128&amp;$D128&amp;$E128&amp;"Total",Usage!$B$5:$S$5&amp;Usage!$B$6:$S$6&amp;Usage!$B$7:$S$7&amp;Usage!$B$13:$S$13,0)),0)</f>
        <v>4200</v>
      </c>
      <c r="G128" s="3" t="s">
        <v>203</v>
      </c>
      <c r="H128" s="172" cm="1">
        <f t="array" ref="H128">IFERROR(INDEX('Detail inputs'!$B$3:$K$196,MATCH($B128&amp;$G128&amp;H$5,'Detail inputs'!$B$3:$B$196&amp;'Detail inputs'!$G$3:$G$196&amp;'Detail inputs'!$H$3:$H$196,0),MATCH(H$4,'Detail inputs'!$B$3:$K$3,0)),0)</f>
        <v>25.714884256834605</v>
      </c>
      <c r="I128" s="172"/>
      <c r="J128" s="172">
        <f>IF(AND(H128="",I128=""),"",H128+I128*$F128/1000)</f>
        <v>25.714884256834605</v>
      </c>
      <c r="K128" s="191">
        <f>IFERROR(J128/J129,"")</f>
        <v>0.14052242149427294</v>
      </c>
      <c r="L128" s="173"/>
      <c r="M128" s="191">
        <f>IF(OR(J128=0,Q128=""),"",Q128/J128-1)</f>
        <v>-0.37545898167006109</v>
      </c>
      <c r="N128" s="173"/>
      <c r="O128" s="172" cm="1">
        <f t="array" ref="O128">IFERROR(INDEX('Detail inputs'!$B$3:$K$196,MATCH($B128&amp;$G128&amp;O$5,'Detail inputs'!$B$3:$B$196&amp;'Detail inputs'!$G$3:$G$196&amp;'Detail inputs'!$H$3:$H$196,0),MATCH(O$4,'Detail inputs'!$B$3:$K$3,0)),0)</f>
        <v>16.059999999999999</v>
      </c>
      <c r="P128" s="172"/>
      <c r="Q128" s="172">
        <f>IF(AND(O128="",P128=""),"",O128+P128*$F128/1000)</f>
        <v>16.059999999999999</v>
      </c>
      <c r="R128" s="191">
        <f>IFERROR(Q128/Q129,"")</f>
        <v>9.1423458392309309E-2</v>
      </c>
    </row>
    <row r="129" spans="1:18" s="20" customFormat="1" x14ac:dyDescent="0.25">
      <c r="A129" s="3"/>
      <c r="B129" s="3" t="str">
        <f t="shared" ref="B129:D129" si="89">B128</f>
        <v>SAPN</v>
      </c>
      <c r="C129" s="3" t="str">
        <f t="shared" si="89"/>
        <v>Residential</v>
      </c>
      <c r="D129" s="3" t="str">
        <f t="shared" si="89"/>
        <v>with CL</v>
      </c>
      <c r="E129" s="3" t="s">
        <v>22</v>
      </c>
      <c r="F129" s="175">
        <f t="array" ref="F129">IFERROR(INDEX(Usage!$B$5:$P$18,MATCH($B129,Usage!$B$5:$B$18,0),MATCH($C129&amp;$D129&amp;$E129&amp;"Total",Usage!$B$5:$S$5&amp;Usage!$B$6:$S$6&amp;Usage!$B$7:$S$7&amp;Usage!$B$13:$S$13,0)),0)</f>
        <v>4200</v>
      </c>
      <c r="G129" s="3" t="s">
        <v>61</v>
      </c>
      <c r="H129" s="172">
        <f>SUM(H126:H128)</f>
        <v>182.99488425683461</v>
      </c>
      <c r="I129" s="172"/>
      <c r="J129" s="172">
        <f>IF(AND(H129="",I129=""),"",H129+I129*$F129/1000)</f>
        <v>182.99488425683461</v>
      </c>
      <c r="K129" s="192"/>
      <c r="L129" s="172"/>
      <c r="M129" s="192">
        <f>IF(OR(J129=0,Q129=""),"",Q129/J129-1)</f>
        <v>-4.0049263487446529E-2</v>
      </c>
      <c r="N129" s="172"/>
      <c r="O129" s="172">
        <f>SUM(O126:O128)</f>
        <v>175.66607392037787</v>
      </c>
      <c r="P129" s="172"/>
      <c r="Q129" s="172">
        <f>IF(AND(O129="",P129=""),"",O129+P129*$F129/1000)</f>
        <v>175.66607392037787</v>
      </c>
      <c r="R129" s="192"/>
    </row>
    <row r="130" spans="1:18" s="20" customFormat="1" x14ac:dyDescent="0.25">
      <c r="A130" s="3"/>
      <c r="B130" s="3" t="str">
        <f t="shared" ref="B130:D130" si="90">B129</f>
        <v>SAPN</v>
      </c>
      <c r="C130" s="3" t="str">
        <f t="shared" si="90"/>
        <v>Residential</v>
      </c>
      <c r="D130" s="3" t="str">
        <f t="shared" si="90"/>
        <v>with CL</v>
      </c>
      <c r="E130" s="3" t="s">
        <v>22</v>
      </c>
      <c r="F130" s="175">
        <f t="array" ref="F130">IFERROR(INDEX(Usage!$B$5:$P$18,MATCH($B130,Usage!$B$5:$B$18,0),MATCH($C130&amp;$D130&amp;$E130&amp;"Total",Usage!$B$5:$S$5&amp;Usage!$B$6:$S$6&amp;Usage!$B$7:$S$7&amp;Usage!$B$13:$S$13,0)),0)</f>
        <v>4200</v>
      </c>
      <c r="G130" s="3" t="s">
        <v>209</v>
      </c>
      <c r="H130" s="172">
        <f>H129*CPIPY</f>
        <v>18.269751756991731</v>
      </c>
      <c r="I130" s="172"/>
      <c r="J130" s="172">
        <f>J129*CPIPY</f>
        <v>18.269751756991731</v>
      </c>
      <c r="K130" s="192"/>
      <c r="L130" s="172"/>
      <c r="M130" s="192">
        <f>IF(OR(J130=0,Q130=""),"",Q130/J130-1)</f>
        <v>8.2667745841742413E-3</v>
      </c>
      <c r="N130" s="172"/>
      <c r="O130" s="172">
        <f>O129*CPI</f>
        <v>18.420783676475601</v>
      </c>
      <c r="P130" s="172"/>
      <c r="Q130" s="172">
        <f>Q129*CPI</f>
        <v>18.420783676475601</v>
      </c>
      <c r="R130" s="192"/>
    </row>
    <row r="131" spans="1:18" s="20" customFormat="1" outlineLevel="1" x14ac:dyDescent="0.25">
      <c r="A131" s="3"/>
      <c r="B131" s="3" t="str">
        <f t="shared" ref="B131:D131" si="91">B130</f>
        <v>SAPN</v>
      </c>
      <c r="C131" s="3" t="str">
        <f t="shared" si="91"/>
        <v>Residential</v>
      </c>
      <c r="D131" s="3" t="str">
        <f t="shared" si="91"/>
        <v>with CL</v>
      </c>
      <c r="E131" s="3"/>
      <c r="F131" s="175"/>
      <c r="G131" s="3" t="s">
        <v>41</v>
      </c>
      <c r="H131" s="172"/>
      <c r="I131" s="172"/>
      <c r="J131" s="172">
        <f>SUM(J129,J130)*GST</f>
        <v>20.126463601382635</v>
      </c>
      <c r="K131" s="192"/>
      <c r="L131" s="172"/>
      <c r="M131" s="192"/>
      <c r="N131" s="172"/>
      <c r="O131" s="172"/>
      <c r="P131" s="172"/>
      <c r="Q131" s="172">
        <f>SUM(Q129,Q130)*GST</f>
        <v>19.408685759685348</v>
      </c>
      <c r="R131" s="193"/>
    </row>
    <row r="132" spans="1:18" s="20" customFormat="1" x14ac:dyDescent="0.25">
      <c r="A132" s="3"/>
      <c r="B132" s="3" t="str">
        <f t="shared" ref="B132:D132" si="92">B131</f>
        <v>SAPN</v>
      </c>
      <c r="C132" s="3" t="str">
        <f t="shared" si="92"/>
        <v>Residential</v>
      </c>
      <c r="D132" s="3" t="str">
        <f t="shared" si="92"/>
        <v>with CL</v>
      </c>
      <c r="E132" s="3"/>
      <c r="F132" s="175"/>
      <c r="G132" s="5" t="s">
        <v>87</v>
      </c>
      <c r="H132" s="174"/>
      <c r="I132" s="174"/>
      <c r="J132" s="174">
        <f>SUM(J129:J131)</f>
        <v>221.39109961520896</v>
      </c>
      <c r="K132" s="193"/>
      <c r="L132" s="174"/>
      <c r="M132" s="193">
        <f>IF(OR(J132=0,Q132=""),"",Q132/J132-1)</f>
        <v>-3.5663386072850689E-2</v>
      </c>
      <c r="N132" s="174"/>
      <c r="O132" s="174"/>
      <c r="P132" s="174"/>
      <c r="Q132" s="174">
        <f>SUM(Q129:Q131)</f>
        <v>213.4955433565388</v>
      </c>
      <c r="R132" s="193"/>
    </row>
    <row r="133" spans="1:18" s="20" customFormat="1" x14ac:dyDescent="0.25">
      <c r="A133" s="3"/>
      <c r="B133" s="3" t="str">
        <f t="shared" ref="B133:D133" si="93">B132</f>
        <v>SAPN</v>
      </c>
      <c r="C133" s="3" t="str">
        <f t="shared" si="93"/>
        <v>Residential</v>
      </c>
      <c r="D133" s="3" t="str">
        <f t="shared" si="93"/>
        <v>with CL</v>
      </c>
      <c r="E133" s="3"/>
      <c r="F133" s="175"/>
      <c r="G133" s="3"/>
      <c r="H133" s="172"/>
      <c r="I133" s="172"/>
      <c r="J133" s="172"/>
      <c r="K133" s="191"/>
      <c r="L133" s="172"/>
      <c r="M133" s="191"/>
      <c r="N133" s="172"/>
      <c r="O133" s="172"/>
      <c r="P133" s="172"/>
      <c r="Q133" s="172"/>
      <c r="R133" s="191"/>
    </row>
    <row r="134" spans="1:18" s="20" customFormat="1" x14ac:dyDescent="0.25">
      <c r="A134" s="3"/>
      <c r="B134" s="5" t="s">
        <v>5</v>
      </c>
      <c r="C134" s="5" t="s">
        <v>15</v>
      </c>
      <c r="D134" s="5" t="s">
        <v>146</v>
      </c>
      <c r="E134" s="3"/>
      <c r="F134" s="175"/>
      <c r="G134" s="3"/>
      <c r="H134" s="172"/>
      <c r="I134" s="172"/>
      <c r="J134" s="172"/>
      <c r="K134" s="191"/>
      <c r="L134" s="172"/>
      <c r="M134" s="191"/>
      <c r="N134" s="172"/>
      <c r="O134" s="172"/>
      <c r="P134" s="172"/>
      <c r="Q134" s="172"/>
      <c r="R134" s="191"/>
    </row>
    <row r="135" spans="1:18" outlineLevel="1" x14ac:dyDescent="0.25">
      <c r="B135" s="3" t="str">
        <f t="shared" ref="B135:D135" si="94">B134</f>
        <v>SAPN</v>
      </c>
      <c r="C135" s="3" t="str">
        <f t="shared" si="94"/>
        <v>Small business</v>
      </c>
      <c r="D135" s="3" t="str">
        <f t="shared" si="94"/>
        <v>without CL</v>
      </c>
      <c r="E135" s="3" t="s">
        <v>22</v>
      </c>
      <c r="F135" s="175">
        <f t="array" ref="F135">IFERROR(INDEX(Usage!$B$5:$P$18,MATCH($B135,Usage!$B$5:$B$18,0),MATCH($C135&amp;$D135&amp;$E135&amp;"Total",Usage!$B$5:$S$5&amp;Usage!$B$6:$S$6&amp;Usage!$B$7:$S$7&amp;Usage!$B$13:$S$13,0)),0)</f>
        <v>10000</v>
      </c>
      <c r="G135" s="3" t="s">
        <v>201</v>
      </c>
      <c r="H135" s="172" cm="1">
        <f t="array" ref="H135">IFERROR(INDEX('Detail inputs'!$B$3:$K$196,MATCH($B135&amp;$G135&amp;H$5&amp;$C135,'Detail inputs'!$B$3:$B$196&amp;'Detail inputs'!$G$3:$G$196&amp;'Detail inputs'!$H$3:$H$196&amp;'Detail inputs'!$D$3:$D$196,0),MATCH(H$4,'Detail inputs'!$B$3:$K$3,0)),0)</f>
        <v>153</v>
      </c>
      <c r="I135" s="172"/>
      <c r="J135" s="172">
        <f>IF(AND(H135="",I135=""),"",H135+I135*$F135/1000)</f>
        <v>153</v>
      </c>
      <c r="K135" s="191">
        <f>IFERROR(J135/J138,"")</f>
        <v>0.82839327475491931</v>
      </c>
      <c r="L135" s="173"/>
      <c r="M135" s="191">
        <f>IF(OR(J135=0,Q135=""),"",Q135/J135-1)</f>
        <v>-5.2287581699346442E-2</v>
      </c>
      <c r="N135" s="173"/>
      <c r="O135" s="172" cm="1">
        <f t="array" ref="O135">IFERROR(INDEX('Detail inputs'!$B$3:$K$196,MATCH($B135&amp;$G135&amp;O$5&amp;$C135,'Detail inputs'!$B$3:$B$196&amp;'Detail inputs'!$G$3:$G$196&amp;'Detail inputs'!$H$3:$H$196&amp;'Detail inputs'!$D$3:$D$196,0),MATCH(O$4,'Detail inputs'!$B$3:$K$3,0)),0)</f>
        <v>145</v>
      </c>
      <c r="P135" s="172"/>
      <c r="Q135" s="172">
        <f>IF(AND(O135="",P135=""),"",O135+P135*$F135/1000)</f>
        <v>145</v>
      </c>
      <c r="R135" s="191">
        <f>IFERROR(Q135/Q138,"")</f>
        <v>0.80218348892587732</v>
      </c>
    </row>
    <row r="136" spans="1:18" outlineLevel="1" x14ac:dyDescent="0.25">
      <c r="B136" s="3" t="str">
        <f t="shared" ref="B136:D136" si="95">B135</f>
        <v>SAPN</v>
      </c>
      <c r="C136" s="3" t="str">
        <f t="shared" si="95"/>
        <v>Small business</v>
      </c>
      <c r="D136" s="3" t="str">
        <f t="shared" si="95"/>
        <v>without CL</v>
      </c>
      <c r="E136" s="3" t="s">
        <v>22</v>
      </c>
      <c r="F136" s="175">
        <f t="array" ref="F136">IFERROR(INDEX(Usage!$B$5:$P$18,MATCH($B136,Usage!$B$5:$B$18,0),MATCH($C136&amp;$D136&amp;$E136&amp;"Total",Usage!$B$5:$S$5&amp;Usage!$B$6:$S$6&amp;Usage!$B$7:$S$7&amp;Usage!$B$13:$S$13,0)),0)</f>
        <v>10000</v>
      </c>
      <c r="G136" s="3" t="s">
        <v>202</v>
      </c>
      <c r="H136" s="172" cm="1">
        <f t="array" ref="H136">IFERROR(INDEX('Detail inputs'!$B$3:$K$196,MATCH($B136&amp;$G136&amp;H$5&amp;$C136,'Detail inputs'!$B$3:$B$196&amp;'Detail inputs'!$G$3:$G$196&amp;'Detail inputs'!$H$3:$H$196&amp;'Detail inputs'!$D$3:$D$196,0),MATCH(H$4,'Detail inputs'!$B$3:$K$3,0)),0)</f>
        <v>5.98</v>
      </c>
      <c r="I136" s="172"/>
      <c r="J136" s="172">
        <f>IF(AND(H136="",I136=""),"",H136+I136*$F136/1000)</f>
        <v>5.98</v>
      </c>
      <c r="K136" s="191">
        <f>IFERROR(J136/J138,"")</f>
        <v>3.2377724072120376E-2</v>
      </c>
      <c r="L136" s="173"/>
      <c r="M136" s="191">
        <f>IF(OR(J136=0,Q136=""),"",Q136/J136-1)</f>
        <v>2.2937541506766426</v>
      </c>
      <c r="N136" s="173"/>
      <c r="O136" s="172" cm="1">
        <f t="array" ref="O136">IFERROR(INDEX('Detail inputs'!$B$3:$K$196,MATCH($B136&amp;$G136&amp;O$5&amp;$C136,'Detail inputs'!$B$3:$B$196&amp;'Detail inputs'!$G$3:$G$196&amp;'Detail inputs'!$H$3:$H$196&amp;'Detail inputs'!$D$3:$D$196,0),MATCH(O$4,'Detail inputs'!$B$3:$K$3,0)),0)</f>
        <v>19.696649821046325</v>
      </c>
      <c r="P136" s="172"/>
      <c r="Q136" s="172">
        <f>IF(AND(O136="",P136=""),"",O136+P136*$F136/1000)</f>
        <v>19.696649821046325</v>
      </c>
      <c r="R136" s="191">
        <f>IFERROR(Q136/Q138,"")</f>
        <v>0.10896777430067724</v>
      </c>
    </row>
    <row r="137" spans="1:18" outlineLevel="1" x14ac:dyDescent="0.25">
      <c r="B137" s="3" t="str">
        <f t="shared" ref="B137:D137" si="96">B136</f>
        <v>SAPN</v>
      </c>
      <c r="C137" s="3" t="str">
        <f t="shared" si="96"/>
        <v>Small business</v>
      </c>
      <c r="D137" s="3" t="str">
        <f t="shared" si="96"/>
        <v>without CL</v>
      </c>
      <c r="E137" s="3" t="s">
        <v>22</v>
      </c>
      <c r="F137" s="175">
        <f t="array" ref="F137">IFERROR(INDEX(Usage!$B$5:$P$18,MATCH($B137,Usage!$B$5:$B$18,0),MATCH($C137&amp;$D137&amp;$E137&amp;"Total",Usage!$B$5:$S$5&amp;Usage!$B$6:$S$6&amp;Usage!$B$7:$S$7&amp;Usage!$B$13:$S$13,0)),0)</f>
        <v>10000</v>
      </c>
      <c r="G137" s="3" t="s">
        <v>203</v>
      </c>
      <c r="H137" s="172" cm="1">
        <f t="array" ref="H137">IFERROR(INDEX('Detail inputs'!$B$3:$K$196,MATCH($B137&amp;$G137&amp;H$5,'Detail inputs'!$B$3:$B$196&amp;'Detail inputs'!$G$3:$G$196&amp;'Detail inputs'!$H$3:$H$196,0),MATCH(H$4,'Detail inputs'!$B$3:$K$3,0)),0)</f>
        <v>25.714884256834605</v>
      </c>
      <c r="I137" s="172"/>
      <c r="J137" s="172">
        <f>IF(AND(H137="",I137=""),"",H137+I137*$F137/1000)</f>
        <v>25.714884256834605</v>
      </c>
      <c r="K137" s="191">
        <f>IFERROR(J137/J138,"")</f>
        <v>0.13922900117296039</v>
      </c>
      <c r="L137" s="173"/>
      <c r="M137" s="191">
        <f>IF(OR(J137=0,Q137=""),"",Q137/J137-1)</f>
        <v>-0.37545898167006109</v>
      </c>
      <c r="N137" s="173"/>
      <c r="O137" s="172" cm="1">
        <f t="array" ref="O137">IFERROR(INDEX('Detail inputs'!$B$3:$K$196,MATCH($B137&amp;$G137&amp;O$5,'Detail inputs'!$B$3:$B$196&amp;'Detail inputs'!$G$3:$G$196&amp;'Detail inputs'!$H$3:$H$196,0),MATCH(O$4,'Detail inputs'!$B$3:$K$3,0)),0)</f>
        <v>16.059999999999999</v>
      </c>
      <c r="P137" s="172"/>
      <c r="Q137" s="172">
        <f>IF(AND(O137="",P137=""),"",O137+P137*$F137/1000)</f>
        <v>16.059999999999999</v>
      </c>
      <c r="R137" s="191">
        <f>IFERROR(Q137/Q138,"")</f>
        <v>8.8848736773445444E-2</v>
      </c>
    </row>
    <row r="138" spans="1:18" s="20" customFormat="1" x14ac:dyDescent="0.25">
      <c r="A138" s="3"/>
      <c r="B138" s="3" t="str">
        <f t="shared" ref="B138:D138" si="97">B137</f>
        <v>SAPN</v>
      </c>
      <c r="C138" s="3" t="str">
        <f t="shared" si="97"/>
        <v>Small business</v>
      </c>
      <c r="D138" s="3" t="str">
        <f t="shared" si="97"/>
        <v>without CL</v>
      </c>
      <c r="E138" s="3" t="s">
        <v>22</v>
      </c>
      <c r="F138" s="175">
        <f t="array" ref="F138">IFERROR(INDEX(Usage!$B$5:$P$18,MATCH($B138,Usage!$B$5:$B$18,0),MATCH($C138&amp;$D138&amp;$E138&amp;"Total",Usage!$B$5:$S$5&amp;Usage!$B$6:$S$6&amp;Usage!$B$7:$S$7&amp;Usage!$B$13:$S$13,0)),0)</f>
        <v>10000</v>
      </c>
      <c r="G138" s="3" t="s">
        <v>61</v>
      </c>
      <c r="H138" s="172">
        <f>SUM(H135:H137)</f>
        <v>184.6948842568346</v>
      </c>
      <c r="I138" s="172"/>
      <c r="J138" s="172">
        <f>IF(AND(H138="",I138=""),"",H138+I138*$F138/1000)</f>
        <v>184.6948842568346</v>
      </c>
      <c r="K138" s="192"/>
      <c r="L138" s="172"/>
      <c r="M138" s="192">
        <f>IF(OR(J138=0,Q138=""),"",Q138/J138-1)</f>
        <v>-2.13229210523872E-2</v>
      </c>
      <c r="N138" s="172"/>
      <c r="O138" s="172">
        <f>SUM(O135:O137)</f>
        <v>180.75664982104632</v>
      </c>
      <c r="P138" s="172"/>
      <c r="Q138" s="172">
        <f>IF(AND(O138="",P138=""),"",O138+P138*$F138/1000)</f>
        <v>180.75664982104632</v>
      </c>
      <c r="R138" s="192"/>
    </row>
    <row r="139" spans="1:18" s="20" customFormat="1" x14ac:dyDescent="0.25">
      <c r="A139" s="3"/>
      <c r="B139" s="3" t="str">
        <f t="shared" ref="B139:D139" si="98">B138</f>
        <v>SAPN</v>
      </c>
      <c r="C139" s="3" t="str">
        <f t="shared" si="98"/>
        <v>Small business</v>
      </c>
      <c r="D139" s="3" t="str">
        <f t="shared" si="98"/>
        <v>without CL</v>
      </c>
      <c r="E139" s="3" t="s">
        <v>22</v>
      </c>
      <c r="F139" s="175">
        <f t="array" ref="F139">IFERROR(INDEX(Usage!$B$5:$P$18,MATCH($B139,Usage!$B$5:$B$18,0),MATCH($C139&amp;$D139&amp;$E139&amp;"Total",Usage!$B$5:$S$5&amp;Usage!$B$6:$S$6&amp;Usage!$B$7:$S$7&amp;Usage!$B$13:$S$13,0)),0)</f>
        <v>10000</v>
      </c>
      <c r="G139" s="3" t="s">
        <v>209</v>
      </c>
      <c r="H139" s="172">
        <f>H138*CPIPY</f>
        <v>18.43947550699173</v>
      </c>
      <c r="I139" s="172"/>
      <c r="J139" s="172">
        <f>J138*CPIPY</f>
        <v>18.43947550699173</v>
      </c>
      <c r="K139" s="192"/>
      <c r="L139" s="172"/>
      <c r="M139" s="192">
        <f>IF(OR(J139=0,Q139=""),"",Q139/J139-1)</f>
        <v>2.7935647338363623E-2</v>
      </c>
      <c r="N139" s="172"/>
      <c r="O139" s="172">
        <f>O138*CPI</f>
        <v>18.954594191859446</v>
      </c>
      <c r="P139" s="172"/>
      <c r="Q139" s="172">
        <f>Q138*CPI</f>
        <v>18.954594191859446</v>
      </c>
      <c r="R139" s="192"/>
    </row>
    <row r="140" spans="1:18" s="20" customFormat="1" outlineLevel="1" x14ac:dyDescent="0.25">
      <c r="A140" s="3"/>
      <c r="B140" s="3" t="str">
        <f t="shared" ref="B140:D140" si="99">B139</f>
        <v>SAPN</v>
      </c>
      <c r="C140" s="3" t="str">
        <f t="shared" si="99"/>
        <v>Small business</v>
      </c>
      <c r="D140" s="3" t="str">
        <f t="shared" si="99"/>
        <v>without CL</v>
      </c>
      <c r="E140" s="3"/>
      <c r="F140" s="175"/>
      <c r="G140" s="3" t="s">
        <v>41</v>
      </c>
      <c r="H140" s="172"/>
      <c r="I140" s="172"/>
      <c r="J140" s="172">
        <f>SUM(J138,J139)*GST</f>
        <v>20.313435976382635</v>
      </c>
      <c r="K140" s="192"/>
      <c r="L140" s="172"/>
      <c r="M140" s="192"/>
      <c r="N140" s="172"/>
      <c r="O140" s="172"/>
      <c r="P140" s="172"/>
      <c r="Q140" s="172">
        <f>SUM(Q138,Q139)*GST</f>
        <v>19.971124401290581</v>
      </c>
      <c r="R140" s="193"/>
    </row>
    <row r="141" spans="1:18" s="20" customFormat="1" x14ac:dyDescent="0.25">
      <c r="A141" s="3"/>
      <c r="B141" s="3" t="str">
        <f t="shared" ref="B141:D141" si="100">B140</f>
        <v>SAPN</v>
      </c>
      <c r="C141" s="3" t="str">
        <f t="shared" si="100"/>
        <v>Small business</v>
      </c>
      <c r="D141" s="3" t="str">
        <f t="shared" si="100"/>
        <v>without CL</v>
      </c>
      <c r="E141" s="3"/>
      <c r="F141" s="175"/>
      <c r="G141" s="5" t="s">
        <v>87</v>
      </c>
      <c r="H141" s="174"/>
      <c r="I141" s="174"/>
      <c r="J141" s="174">
        <f>SUM(J138:J140)</f>
        <v>223.44779574020896</v>
      </c>
      <c r="K141" s="193"/>
      <c r="L141" s="174"/>
      <c r="M141" s="193">
        <f>IF(OR(J141=0,Q141=""),"",Q141/J141-1)</f>
        <v>-1.6851485661512067E-2</v>
      </c>
      <c r="N141" s="174"/>
      <c r="O141" s="174"/>
      <c r="P141" s="174"/>
      <c r="Q141" s="174">
        <f>SUM(Q138:Q140)</f>
        <v>219.68236841419636</v>
      </c>
      <c r="R141" s="193"/>
    </row>
    <row r="142" spans="1:18" s="20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5">
      <c r="F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5">
      <c r="F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</sheetData>
  <mergeCells count="3">
    <mergeCell ref="A1:B1"/>
    <mergeCell ref="H3:K3"/>
    <mergeCell ref="O3:R3"/>
  </mergeCells>
  <conditionalFormatting sqref="B9:G9 B7:R8 Q9:R12 J9:N12 E34:R34 E10:E12 E25:R26 G10:G12 F10:F13 E14:F14 R14 B10:D16 E15:R17">
    <cfRule type="expression" dxfId="505" priority="607">
      <formula>MOD(ROW(),2)=0</formula>
    </cfRule>
  </conditionalFormatting>
  <conditionalFormatting sqref="B54:D61 B81:D88 B108:D115 B135:D141 B7:D14 B16:D16 B18:D25 B27:D34 B36:D43 B45:D52 B63:D70 B72:D79 B90:D97 B99:D106 B117:D124 B126:D133">
    <cfRule type="expression" dxfId="504" priority="610">
      <formula>AND(B7=B6,MOD(ROW(),2)=1)</formula>
    </cfRule>
    <cfRule type="expression" dxfId="503" priority="611">
      <formula>AND(B7=B6,MOD(ROW(),2)=0)</formula>
    </cfRule>
  </conditionalFormatting>
  <conditionalFormatting sqref="H12:I12">
    <cfRule type="expression" dxfId="502" priority="606">
      <formula>MOD(ROW(),2)=0</formula>
    </cfRule>
  </conditionalFormatting>
  <conditionalFormatting sqref="O12:P12">
    <cfRule type="expression" dxfId="501" priority="484">
      <formula>MOD(ROW(),2)=0</formula>
    </cfRule>
  </conditionalFormatting>
  <conditionalFormatting sqref="Q18:R20 B18:G18 J18:N20 E19:E21 E24:N24 R23:R24 B19:D25 G19 F19:F22 R21">
    <cfRule type="expression" dxfId="500" priority="470">
      <formula>MOD(ROW(),2)=0</formula>
    </cfRule>
  </conditionalFormatting>
  <conditionalFormatting sqref="O9:P9">
    <cfRule type="expression" dxfId="499" priority="476">
      <formula>MOD(ROW(),2)=0</formula>
    </cfRule>
  </conditionalFormatting>
  <conditionalFormatting sqref="H9:I11">
    <cfRule type="expression" dxfId="498" priority="475">
      <formula>MOD(ROW(),2)=0</formula>
    </cfRule>
  </conditionalFormatting>
  <conditionalFormatting sqref="O18:P18">
    <cfRule type="expression" dxfId="497" priority="467">
      <formula>MOD(ROW(),2)=0</formula>
    </cfRule>
  </conditionalFormatting>
  <conditionalFormatting sqref="H18:I19">
    <cfRule type="expression" dxfId="496" priority="466">
      <formula>MOD(ROW(),2)=0</formula>
    </cfRule>
  </conditionalFormatting>
  <conditionalFormatting sqref="E33:R33 Q27:R29 B27:G27 J27:N29 E28:E30 B28:D34 G28 F28:F31 R30 E32:F32 R32">
    <cfRule type="expression" dxfId="495" priority="461">
      <formula>MOD(ROW(),2)=0</formula>
    </cfRule>
  </conditionalFormatting>
  <conditionalFormatting sqref="O27:P27">
    <cfRule type="expression" dxfId="494" priority="458">
      <formula>MOD(ROW(),2)=0</formula>
    </cfRule>
  </conditionalFormatting>
  <conditionalFormatting sqref="H27:I28">
    <cfRule type="expression" dxfId="493" priority="457">
      <formula>MOD(ROW(),2)=0</formula>
    </cfRule>
  </conditionalFormatting>
  <conditionalFormatting sqref="E35:R35 Q36:R38 B36:G36 J36:N38 E61:R61 E37:E39 E42:R44 B37:D43 E52:R53 G37 F37:F40 E41:F41 R41 R39">
    <cfRule type="expression" dxfId="492" priority="450">
      <formula>MOD(ROW(),2)=0</formula>
    </cfRule>
  </conditionalFormatting>
  <conditionalFormatting sqref="E51:R51 Q45:R47 B45:G45 J45:N47 E46:E48 B46:D52 G46 E50 R50 F46:F50 R48">
    <cfRule type="expression" dxfId="491" priority="441">
      <formula>MOD(ROW(),2)=0</formula>
    </cfRule>
  </conditionalFormatting>
  <conditionalFormatting sqref="O36:P36">
    <cfRule type="expression" dxfId="490" priority="447">
      <formula>MOD(ROW(),2)=0</formula>
    </cfRule>
  </conditionalFormatting>
  <conditionalFormatting sqref="H36:I37">
    <cfRule type="expression" dxfId="489" priority="446">
      <formula>MOD(ROW(),2)=0</formula>
    </cfRule>
  </conditionalFormatting>
  <conditionalFormatting sqref="O45:P45">
    <cfRule type="expression" dxfId="488" priority="438">
      <formula>MOD(ROW(),2)=0</formula>
    </cfRule>
  </conditionalFormatting>
  <conditionalFormatting sqref="H45:I46">
    <cfRule type="expression" dxfId="487" priority="437">
      <formula>MOD(ROW(),2)=0</formula>
    </cfRule>
  </conditionalFormatting>
  <conditionalFormatting sqref="E60:R60 Q54:R56 B54:G54 J54:N56 E55:E57 B55:D61 G55 F55:F58 R57 E59:F59 R59">
    <cfRule type="expression" dxfId="486" priority="432">
      <formula>MOD(ROW(),2)=0</formula>
    </cfRule>
  </conditionalFormatting>
  <conditionalFormatting sqref="O54:P54">
    <cfRule type="expression" dxfId="485" priority="429">
      <formula>MOD(ROW(),2)=0</formula>
    </cfRule>
  </conditionalFormatting>
  <conditionalFormatting sqref="H54:I55">
    <cfRule type="expression" dxfId="484" priority="428">
      <formula>MOD(ROW(),2)=0</formula>
    </cfRule>
  </conditionalFormatting>
  <conditionalFormatting sqref="E62:R62 Q63:R65 B63:G63 J63:N65 E88:R88 E64:E66 E69:R71 B64:D70 E79:R80 G64 F64:F67 E68:F68 R68 R66">
    <cfRule type="expression" dxfId="483" priority="421">
      <formula>MOD(ROW(),2)=0</formula>
    </cfRule>
  </conditionalFormatting>
  <conditionalFormatting sqref="E78:R78 Q72:R74 B72:G72 J72:N74 E73:E75 B73:D79 G73 F73:F76 R75 E77:F77 R77">
    <cfRule type="expression" dxfId="482" priority="412">
      <formula>MOD(ROW(),2)=0</formula>
    </cfRule>
  </conditionalFormatting>
  <conditionalFormatting sqref="O63:P63">
    <cfRule type="expression" dxfId="481" priority="418">
      <formula>MOD(ROW(),2)=0</formula>
    </cfRule>
  </conditionalFormatting>
  <conditionalFormatting sqref="H63:I63">
    <cfRule type="expression" dxfId="480" priority="417">
      <formula>MOD(ROW(),2)=0</formula>
    </cfRule>
  </conditionalFormatting>
  <conditionalFormatting sqref="O72:P72">
    <cfRule type="expression" dxfId="479" priority="409">
      <formula>MOD(ROW(),2)=0</formula>
    </cfRule>
  </conditionalFormatting>
  <conditionalFormatting sqref="H72:I72">
    <cfRule type="expression" dxfId="478" priority="408">
      <formula>MOD(ROW(),2)=0</formula>
    </cfRule>
  </conditionalFormatting>
  <conditionalFormatting sqref="E87:R87 Q81:R83 B81:G81 J81:N83 E82:E84 B82:D88 G82 F82:F85 R84 E86:F86 R86">
    <cfRule type="expression" dxfId="477" priority="403">
      <formula>MOD(ROW(),2)=0</formula>
    </cfRule>
  </conditionalFormatting>
  <conditionalFormatting sqref="O81:P81">
    <cfRule type="expression" dxfId="476" priority="400">
      <formula>MOD(ROW(),2)=0</formula>
    </cfRule>
  </conditionalFormatting>
  <conditionalFormatting sqref="H81:I81 H82">
    <cfRule type="expression" dxfId="475" priority="399">
      <formula>MOD(ROW(),2)=0</formula>
    </cfRule>
  </conditionalFormatting>
  <conditionalFormatting sqref="E89:R89 Q90:R92 B90:G90 J90:N92 E115:R115 E91:E93 E96:R98 B91:D97 E106:R107 G91 F91:F94 E95:F95 R95 R93">
    <cfRule type="expression" dxfId="474" priority="392">
      <formula>MOD(ROW(),2)=0</formula>
    </cfRule>
  </conditionalFormatting>
  <conditionalFormatting sqref="E105:R105 Q99:R101 B99:G99 J99:N101 E100:E102 B100:D106 G100 F100:F103 R102 E104:F104 R104">
    <cfRule type="expression" dxfId="473" priority="383">
      <formula>MOD(ROW(),2)=0</formula>
    </cfRule>
  </conditionalFormatting>
  <conditionalFormatting sqref="O90:P90">
    <cfRule type="expression" dxfId="472" priority="389">
      <formula>MOD(ROW(),2)=0</formula>
    </cfRule>
  </conditionalFormatting>
  <conditionalFormatting sqref="H90:I90">
    <cfRule type="expression" dxfId="471" priority="388">
      <formula>MOD(ROW(),2)=0</formula>
    </cfRule>
  </conditionalFormatting>
  <conditionalFormatting sqref="O99:P99">
    <cfRule type="expression" dxfId="470" priority="380">
      <formula>MOD(ROW(),2)=0</formula>
    </cfRule>
  </conditionalFormatting>
  <conditionalFormatting sqref="H99:I99">
    <cfRule type="expression" dxfId="469" priority="379">
      <formula>MOD(ROW(),2)=0</formula>
    </cfRule>
  </conditionalFormatting>
  <conditionalFormatting sqref="E114:R114 Q108:R110 B108:G108 J108:N110 E109:E111 B109:D115 G109 F109:F112 R111 E113:F113 R113">
    <cfRule type="expression" dxfId="468" priority="374">
      <formula>MOD(ROW(),2)=0</formula>
    </cfRule>
  </conditionalFormatting>
  <conditionalFormatting sqref="O108:P108">
    <cfRule type="expression" dxfId="467" priority="371">
      <formula>MOD(ROW(),2)=0</formula>
    </cfRule>
  </conditionalFormatting>
  <conditionalFormatting sqref="H108:I108 H109">
    <cfRule type="expression" dxfId="466" priority="370">
      <formula>MOD(ROW(),2)=0</formula>
    </cfRule>
  </conditionalFormatting>
  <conditionalFormatting sqref="E116:R116 Q117:R119 B117:G117 J117:N119 E118:E120 E123:R125 B118:D124 E133:R134 G118 F118:F121 E122:F122 R122 R120">
    <cfRule type="expression" dxfId="465" priority="363">
      <formula>MOD(ROW(),2)=0</formula>
    </cfRule>
  </conditionalFormatting>
  <conditionalFormatting sqref="E131:R132 Q126:R129 B126:G126 J126:N129 E127:E129 B127:D133 G129 G127 F127:F130">
    <cfRule type="expression" dxfId="464" priority="354">
      <formula>MOD(ROW(),2)=0</formula>
    </cfRule>
  </conditionalFormatting>
  <conditionalFormatting sqref="H129:I129">
    <cfRule type="expression" dxfId="463" priority="353">
      <formula>MOD(ROW(),2)=0</formula>
    </cfRule>
  </conditionalFormatting>
  <conditionalFormatting sqref="O129:P129">
    <cfRule type="expression" dxfId="462" priority="352">
      <formula>MOD(ROW(),2)=0</formula>
    </cfRule>
  </conditionalFormatting>
  <conditionalFormatting sqref="O117:P117">
    <cfRule type="expression" dxfId="461" priority="360">
      <formula>MOD(ROW(),2)=0</formula>
    </cfRule>
  </conditionalFormatting>
  <conditionalFormatting sqref="H117:I117">
    <cfRule type="expression" dxfId="460" priority="359">
      <formula>MOD(ROW(),2)=0</formula>
    </cfRule>
  </conditionalFormatting>
  <conditionalFormatting sqref="O126:P126">
    <cfRule type="expression" dxfId="459" priority="351">
      <formula>MOD(ROW(),2)=0</formula>
    </cfRule>
  </conditionalFormatting>
  <conditionalFormatting sqref="H126:I126">
    <cfRule type="expression" dxfId="458" priority="350">
      <formula>MOD(ROW(),2)=0</formula>
    </cfRule>
  </conditionalFormatting>
  <conditionalFormatting sqref="E141:R141 Q135:R137 B135:G135 J135:N137 E136:E138 B136:D141 G136 F136:F139 R138 E140:F140 R140">
    <cfRule type="expression" dxfId="457" priority="345">
      <formula>MOD(ROW(),2)=0</formula>
    </cfRule>
  </conditionalFormatting>
  <conditionalFormatting sqref="O135:P135">
    <cfRule type="expression" dxfId="456" priority="342">
      <formula>MOD(ROW(),2)=0</formula>
    </cfRule>
  </conditionalFormatting>
  <conditionalFormatting sqref="H135:I135 H136">
    <cfRule type="expression" dxfId="455" priority="341">
      <formula>MOD(ROW(),2)=0</formula>
    </cfRule>
  </conditionalFormatting>
  <conditionalFormatting sqref="O10:P11">
    <cfRule type="expression" dxfId="454" priority="340">
      <formula>MOD(ROW(),2)=0</formula>
    </cfRule>
  </conditionalFormatting>
  <conditionalFormatting sqref="O137:P137 P136">
    <cfRule type="expression" dxfId="453" priority="297">
      <formula>MOD(ROW(),2)=0</formula>
    </cfRule>
  </conditionalFormatting>
  <conditionalFormatting sqref="G20">
    <cfRule type="expression" dxfId="452" priority="338">
      <formula>MOD(ROW(),2)=0</formula>
    </cfRule>
  </conditionalFormatting>
  <conditionalFormatting sqref="G29">
    <cfRule type="expression" dxfId="451" priority="337">
      <formula>MOD(ROW(),2)=0</formula>
    </cfRule>
  </conditionalFormatting>
  <conditionalFormatting sqref="G38">
    <cfRule type="expression" dxfId="450" priority="336">
      <formula>MOD(ROW(),2)=0</formula>
    </cfRule>
  </conditionalFormatting>
  <conditionalFormatting sqref="G47">
    <cfRule type="expression" dxfId="449" priority="335">
      <formula>MOD(ROW(),2)=0</formula>
    </cfRule>
  </conditionalFormatting>
  <conditionalFormatting sqref="G56">
    <cfRule type="expression" dxfId="448" priority="334">
      <formula>MOD(ROW(),2)=0</formula>
    </cfRule>
  </conditionalFormatting>
  <conditionalFormatting sqref="G65">
    <cfRule type="expression" dxfId="447" priority="333">
      <formula>MOD(ROW(),2)=0</formula>
    </cfRule>
  </conditionalFormatting>
  <conditionalFormatting sqref="G74">
    <cfRule type="expression" dxfId="446" priority="332">
      <formula>MOD(ROW(),2)=0</formula>
    </cfRule>
  </conditionalFormatting>
  <conditionalFormatting sqref="G83">
    <cfRule type="expression" dxfId="445" priority="331">
      <formula>MOD(ROW(),2)=0</formula>
    </cfRule>
  </conditionalFormatting>
  <conditionalFormatting sqref="G92">
    <cfRule type="expression" dxfId="444" priority="330">
      <formula>MOD(ROW(),2)=0</formula>
    </cfRule>
  </conditionalFormatting>
  <conditionalFormatting sqref="G101">
    <cfRule type="expression" dxfId="443" priority="329">
      <formula>MOD(ROW(),2)=0</formula>
    </cfRule>
  </conditionalFormatting>
  <conditionalFormatting sqref="G110">
    <cfRule type="expression" dxfId="442" priority="328">
      <formula>MOD(ROW(),2)=0</formula>
    </cfRule>
  </conditionalFormatting>
  <conditionalFormatting sqref="G119">
    <cfRule type="expression" dxfId="441" priority="327">
      <formula>MOD(ROW(),2)=0</formula>
    </cfRule>
  </conditionalFormatting>
  <conditionalFormatting sqref="G128">
    <cfRule type="expression" dxfId="440" priority="326">
      <formula>MOD(ROW(),2)=0</formula>
    </cfRule>
  </conditionalFormatting>
  <conditionalFormatting sqref="G137">
    <cfRule type="expression" dxfId="439" priority="325">
      <formula>MOD(ROW(),2)=0</formula>
    </cfRule>
  </conditionalFormatting>
  <conditionalFormatting sqref="H20:I20">
    <cfRule type="expression" dxfId="438" priority="324">
      <formula>MOD(ROW(),2)=0</formula>
    </cfRule>
  </conditionalFormatting>
  <conditionalFormatting sqref="O19:P20">
    <cfRule type="expression" dxfId="437" priority="323">
      <formula>MOD(ROW(),2)=0</formula>
    </cfRule>
  </conditionalFormatting>
  <conditionalFormatting sqref="H29:I29">
    <cfRule type="expression" dxfId="436" priority="322">
      <formula>MOD(ROW(),2)=0</formula>
    </cfRule>
  </conditionalFormatting>
  <conditionalFormatting sqref="O29:P29 P28">
    <cfRule type="expression" dxfId="435" priority="321">
      <formula>MOD(ROW(),2)=0</formula>
    </cfRule>
  </conditionalFormatting>
  <conditionalFormatting sqref="H38:I38">
    <cfRule type="expression" dxfId="434" priority="320">
      <formula>MOD(ROW(),2)=0</formula>
    </cfRule>
  </conditionalFormatting>
  <conditionalFormatting sqref="O37:P38">
    <cfRule type="expression" dxfId="433" priority="319">
      <formula>MOD(ROW(),2)=0</formula>
    </cfRule>
  </conditionalFormatting>
  <conditionalFormatting sqref="H47:I47">
    <cfRule type="expression" dxfId="432" priority="318">
      <formula>MOD(ROW(),2)=0</formula>
    </cfRule>
  </conditionalFormatting>
  <conditionalFormatting sqref="O46:P47">
    <cfRule type="expression" dxfId="431" priority="317">
      <formula>MOD(ROW(),2)=0</formula>
    </cfRule>
  </conditionalFormatting>
  <conditionalFormatting sqref="H56:I56">
    <cfRule type="expression" dxfId="430" priority="316">
      <formula>MOD(ROW(),2)=0</formula>
    </cfRule>
  </conditionalFormatting>
  <conditionalFormatting sqref="O56:P56 P55">
    <cfRule type="expression" dxfId="429" priority="315">
      <formula>MOD(ROW(),2)=0</formula>
    </cfRule>
  </conditionalFormatting>
  <conditionalFormatting sqref="H64:I65">
    <cfRule type="expression" dxfId="428" priority="314">
      <formula>MOD(ROW(),2)=0</formula>
    </cfRule>
  </conditionalFormatting>
  <conditionalFormatting sqref="O64:P65">
    <cfRule type="expression" dxfId="427" priority="313">
      <formula>MOD(ROW(),2)=0</formula>
    </cfRule>
  </conditionalFormatting>
  <conditionalFormatting sqref="H73:I74">
    <cfRule type="expression" dxfId="426" priority="312">
      <formula>MOD(ROW(),2)=0</formula>
    </cfRule>
  </conditionalFormatting>
  <conditionalFormatting sqref="O73:P74">
    <cfRule type="expression" dxfId="425" priority="311">
      <formula>MOD(ROW(),2)=0</formula>
    </cfRule>
  </conditionalFormatting>
  <conditionalFormatting sqref="H82:I83">
    <cfRule type="expression" dxfId="424" priority="310">
      <formula>MOD(ROW(),2)=0</formula>
    </cfRule>
  </conditionalFormatting>
  <conditionalFormatting sqref="O83:P83 P82">
    <cfRule type="expression" dxfId="423" priority="309">
      <formula>MOD(ROW(),2)=0</formula>
    </cfRule>
  </conditionalFormatting>
  <conditionalFormatting sqref="H91:I92">
    <cfRule type="expression" dxfId="422" priority="308">
      <formula>MOD(ROW(),2)=0</formula>
    </cfRule>
  </conditionalFormatting>
  <conditionalFormatting sqref="O91:P92">
    <cfRule type="expression" dxfId="421" priority="307">
      <formula>MOD(ROW(),2)=0</formula>
    </cfRule>
  </conditionalFormatting>
  <conditionalFormatting sqref="H100:I101">
    <cfRule type="expression" dxfId="420" priority="306">
      <formula>MOD(ROW(),2)=0</formula>
    </cfRule>
  </conditionalFormatting>
  <conditionalFormatting sqref="O100:P101">
    <cfRule type="expression" dxfId="419" priority="305">
      <formula>MOD(ROW(),2)=0</formula>
    </cfRule>
  </conditionalFormatting>
  <conditionalFormatting sqref="H109:I110">
    <cfRule type="expression" dxfId="418" priority="304">
      <formula>MOD(ROW(),2)=0</formula>
    </cfRule>
  </conditionalFormatting>
  <conditionalFormatting sqref="O110:P110 P109">
    <cfRule type="expression" dxfId="417" priority="303">
      <formula>MOD(ROW(),2)=0</formula>
    </cfRule>
  </conditionalFormatting>
  <conditionalFormatting sqref="H118:I119">
    <cfRule type="expression" dxfId="416" priority="302">
      <formula>MOD(ROW(),2)=0</formula>
    </cfRule>
  </conditionalFormatting>
  <conditionalFormatting sqref="O118:P119">
    <cfRule type="expression" dxfId="415" priority="301">
      <formula>MOD(ROW(),2)=0</formula>
    </cfRule>
  </conditionalFormatting>
  <conditionalFormatting sqref="H127:I128">
    <cfRule type="expression" dxfId="414" priority="300">
      <formula>MOD(ROW(),2)=0</formula>
    </cfRule>
  </conditionalFormatting>
  <conditionalFormatting sqref="O127:P128">
    <cfRule type="expression" dxfId="413" priority="299">
      <formula>MOD(ROW(),2)=0</formula>
    </cfRule>
  </conditionalFormatting>
  <conditionalFormatting sqref="H136:I137">
    <cfRule type="expression" dxfId="412" priority="298">
      <formula>MOD(ROW(),2)=0</formula>
    </cfRule>
  </conditionalFormatting>
  <conditionalFormatting sqref="E22 R22">
    <cfRule type="expression" dxfId="411" priority="294">
      <formula>MOD(ROW(),2)=0</formula>
    </cfRule>
  </conditionalFormatting>
  <conditionalFormatting sqref="O24:Q24">
    <cfRule type="expression" dxfId="410" priority="290">
      <formula>MOD(ROW(),2)=0</formula>
    </cfRule>
  </conditionalFormatting>
  <conditionalFormatting sqref="E23:F23">
    <cfRule type="expression" dxfId="409" priority="291">
      <formula>MOD(ROW(),2)=0</formula>
    </cfRule>
  </conditionalFormatting>
  <conditionalFormatting sqref="E13 R13 K13:N13 G13">
    <cfRule type="expression" dxfId="408" priority="286">
      <formula>MOD(ROW(),2)=0</formula>
    </cfRule>
  </conditionalFormatting>
  <conditionalFormatting sqref="H13:J13">
    <cfRule type="expression" dxfId="407" priority="285">
      <formula>MOD(ROW(),2)=0</formula>
    </cfRule>
  </conditionalFormatting>
  <conditionalFormatting sqref="O13:Q13">
    <cfRule type="expression" dxfId="406" priority="284">
      <formula>MOD(ROW(),2)=0</formula>
    </cfRule>
  </conditionalFormatting>
  <conditionalFormatting sqref="E31 R31">
    <cfRule type="expression" dxfId="405" priority="283">
      <formula>MOD(ROW(),2)=0</formula>
    </cfRule>
  </conditionalFormatting>
  <conditionalFormatting sqref="E40 R40">
    <cfRule type="expression" dxfId="404" priority="280">
      <formula>MOD(ROW(),2)=0</formula>
    </cfRule>
  </conditionalFormatting>
  <conditionalFormatting sqref="E49 R49">
    <cfRule type="expression" dxfId="403" priority="277">
      <formula>MOD(ROW(),2)=0</formula>
    </cfRule>
  </conditionalFormatting>
  <conditionalFormatting sqref="E58 R58">
    <cfRule type="expression" dxfId="402" priority="274">
      <formula>MOD(ROW(),2)=0</formula>
    </cfRule>
  </conditionalFormatting>
  <conditionalFormatting sqref="E67 R67">
    <cfRule type="expression" dxfId="401" priority="271">
      <formula>MOD(ROW(),2)=0</formula>
    </cfRule>
  </conditionalFormatting>
  <conditionalFormatting sqref="E76 R76">
    <cfRule type="expression" dxfId="400" priority="268">
      <formula>MOD(ROW(),2)=0</formula>
    </cfRule>
  </conditionalFormatting>
  <conditionalFormatting sqref="E94 R94">
    <cfRule type="expression" dxfId="399" priority="265">
      <formula>MOD(ROW(),2)=0</formula>
    </cfRule>
  </conditionalFormatting>
  <conditionalFormatting sqref="E139 R139">
    <cfRule type="expression" dxfId="398" priority="262">
      <formula>MOD(ROW(),2)=0</formula>
    </cfRule>
  </conditionalFormatting>
  <conditionalFormatting sqref="O130:Q130">
    <cfRule type="expression" dxfId="397" priority="257">
      <formula>MOD(ROW(),2)=0</formula>
    </cfRule>
  </conditionalFormatting>
  <conditionalFormatting sqref="E130 R130 K130:N130 G130">
    <cfRule type="expression" dxfId="396" priority="259">
      <formula>MOD(ROW(),2)=0</formula>
    </cfRule>
  </conditionalFormatting>
  <conditionalFormatting sqref="E121 R121">
    <cfRule type="expression" dxfId="395" priority="256">
      <formula>MOD(ROW(),2)=0</formula>
    </cfRule>
  </conditionalFormatting>
  <conditionalFormatting sqref="E112 R112">
    <cfRule type="expression" dxfId="394" priority="253">
      <formula>MOD(ROW(),2)=0</formula>
    </cfRule>
  </conditionalFormatting>
  <conditionalFormatting sqref="E103 R103">
    <cfRule type="expression" dxfId="393" priority="250">
      <formula>MOD(ROW(),2)=0</formula>
    </cfRule>
  </conditionalFormatting>
  <conditionalFormatting sqref="E85 R85">
    <cfRule type="expression" dxfId="392" priority="247">
      <formula>MOD(ROW(),2)=0</formula>
    </cfRule>
  </conditionalFormatting>
  <conditionalFormatting sqref="G14:N14">
    <cfRule type="expression" dxfId="391" priority="244">
      <formula>MOD(ROW(),2)=0</formula>
    </cfRule>
  </conditionalFormatting>
  <conditionalFormatting sqref="O14:Q14">
    <cfRule type="expression" dxfId="390" priority="243">
      <formula>MOD(ROW(),2)=0</formula>
    </cfRule>
  </conditionalFormatting>
  <conditionalFormatting sqref="Q21 J21:N21 G21">
    <cfRule type="expression" dxfId="389" priority="234">
      <formula>MOD(ROW(),2)=0</formula>
    </cfRule>
  </conditionalFormatting>
  <conditionalFormatting sqref="H21:I21">
    <cfRule type="expression" dxfId="388" priority="233">
      <formula>MOD(ROW(),2)=0</formula>
    </cfRule>
  </conditionalFormatting>
  <conditionalFormatting sqref="O21:P21">
    <cfRule type="expression" dxfId="387" priority="232">
      <formula>MOD(ROW(),2)=0</formula>
    </cfRule>
  </conditionalFormatting>
  <conditionalFormatting sqref="K22:N22 G22">
    <cfRule type="expression" dxfId="386" priority="231">
      <formula>MOD(ROW(),2)=0</formula>
    </cfRule>
  </conditionalFormatting>
  <conditionalFormatting sqref="O39:P39">
    <cfRule type="expression" dxfId="385" priority="216">
      <formula>MOD(ROW(),2)=0</formula>
    </cfRule>
  </conditionalFormatting>
  <conditionalFormatting sqref="O22:Q22">
    <cfRule type="expression" dxfId="384" priority="229">
      <formula>MOD(ROW(),2)=0</formula>
    </cfRule>
  </conditionalFormatting>
  <conditionalFormatting sqref="G23:N23">
    <cfRule type="expression" dxfId="383" priority="228">
      <formula>MOD(ROW(),2)=0</formula>
    </cfRule>
  </conditionalFormatting>
  <conditionalFormatting sqref="O23:Q23">
    <cfRule type="expression" dxfId="382" priority="227">
      <formula>MOD(ROW(),2)=0</formula>
    </cfRule>
  </conditionalFormatting>
  <conditionalFormatting sqref="Q30 J30:N30 G30">
    <cfRule type="expression" dxfId="381" priority="226">
      <formula>MOD(ROW(),2)=0</formula>
    </cfRule>
  </conditionalFormatting>
  <conditionalFormatting sqref="H30:I30">
    <cfRule type="expression" dxfId="380" priority="225">
      <formula>MOD(ROW(),2)=0</formula>
    </cfRule>
  </conditionalFormatting>
  <conditionalFormatting sqref="O30:P30">
    <cfRule type="expression" dxfId="379" priority="224">
      <formula>MOD(ROW(),2)=0</formula>
    </cfRule>
  </conditionalFormatting>
  <conditionalFormatting sqref="K31:N31 G31">
    <cfRule type="expression" dxfId="378" priority="223">
      <formula>MOD(ROW(),2)=0</formula>
    </cfRule>
  </conditionalFormatting>
  <conditionalFormatting sqref="H48:I48">
    <cfRule type="expression" dxfId="377" priority="209">
      <formula>MOD(ROW(),2)=0</formula>
    </cfRule>
  </conditionalFormatting>
  <conditionalFormatting sqref="O31:Q31">
    <cfRule type="expression" dxfId="376" priority="221">
      <formula>MOD(ROW(),2)=0</formula>
    </cfRule>
  </conditionalFormatting>
  <conditionalFormatting sqref="G32:N32">
    <cfRule type="expression" dxfId="375" priority="220">
      <formula>MOD(ROW(),2)=0</formula>
    </cfRule>
  </conditionalFormatting>
  <conditionalFormatting sqref="O32:Q32">
    <cfRule type="expression" dxfId="374" priority="219">
      <formula>MOD(ROW(),2)=0</formula>
    </cfRule>
  </conditionalFormatting>
  <conditionalFormatting sqref="Q39 J39:N39 G39">
    <cfRule type="expression" dxfId="373" priority="218">
      <formula>MOD(ROW(),2)=0</formula>
    </cfRule>
  </conditionalFormatting>
  <conditionalFormatting sqref="H39:I39">
    <cfRule type="expression" dxfId="372" priority="217">
      <formula>MOD(ROW(),2)=0</formula>
    </cfRule>
  </conditionalFormatting>
  <conditionalFormatting sqref="K40:N40 G40">
    <cfRule type="expression" dxfId="371" priority="215">
      <formula>MOD(ROW(),2)=0</formula>
    </cfRule>
  </conditionalFormatting>
  <conditionalFormatting sqref="Q57 J57:N57 G57">
    <cfRule type="expression" dxfId="370" priority="202">
      <formula>MOD(ROW(),2)=0</formula>
    </cfRule>
  </conditionalFormatting>
  <conditionalFormatting sqref="O40:Q40">
    <cfRule type="expression" dxfId="369" priority="213">
      <formula>MOD(ROW(),2)=0</formula>
    </cfRule>
  </conditionalFormatting>
  <conditionalFormatting sqref="G41:N41">
    <cfRule type="expression" dxfId="368" priority="212">
      <formula>MOD(ROW(),2)=0</formula>
    </cfRule>
  </conditionalFormatting>
  <conditionalFormatting sqref="O41:Q41">
    <cfRule type="expression" dxfId="367" priority="211">
      <formula>MOD(ROW(),2)=0</formula>
    </cfRule>
  </conditionalFormatting>
  <conditionalFormatting sqref="Q48 J48:N48 G48">
    <cfRule type="expression" dxfId="366" priority="210">
      <formula>MOD(ROW(),2)=0</formula>
    </cfRule>
  </conditionalFormatting>
  <conditionalFormatting sqref="O48:P48">
    <cfRule type="expression" dxfId="365" priority="208">
      <formula>MOD(ROW(),2)=0</formula>
    </cfRule>
  </conditionalFormatting>
  <conditionalFormatting sqref="K49:N49 G49">
    <cfRule type="expression" dxfId="364" priority="207">
      <formula>MOD(ROW(),2)=0</formula>
    </cfRule>
  </conditionalFormatting>
  <conditionalFormatting sqref="O59:Q59">
    <cfRule type="expression" dxfId="363" priority="195">
      <formula>MOD(ROW(),2)=0</formula>
    </cfRule>
  </conditionalFormatting>
  <conditionalFormatting sqref="O49:Q49">
    <cfRule type="expression" dxfId="362" priority="205">
      <formula>MOD(ROW(),2)=0</formula>
    </cfRule>
  </conditionalFormatting>
  <conditionalFormatting sqref="G50:N50">
    <cfRule type="expression" dxfId="361" priority="204">
      <formula>MOD(ROW(),2)=0</formula>
    </cfRule>
  </conditionalFormatting>
  <conditionalFormatting sqref="O50:Q50">
    <cfRule type="expression" dxfId="360" priority="203">
      <formula>MOD(ROW(),2)=0</formula>
    </cfRule>
  </conditionalFormatting>
  <conditionalFormatting sqref="H57:I57">
    <cfRule type="expression" dxfId="359" priority="201">
      <formula>MOD(ROW(),2)=0</formula>
    </cfRule>
  </conditionalFormatting>
  <conditionalFormatting sqref="O57:P57">
    <cfRule type="expression" dxfId="358" priority="200">
      <formula>MOD(ROW(),2)=0</formula>
    </cfRule>
  </conditionalFormatting>
  <conditionalFormatting sqref="K58:N58 G58">
    <cfRule type="expression" dxfId="357" priority="199">
      <formula>MOD(ROW(),2)=0</formula>
    </cfRule>
  </conditionalFormatting>
  <conditionalFormatting sqref="G68:N68">
    <cfRule type="expression" dxfId="356" priority="188">
      <formula>MOD(ROW(),2)=0</formula>
    </cfRule>
  </conditionalFormatting>
  <conditionalFormatting sqref="O58:Q58">
    <cfRule type="expression" dxfId="355" priority="197">
      <formula>MOD(ROW(),2)=0</formula>
    </cfRule>
  </conditionalFormatting>
  <conditionalFormatting sqref="G59:N59">
    <cfRule type="expression" dxfId="354" priority="196">
      <formula>MOD(ROW(),2)=0</formula>
    </cfRule>
  </conditionalFormatting>
  <conditionalFormatting sqref="Q66 J66:N66 G66">
    <cfRule type="expression" dxfId="353" priority="194">
      <formula>MOD(ROW(),2)=0</formula>
    </cfRule>
  </conditionalFormatting>
  <conditionalFormatting sqref="H66:I66">
    <cfRule type="expression" dxfId="352" priority="193">
      <formula>MOD(ROW(),2)=0</formula>
    </cfRule>
  </conditionalFormatting>
  <conditionalFormatting sqref="O66:P66">
    <cfRule type="expression" dxfId="351" priority="192">
      <formula>MOD(ROW(),2)=0</formula>
    </cfRule>
  </conditionalFormatting>
  <conditionalFormatting sqref="K67:N67 G67">
    <cfRule type="expression" dxfId="350" priority="191">
      <formula>MOD(ROW(),2)=0</formula>
    </cfRule>
  </conditionalFormatting>
  <conditionalFormatting sqref="O76:Q76">
    <cfRule type="expression" dxfId="349" priority="181">
      <formula>MOD(ROW(),2)=0</formula>
    </cfRule>
  </conditionalFormatting>
  <conditionalFormatting sqref="O67:Q67">
    <cfRule type="expression" dxfId="348" priority="189">
      <formula>MOD(ROW(),2)=0</formula>
    </cfRule>
  </conditionalFormatting>
  <conditionalFormatting sqref="O68:Q68">
    <cfRule type="expression" dxfId="347" priority="187">
      <formula>MOD(ROW(),2)=0</formula>
    </cfRule>
  </conditionalFormatting>
  <conditionalFormatting sqref="Q75 J75:N75 G75">
    <cfRule type="expression" dxfId="346" priority="186">
      <formula>MOD(ROW(),2)=0</formula>
    </cfRule>
  </conditionalFormatting>
  <conditionalFormatting sqref="H75:I75">
    <cfRule type="expression" dxfId="345" priority="185">
      <formula>MOD(ROW(),2)=0</formula>
    </cfRule>
  </conditionalFormatting>
  <conditionalFormatting sqref="O75:P75">
    <cfRule type="expression" dxfId="344" priority="184">
      <formula>MOD(ROW(),2)=0</formula>
    </cfRule>
  </conditionalFormatting>
  <conditionalFormatting sqref="K76:N76 G76">
    <cfRule type="expression" dxfId="343" priority="183">
      <formula>MOD(ROW(),2)=0</formula>
    </cfRule>
  </conditionalFormatting>
  <conditionalFormatting sqref="G77:N77">
    <cfRule type="expression" dxfId="342" priority="180">
      <formula>MOD(ROW(),2)=0</formula>
    </cfRule>
  </conditionalFormatting>
  <conditionalFormatting sqref="O77:Q77">
    <cfRule type="expression" dxfId="341" priority="179">
      <formula>MOD(ROW(),2)=0</formula>
    </cfRule>
  </conditionalFormatting>
  <conditionalFormatting sqref="Q84 J84:N84 G84">
    <cfRule type="expression" dxfId="340" priority="178">
      <formula>MOD(ROW(),2)=0</formula>
    </cfRule>
  </conditionalFormatting>
  <conditionalFormatting sqref="H84:I84">
    <cfRule type="expression" dxfId="339" priority="177">
      <formula>MOD(ROW(),2)=0</formula>
    </cfRule>
  </conditionalFormatting>
  <conditionalFormatting sqref="O84:P84">
    <cfRule type="expression" dxfId="338" priority="176">
      <formula>MOD(ROW(),2)=0</formula>
    </cfRule>
  </conditionalFormatting>
  <conditionalFormatting sqref="K85:N85 G85">
    <cfRule type="expression" dxfId="337" priority="175">
      <formula>MOD(ROW(),2)=0</formula>
    </cfRule>
  </conditionalFormatting>
  <conditionalFormatting sqref="K94:N94 G94">
    <cfRule type="expression" dxfId="336" priority="167">
      <formula>MOD(ROW(),2)=0</formula>
    </cfRule>
  </conditionalFormatting>
  <conditionalFormatting sqref="O85:Q85">
    <cfRule type="expression" dxfId="335" priority="173">
      <formula>MOD(ROW(),2)=0</formula>
    </cfRule>
  </conditionalFormatting>
  <conditionalFormatting sqref="G86:N86">
    <cfRule type="expression" dxfId="334" priority="172">
      <formula>MOD(ROW(),2)=0</formula>
    </cfRule>
  </conditionalFormatting>
  <conditionalFormatting sqref="O86:Q86">
    <cfRule type="expression" dxfId="333" priority="171">
      <formula>MOD(ROW(),2)=0</formula>
    </cfRule>
  </conditionalFormatting>
  <conditionalFormatting sqref="Q93 J93:N93 G93">
    <cfRule type="expression" dxfId="332" priority="170">
      <formula>MOD(ROW(),2)=0</formula>
    </cfRule>
  </conditionalFormatting>
  <conditionalFormatting sqref="H93:I93">
    <cfRule type="expression" dxfId="331" priority="169">
      <formula>MOD(ROW(),2)=0</formula>
    </cfRule>
  </conditionalFormatting>
  <conditionalFormatting sqref="O93:P93">
    <cfRule type="expression" dxfId="330" priority="168">
      <formula>MOD(ROW(),2)=0</formula>
    </cfRule>
  </conditionalFormatting>
  <conditionalFormatting sqref="O102:P102">
    <cfRule type="expression" dxfId="329" priority="160">
      <formula>MOD(ROW(),2)=0</formula>
    </cfRule>
  </conditionalFormatting>
  <conditionalFormatting sqref="O94:Q94">
    <cfRule type="expression" dxfId="328" priority="165">
      <formula>MOD(ROW(),2)=0</formula>
    </cfRule>
  </conditionalFormatting>
  <conditionalFormatting sqref="G95:N95">
    <cfRule type="expression" dxfId="327" priority="164">
      <formula>MOD(ROW(),2)=0</formula>
    </cfRule>
  </conditionalFormatting>
  <conditionalFormatting sqref="O95:Q95">
    <cfRule type="expression" dxfId="326" priority="163">
      <formula>MOD(ROW(),2)=0</formula>
    </cfRule>
  </conditionalFormatting>
  <conditionalFormatting sqref="Q102 J102:N102 G102">
    <cfRule type="expression" dxfId="325" priority="162">
      <formula>MOD(ROW(),2)=0</formula>
    </cfRule>
  </conditionalFormatting>
  <conditionalFormatting sqref="H102:I102">
    <cfRule type="expression" dxfId="324" priority="161">
      <formula>MOD(ROW(),2)=0</formula>
    </cfRule>
  </conditionalFormatting>
  <conditionalFormatting sqref="K103:N103 G103">
    <cfRule type="expression" dxfId="323" priority="159">
      <formula>MOD(ROW(),2)=0</formula>
    </cfRule>
  </conditionalFormatting>
  <conditionalFormatting sqref="H111:I111">
    <cfRule type="expression" dxfId="322" priority="153">
      <formula>MOD(ROW(),2)=0</formula>
    </cfRule>
  </conditionalFormatting>
  <conditionalFormatting sqref="O103:Q103">
    <cfRule type="expression" dxfId="321" priority="157">
      <formula>MOD(ROW(),2)=0</formula>
    </cfRule>
  </conditionalFormatting>
  <conditionalFormatting sqref="G104:N104">
    <cfRule type="expression" dxfId="320" priority="156">
      <formula>MOD(ROW(),2)=0</formula>
    </cfRule>
  </conditionalFormatting>
  <conditionalFormatting sqref="O104:Q104">
    <cfRule type="expression" dxfId="319" priority="155">
      <formula>MOD(ROW(),2)=0</formula>
    </cfRule>
  </conditionalFormatting>
  <conditionalFormatting sqref="Q111 J111:N111 G111">
    <cfRule type="expression" dxfId="318" priority="154">
      <formula>MOD(ROW(),2)=0</formula>
    </cfRule>
  </conditionalFormatting>
  <conditionalFormatting sqref="O111:P111">
    <cfRule type="expression" dxfId="317" priority="152">
      <formula>MOD(ROW(),2)=0</formula>
    </cfRule>
  </conditionalFormatting>
  <conditionalFormatting sqref="K112:N112 G112">
    <cfRule type="expression" dxfId="316" priority="151">
      <formula>MOD(ROW(),2)=0</formula>
    </cfRule>
  </conditionalFormatting>
  <conditionalFormatting sqref="Q120 J120:N120 G120">
    <cfRule type="expression" dxfId="315" priority="146">
      <formula>MOD(ROW(),2)=0</formula>
    </cfRule>
  </conditionalFormatting>
  <conditionalFormatting sqref="O112:Q112">
    <cfRule type="expression" dxfId="314" priority="149">
      <formula>MOD(ROW(),2)=0</formula>
    </cfRule>
  </conditionalFormatting>
  <conditionalFormatting sqref="G113:N113">
    <cfRule type="expression" dxfId="313" priority="148">
      <formula>MOD(ROW(),2)=0</formula>
    </cfRule>
  </conditionalFormatting>
  <conditionalFormatting sqref="O113:Q113">
    <cfRule type="expression" dxfId="312" priority="147">
      <formula>MOD(ROW(),2)=0</formula>
    </cfRule>
  </conditionalFormatting>
  <conditionalFormatting sqref="H120:I120">
    <cfRule type="expression" dxfId="311" priority="145">
      <formula>MOD(ROW(),2)=0</formula>
    </cfRule>
  </conditionalFormatting>
  <conditionalFormatting sqref="O120:P120">
    <cfRule type="expression" dxfId="310" priority="144">
      <formula>MOD(ROW(),2)=0</formula>
    </cfRule>
  </conditionalFormatting>
  <conditionalFormatting sqref="K121:N121 G121">
    <cfRule type="expression" dxfId="309" priority="143">
      <formula>MOD(ROW(),2)=0</formula>
    </cfRule>
  </conditionalFormatting>
  <conditionalFormatting sqref="O122:Q122">
    <cfRule type="expression" dxfId="308" priority="139">
      <formula>MOD(ROW(),2)=0</formula>
    </cfRule>
  </conditionalFormatting>
  <conditionalFormatting sqref="O121:Q121">
    <cfRule type="expression" dxfId="307" priority="141">
      <formula>MOD(ROW(),2)=0</formula>
    </cfRule>
  </conditionalFormatting>
  <conditionalFormatting sqref="G122:N122">
    <cfRule type="expression" dxfId="306" priority="140">
      <formula>MOD(ROW(),2)=0</formula>
    </cfRule>
  </conditionalFormatting>
  <conditionalFormatting sqref="Q138 J138:N138 G138">
    <cfRule type="expression" dxfId="305" priority="138">
      <formula>MOD(ROW(),2)=0</formula>
    </cfRule>
  </conditionalFormatting>
  <conditionalFormatting sqref="H138:I138">
    <cfRule type="expression" dxfId="304" priority="137">
      <formula>MOD(ROW(),2)=0</formula>
    </cfRule>
  </conditionalFormatting>
  <conditionalFormatting sqref="O138:P138">
    <cfRule type="expression" dxfId="303" priority="136">
      <formula>MOD(ROW(),2)=0</formula>
    </cfRule>
  </conditionalFormatting>
  <conditionalFormatting sqref="K139:N139 G139">
    <cfRule type="expression" dxfId="302" priority="135">
      <formula>MOD(ROW(),2)=0</formula>
    </cfRule>
  </conditionalFormatting>
  <conditionalFormatting sqref="O139:Q139">
    <cfRule type="expression" dxfId="301" priority="133">
      <formula>MOD(ROW(),2)=0</formula>
    </cfRule>
  </conditionalFormatting>
  <conditionalFormatting sqref="G140:N140">
    <cfRule type="expression" dxfId="300" priority="132">
      <formula>MOD(ROW(),2)=0</formula>
    </cfRule>
  </conditionalFormatting>
  <conditionalFormatting sqref="O140:Q140">
    <cfRule type="expression" dxfId="299" priority="131">
      <formula>MOD(ROW(),2)=0</formula>
    </cfRule>
  </conditionalFormatting>
  <conditionalFormatting sqref="O28">
    <cfRule type="expression" dxfId="298" priority="130">
      <formula>MOD(ROW(),2)=0</formula>
    </cfRule>
  </conditionalFormatting>
  <conditionalFormatting sqref="O55">
    <cfRule type="expression" dxfId="297" priority="129">
      <formula>MOD(ROW(),2)=0</formula>
    </cfRule>
  </conditionalFormatting>
  <conditionalFormatting sqref="O82">
    <cfRule type="expression" dxfId="296" priority="128">
      <formula>MOD(ROW(),2)=0</formula>
    </cfRule>
  </conditionalFormatting>
  <conditionalFormatting sqref="O109">
    <cfRule type="expression" dxfId="295" priority="127">
      <formula>MOD(ROW(),2)=0</formula>
    </cfRule>
  </conditionalFormatting>
  <conditionalFormatting sqref="O136">
    <cfRule type="expression" dxfId="294" priority="126">
      <formula>MOD(ROW(),2)=0</formula>
    </cfRule>
  </conditionalFormatting>
  <conditionalFormatting sqref="B15:D15">
    <cfRule type="expression" dxfId="293" priority="1825">
      <formula>AND(B15=B14,MOD(ROW(),2)=1)</formula>
    </cfRule>
    <cfRule type="expression" dxfId="292" priority="1826">
      <formula>AND(B15=B14,MOD(ROW(),2)=0)</formula>
    </cfRule>
  </conditionalFormatting>
  <conditionalFormatting sqref="J18:N19 B18:G19 B20:R21 B23:R30 B22:G22 K22:R22 B32:R39 B31:G31 K31:R31 B41:R48 B40:G40 K40:R40 B50:R57 B49:G49 K49:R49 B59:R66 B58:G58 K58:R58 B68:R75 B67:G67 K67:R67 B76:G76 K76:R76 B86:R93 B85:G85 K85:R85 B95:R102 B94:G94 K94:R94 B103:G103 K103:R103 B113:R120 B112:G112 K112:R112 B122:R129 B121:G121 K121:R121 B130:G130 K130:R130 B140:R141 B139:G139 K139:R139 B77:R84 B104:R111 B131:R138">
    <cfRule type="expression" dxfId="291" priority="123">
      <formula>MOD(ROW(),2)=0</formula>
    </cfRule>
  </conditionalFormatting>
  <conditionalFormatting sqref="Q131">
    <cfRule type="expression" dxfId="290" priority="16">
      <formula>MOD(ROW(),2)=0</formula>
    </cfRule>
  </conditionalFormatting>
  <conditionalFormatting sqref="H22:J22">
    <cfRule type="expression" dxfId="289" priority="15">
      <formula>MOD(ROW(),2)=0</formula>
    </cfRule>
  </conditionalFormatting>
  <conditionalFormatting sqref="H31:J31">
    <cfRule type="expression" dxfId="288" priority="14">
      <formula>MOD(ROW(),2)=0</formula>
    </cfRule>
  </conditionalFormatting>
  <conditionalFormatting sqref="H40:J40">
    <cfRule type="expression" dxfId="287" priority="13">
      <formula>MOD(ROW(),2)=0</formula>
    </cfRule>
  </conditionalFormatting>
  <conditionalFormatting sqref="H49:J49">
    <cfRule type="expression" dxfId="286" priority="12">
      <formula>MOD(ROW(),2)=0</formula>
    </cfRule>
  </conditionalFormatting>
  <conditionalFormatting sqref="H58:J58">
    <cfRule type="expression" dxfId="285" priority="11">
      <formula>MOD(ROW(),2)=0</formula>
    </cfRule>
  </conditionalFormatting>
  <conditionalFormatting sqref="H67:J67">
    <cfRule type="expression" dxfId="284" priority="10">
      <formula>MOD(ROW(),2)=0</formula>
    </cfRule>
  </conditionalFormatting>
  <conditionalFormatting sqref="H76:J76">
    <cfRule type="expression" dxfId="283" priority="9">
      <formula>MOD(ROW(),2)=0</formula>
    </cfRule>
  </conditionalFormatting>
  <conditionalFormatting sqref="H85:J85">
    <cfRule type="expression" dxfId="282" priority="8">
      <formula>MOD(ROW(),2)=0</formula>
    </cfRule>
  </conditionalFormatting>
  <conditionalFormatting sqref="H94:J94">
    <cfRule type="expression" dxfId="281" priority="7">
      <formula>MOD(ROW(),2)=0</formula>
    </cfRule>
  </conditionalFormatting>
  <conditionalFormatting sqref="H103:J103">
    <cfRule type="expression" dxfId="280" priority="6">
      <formula>MOD(ROW(),2)=0</formula>
    </cfRule>
  </conditionalFormatting>
  <conditionalFormatting sqref="H112:J112">
    <cfRule type="expression" dxfId="279" priority="5">
      <formula>MOD(ROW(),2)=0</formula>
    </cfRule>
  </conditionalFormatting>
  <conditionalFormatting sqref="H121:J121">
    <cfRule type="expression" dxfId="278" priority="4">
      <formula>MOD(ROW(),2)=0</formula>
    </cfRule>
  </conditionalFormatting>
  <conditionalFormatting sqref="H130:J130">
    <cfRule type="expression" dxfId="277" priority="3">
      <formula>MOD(ROW(),2)=0</formula>
    </cfRule>
  </conditionalFormatting>
  <conditionalFormatting sqref="H139:J139">
    <cfRule type="expression" dxfId="276" priority="2">
      <formula>MOD(ROW(),2)=0</formula>
    </cfRule>
  </conditionalFormatting>
  <conditionalFormatting sqref="J131">
    <cfRule type="expression" dxfId="275" priority="1">
      <formula>MOD(ROW(),2)=0</formula>
    </cfRule>
  </conditionalFormatting>
  <hyperlinks>
    <hyperlink ref="A1" location="Index!A1" display="&lt;&lt;Back to Index" xr:uid="{271806FF-0D5A-4F33-BB81-36C2F6FC7264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theme="0" tint="-0.249977111117893"/>
  </sheetPr>
  <dimension ref="F9:F14"/>
  <sheetViews>
    <sheetView workbookViewId="0"/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181</v>
      </c>
    </row>
    <row r="10" spans="6:6" ht="36" x14ac:dyDescent="0.25">
      <c r="F10" s="2" t="str">
        <f>"DMO "&amp;FY</f>
        <v>DMO 2023-24</v>
      </c>
    </row>
    <row r="11" spans="6:6" ht="23.25" x14ac:dyDescent="0.25">
      <c r="F11" s="4"/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</sheetData>
  <pageMargins left="0.7" right="0.7" top="0.75" bottom="0.75" header="0.3" footer="0.3"/>
  <headerFooter>
    <oddHeader>&amp;C&amp;"Calibri"&amp;12&amp;KFF0000 OFFICIAL&amp;1#_x000D_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theme="0" tint="-0.249977111117893"/>
  </sheetPr>
  <dimension ref="A1:U65"/>
  <sheetViews>
    <sheetView topLeftCell="A3" zoomScaleNormal="100" workbookViewId="0">
      <selection activeCell="J10" sqref="J10:J11"/>
    </sheetView>
  </sheetViews>
  <sheetFormatPr defaultColWidth="8.85546875" defaultRowHeight="15" x14ac:dyDescent="0.25"/>
  <cols>
    <col min="1" max="1" width="11.140625" style="3" customWidth="1"/>
    <col min="2" max="2" width="53.28515625" style="3" bestFit="1" customWidth="1"/>
    <col min="3" max="3" width="13.42578125" style="3" bestFit="1" customWidth="1"/>
    <col min="4" max="4" width="13.85546875" style="20" customWidth="1"/>
    <col min="5" max="7" width="15.85546875" style="20" customWidth="1"/>
    <col min="8" max="14" width="15.85546875" style="3" customWidth="1"/>
    <col min="15" max="15" width="13.140625" style="3" customWidth="1"/>
    <col min="16" max="16" width="14.140625" style="3" customWidth="1"/>
    <col min="17" max="19" width="13.140625" style="3" customWidth="1"/>
    <col min="20" max="16384" width="8.85546875" style="3"/>
  </cols>
  <sheetData>
    <row r="1" spans="1:18" ht="10.35" customHeight="1" x14ac:dyDescent="0.25">
      <c r="A1" s="286" t="s">
        <v>21</v>
      </c>
      <c r="B1" s="291"/>
      <c r="C1" s="20"/>
    </row>
    <row r="2" spans="1:18" s="14" customFormat="1" ht="22.5" customHeight="1" x14ac:dyDescent="0.25">
      <c r="A2" s="15" t="s">
        <v>141</v>
      </c>
      <c r="B2" s="15"/>
      <c r="C2" s="21"/>
      <c r="D2" s="21"/>
      <c r="E2" s="21"/>
      <c r="F2" s="21"/>
      <c r="G2" s="21"/>
    </row>
    <row r="3" spans="1:18" x14ac:dyDescent="0.25">
      <c r="B3" s="113" t="s">
        <v>149</v>
      </c>
    </row>
    <row r="4" spans="1:18" ht="15.75" x14ac:dyDescent="0.25">
      <c r="B4" s="34" t="s">
        <v>142</v>
      </c>
    </row>
    <row r="5" spans="1:18" x14ac:dyDescent="0.25">
      <c r="B5" s="24" t="s">
        <v>32</v>
      </c>
      <c r="C5" s="171" t="s">
        <v>31</v>
      </c>
      <c r="D5" s="12" t="s">
        <v>193</v>
      </c>
    </row>
    <row r="6" spans="1:18" x14ac:dyDescent="0.25">
      <c r="B6" s="3" t="s">
        <v>45</v>
      </c>
      <c r="C6" s="169" t="s">
        <v>239</v>
      </c>
      <c r="D6" s="3"/>
    </row>
    <row r="7" spans="1:18" x14ac:dyDescent="0.25">
      <c r="B7" s="3" t="s">
        <v>44</v>
      </c>
      <c r="C7" s="169" t="s">
        <v>196</v>
      </c>
      <c r="D7" s="3"/>
    </row>
    <row r="8" spans="1:18" x14ac:dyDescent="0.25">
      <c r="B8" s="3" t="s">
        <v>144</v>
      </c>
      <c r="C8" s="169" t="s">
        <v>238</v>
      </c>
      <c r="D8" s="3"/>
    </row>
    <row r="9" spans="1:18" x14ac:dyDescent="0.25">
      <c r="B9" s="3" t="str">
        <f>"Forecast CPI "&amp;PY&amp;" adjustment for 30 June 2021 retail costs"</f>
        <v>Forecast CPI 2022-23 adjustment for 30 June 2021 retail costs</v>
      </c>
      <c r="C9" s="168">
        <f>(1.055*1.0425)-1</f>
        <v>9.9837500000000023E-2</v>
      </c>
      <c r="D9" s="163" t="s">
        <v>237</v>
      </c>
    </row>
    <row r="10" spans="1:18" x14ac:dyDescent="0.25">
      <c r="B10" s="3" t="str">
        <f>"Forecast CPI "&amp;FY&amp;" adjustment for 30 June 2022 retail costs"</f>
        <v>Forecast CPI 2023-24 adjustment for 30 June 2022 retail costs</v>
      </c>
      <c r="C10" s="168">
        <f>((1+I10)*(1+K10))-1</f>
        <v>0.10486249999999986</v>
      </c>
      <c r="D10" s="163" t="s">
        <v>276</v>
      </c>
      <c r="H10" s="334" t="s">
        <v>286</v>
      </c>
      <c r="I10" s="335">
        <v>6.7500000000000004E-2</v>
      </c>
      <c r="J10" s="334" t="s">
        <v>287</v>
      </c>
      <c r="K10" s="335">
        <v>3.5000000000000003E-2</v>
      </c>
    </row>
    <row r="11" spans="1:18" x14ac:dyDescent="0.25">
      <c r="B11" s="3" t="s">
        <v>34</v>
      </c>
      <c r="C11" s="169">
        <v>366</v>
      </c>
      <c r="D11" s="3"/>
      <c r="H11" s="334"/>
      <c r="I11" s="335"/>
      <c r="J11" s="334"/>
      <c r="K11" s="335"/>
    </row>
    <row r="12" spans="1:18" x14ac:dyDescent="0.25">
      <c r="B12" s="3" t="s">
        <v>41</v>
      </c>
      <c r="C12" s="170">
        <v>0.1</v>
      </c>
      <c r="D12" s="3"/>
      <c r="H12" s="20"/>
      <c r="I12" s="233"/>
      <c r="J12" s="233"/>
    </row>
    <row r="13" spans="1:18" x14ac:dyDescent="0.25">
      <c r="B13" s="66"/>
      <c r="C13" s="66"/>
      <c r="D13" s="3"/>
      <c r="H13" s="20"/>
    </row>
    <row r="14" spans="1:18" x14ac:dyDescent="0.25">
      <c r="C14" s="105"/>
      <c r="D14" s="3"/>
      <c r="H14" s="20"/>
    </row>
    <row r="15" spans="1:18" ht="15.75" x14ac:dyDescent="0.25">
      <c r="B15" s="34" t="s">
        <v>143</v>
      </c>
      <c r="C15" s="26"/>
      <c r="D15" s="3"/>
      <c r="F15" s="230"/>
      <c r="O15" s="333" t="s">
        <v>283</v>
      </c>
      <c r="P15" s="333"/>
      <c r="Q15" s="333"/>
      <c r="R15" s="333"/>
    </row>
    <row r="16" spans="1:18" s="5" customFormat="1" x14ac:dyDescent="0.25">
      <c r="B16" s="94" t="s">
        <v>95</v>
      </c>
      <c r="D16" s="25"/>
      <c r="E16" s="268"/>
      <c r="F16" s="281"/>
      <c r="G16" s="283"/>
      <c r="H16" s="164"/>
    </row>
    <row r="17" spans="1:21" s="5" customFormat="1" x14ac:dyDescent="0.25">
      <c r="A17" s="12"/>
      <c r="B17" s="12"/>
      <c r="C17" s="12"/>
      <c r="D17" s="12"/>
      <c r="E17" s="328" t="s">
        <v>63</v>
      </c>
      <c r="F17" s="329"/>
      <c r="G17" s="329"/>
      <c r="H17" s="330"/>
      <c r="I17" s="331" t="s">
        <v>67</v>
      </c>
      <c r="J17" s="332"/>
      <c r="K17" s="325" t="s">
        <v>69</v>
      </c>
      <c r="L17" s="326"/>
      <c r="M17" s="327" t="s">
        <v>70</v>
      </c>
      <c r="N17" s="327"/>
      <c r="O17" s="323" t="str">
        <f>"Source NUOS "&amp;PY</f>
        <v>Source NUOS 2022-23</v>
      </c>
      <c r="P17" s="323" t="str">
        <f>"Source NUOS "&amp;FY</f>
        <v>Source NUOS 2023-24</v>
      </c>
      <c r="Q17" s="323" t="str">
        <f>"Source ACS "&amp;PY</f>
        <v>Source ACS 2022-23</v>
      </c>
      <c r="R17" s="321" t="str">
        <f>"Source ACS "&amp;FY</f>
        <v>Source ACS 2023-24</v>
      </c>
      <c r="S17" s="321" t="s">
        <v>217</v>
      </c>
    </row>
    <row r="18" spans="1:21" s="5" customFormat="1" ht="5.0999999999999996" customHeight="1" x14ac:dyDescent="0.25">
      <c r="A18" s="12"/>
      <c r="B18" s="12"/>
      <c r="C18" s="12"/>
      <c r="D18" s="12"/>
      <c r="E18" s="153" t="str">
        <f>E17</f>
        <v>NUOS</v>
      </c>
      <c r="F18" s="75" t="str">
        <f>E17</f>
        <v>NUOS</v>
      </c>
      <c r="G18" s="75" t="str">
        <f>E17</f>
        <v>NUOS</v>
      </c>
      <c r="H18" s="154" t="str">
        <f>E17</f>
        <v>NUOS</v>
      </c>
      <c r="I18" s="153" t="str">
        <f>I17</f>
        <v>ACS</v>
      </c>
      <c r="J18" s="154" t="str">
        <f>I17</f>
        <v>ACS</v>
      </c>
      <c r="K18" s="153" t="str">
        <f>K17</f>
        <v>Wholesale cost</v>
      </c>
      <c r="L18" s="154" t="str">
        <f>K17</f>
        <v>Wholesale cost</v>
      </c>
      <c r="M18" s="75" t="str">
        <f>M17</f>
        <v>Environmental cost</v>
      </c>
      <c r="N18" s="75" t="str">
        <f>M17</f>
        <v>Environmental cost</v>
      </c>
      <c r="O18" s="323"/>
      <c r="P18" s="324"/>
      <c r="Q18" s="324"/>
      <c r="R18" s="322"/>
      <c r="S18" s="322"/>
    </row>
    <row r="19" spans="1:21" s="5" customFormat="1" ht="15" customHeight="1" x14ac:dyDescent="0.25">
      <c r="A19" s="24" t="s">
        <v>262</v>
      </c>
      <c r="B19" s="24" t="s">
        <v>1</v>
      </c>
      <c r="C19" s="24" t="s">
        <v>39</v>
      </c>
      <c r="D19" s="24" t="s">
        <v>25</v>
      </c>
      <c r="E19" s="177" t="str">
        <f>PY</f>
        <v>2022-23</v>
      </c>
      <c r="F19" s="178" t="str">
        <f>FY</f>
        <v>2023-24</v>
      </c>
      <c r="G19" s="178" t="str">
        <f>PY</f>
        <v>2022-23</v>
      </c>
      <c r="H19" s="179" t="str">
        <f>FY</f>
        <v>2023-24</v>
      </c>
      <c r="I19" s="177" t="str">
        <f>PY</f>
        <v>2022-23</v>
      </c>
      <c r="J19" s="179" t="str">
        <f>FY</f>
        <v>2023-24</v>
      </c>
      <c r="K19" s="177" t="str">
        <f>PY</f>
        <v>2022-23</v>
      </c>
      <c r="L19" s="179" t="str">
        <f>FY</f>
        <v>2023-24</v>
      </c>
      <c r="M19" s="178" t="str">
        <f>PY</f>
        <v>2022-23</v>
      </c>
      <c r="N19" s="178" t="str">
        <f>FY</f>
        <v>2023-24</v>
      </c>
      <c r="O19" s="323"/>
      <c r="P19" s="324"/>
      <c r="Q19" s="324"/>
      <c r="R19" s="322"/>
      <c r="S19" s="322"/>
    </row>
    <row r="20" spans="1:21" s="5" customFormat="1" x14ac:dyDescent="0.25">
      <c r="A20" s="12"/>
      <c r="B20" s="12"/>
      <c r="C20" s="24"/>
      <c r="D20" s="24"/>
      <c r="E20" s="177" t="s">
        <v>49</v>
      </c>
      <c r="F20" s="178" t="s">
        <v>49</v>
      </c>
      <c r="G20" s="178" t="s">
        <v>50</v>
      </c>
      <c r="H20" s="179" t="s">
        <v>50</v>
      </c>
      <c r="I20" s="177" t="s">
        <v>49</v>
      </c>
      <c r="J20" s="179" t="s">
        <v>49</v>
      </c>
      <c r="K20" s="177" t="s">
        <v>50</v>
      </c>
      <c r="L20" s="179" t="s">
        <v>50</v>
      </c>
      <c r="M20" s="178" t="s">
        <v>50</v>
      </c>
      <c r="N20" s="178" t="s">
        <v>50</v>
      </c>
      <c r="O20" s="323"/>
      <c r="P20" s="324"/>
      <c r="Q20" s="324"/>
      <c r="R20" s="322"/>
      <c r="S20" s="322"/>
    </row>
    <row r="21" spans="1:21" s="5" customFormat="1" x14ac:dyDescent="0.25">
      <c r="A21" s="12"/>
      <c r="B21" s="12"/>
      <c r="C21" s="12"/>
      <c r="D21" s="12"/>
      <c r="E21" s="177" t="s">
        <v>185</v>
      </c>
      <c r="F21" s="178" t="s">
        <v>185</v>
      </c>
      <c r="G21" s="178" t="s">
        <v>47</v>
      </c>
      <c r="H21" s="179" t="s">
        <v>47</v>
      </c>
      <c r="I21" s="177" t="s">
        <v>185</v>
      </c>
      <c r="J21" s="179" t="s">
        <v>185</v>
      </c>
      <c r="K21" s="177" t="s">
        <v>47</v>
      </c>
      <c r="L21" s="179" t="s">
        <v>47</v>
      </c>
      <c r="M21" s="178" t="s">
        <v>47</v>
      </c>
      <c r="N21" s="178" t="s">
        <v>47</v>
      </c>
      <c r="O21" s="323"/>
      <c r="P21" s="324"/>
      <c r="Q21" s="324"/>
      <c r="R21" s="322"/>
      <c r="S21" s="322"/>
      <c r="T21" s="3"/>
    </row>
    <row r="22" spans="1:21" x14ac:dyDescent="0.25">
      <c r="A22" s="155" t="s">
        <v>249</v>
      </c>
      <c r="B22" s="58" t="s">
        <v>2</v>
      </c>
      <c r="C22" s="58" t="s">
        <v>6</v>
      </c>
      <c r="D22" s="58" t="s">
        <v>22</v>
      </c>
      <c r="E22" s="176">
        <v>119.04913000000001</v>
      </c>
      <c r="F22" s="176">
        <f>37.1091433673296*C11/100</f>
        <v>135.81946472442635</v>
      </c>
      <c r="G22" s="176">
        <v>88.05</v>
      </c>
      <c r="H22" s="176">
        <f>9.02635913794737*1000/100</f>
        <v>90.263591379473709</v>
      </c>
      <c r="I22" s="176">
        <v>27.03</v>
      </c>
      <c r="J22" s="176">
        <v>28.759999999999998</v>
      </c>
      <c r="K22" s="176">
        <v>122.23</v>
      </c>
      <c r="L22" s="176">
        <v>185.28</v>
      </c>
      <c r="M22" s="176">
        <v>20.68</v>
      </c>
      <c r="N22" s="176">
        <v>18.72</v>
      </c>
      <c r="O22" t="s">
        <v>240</v>
      </c>
      <c r="P22" t="s">
        <v>285</v>
      </c>
      <c r="Q22" t="s">
        <v>240</v>
      </c>
      <c r="R22" t="s">
        <v>285</v>
      </c>
      <c r="S22" s="58" t="s">
        <v>218</v>
      </c>
      <c r="T22" s="58"/>
      <c r="U22" s="160"/>
    </row>
    <row r="23" spans="1:21" x14ac:dyDescent="0.25">
      <c r="A23" s="155" t="s">
        <v>259</v>
      </c>
      <c r="B23" s="58" t="s">
        <v>2</v>
      </c>
      <c r="C23" s="58" t="s">
        <v>6</v>
      </c>
      <c r="D23" s="58" t="s">
        <v>16</v>
      </c>
      <c r="E23" s="176">
        <v>2.8973699999999996</v>
      </c>
      <c r="F23" s="176">
        <f>1.03195946135535*C11/100</f>
        <v>3.7769716285605806</v>
      </c>
      <c r="G23" s="176">
        <f>1.7486/100*1000</f>
        <v>17.485999999999997</v>
      </c>
      <c r="H23" s="176">
        <f>1.25303173932825*1000/100</f>
        <v>12.5303173932825</v>
      </c>
      <c r="I23" s="176">
        <v>9.379999999999999</v>
      </c>
      <c r="J23" s="176">
        <v>9.84</v>
      </c>
      <c r="K23" s="176">
        <v>88.62</v>
      </c>
      <c r="L23" s="176">
        <v>114.53</v>
      </c>
      <c r="M23" s="176">
        <v>20.74</v>
      </c>
      <c r="N23" s="176">
        <v>18.77</v>
      </c>
      <c r="O23" t="s">
        <v>240</v>
      </c>
      <c r="P23" t="s">
        <v>285</v>
      </c>
      <c r="Q23" t="s">
        <v>240</v>
      </c>
      <c r="R23" t="s">
        <v>285</v>
      </c>
      <c r="S23" s="58" t="s">
        <v>219</v>
      </c>
      <c r="T23" s="58"/>
      <c r="U23" s="160"/>
    </row>
    <row r="24" spans="1:21" x14ac:dyDescent="0.25">
      <c r="A24" s="155" t="s">
        <v>260</v>
      </c>
      <c r="B24" s="58" t="s">
        <v>2</v>
      </c>
      <c r="C24" s="58" t="s">
        <v>6</v>
      </c>
      <c r="D24" s="58" t="s">
        <v>17</v>
      </c>
      <c r="E24" s="176">
        <v>38.207470000000001</v>
      </c>
      <c r="F24" s="176">
        <f>7.32744138560318*C11/100</f>
        <v>26.818435471307637</v>
      </c>
      <c r="G24" s="176">
        <v>40.092999999999996</v>
      </c>
      <c r="H24" s="176">
        <f>3.51371708103368*1000/100</f>
        <v>35.137170810336805</v>
      </c>
      <c r="I24" s="176">
        <v>9.379999999999999</v>
      </c>
      <c r="J24" s="176">
        <v>9.84</v>
      </c>
      <c r="K24" s="176">
        <v>87.26</v>
      </c>
      <c r="L24" s="176">
        <v>111.17</v>
      </c>
      <c r="M24" s="176">
        <v>20.74</v>
      </c>
      <c r="N24" s="176">
        <f>+N23</f>
        <v>18.77</v>
      </c>
      <c r="O24" t="s">
        <v>240</v>
      </c>
      <c r="P24" t="s">
        <v>285</v>
      </c>
      <c r="Q24" t="s">
        <v>240</v>
      </c>
      <c r="R24" t="s">
        <v>285</v>
      </c>
      <c r="S24" s="58" t="s">
        <v>220</v>
      </c>
      <c r="T24" s="58"/>
      <c r="U24" s="160"/>
    </row>
    <row r="25" spans="1:21" s="101" customFormat="1" x14ac:dyDescent="0.25">
      <c r="A25" s="220" t="s">
        <v>261</v>
      </c>
      <c r="B25" s="224" t="s">
        <v>2</v>
      </c>
      <c r="C25" s="224" t="s">
        <v>15</v>
      </c>
      <c r="D25" s="224" t="s">
        <v>22</v>
      </c>
      <c r="E25" s="226">
        <v>471.70775000000003</v>
      </c>
      <c r="F25" s="226">
        <f>139.584985584745*C11/100</f>
        <v>510.88104724016665</v>
      </c>
      <c r="G25" s="226">
        <v>77.342000000000013</v>
      </c>
      <c r="H25" s="226">
        <f>8.01664565241929*1000/100</f>
        <v>80.16645652419291</v>
      </c>
      <c r="I25" s="226">
        <v>35.39</v>
      </c>
      <c r="J25" s="226">
        <v>37.519999999999996</v>
      </c>
      <c r="K25" s="226">
        <v>122.23</v>
      </c>
      <c r="L25" s="226">
        <f>L22</f>
        <v>185.28</v>
      </c>
      <c r="M25" s="226">
        <v>20.68</v>
      </c>
      <c r="N25" s="226">
        <f>+N22</f>
        <v>18.72</v>
      </c>
      <c r="O25" s="227" t="s">
        <v>240</v>
      </c>
      <c r="P25" s="227" t="s">
        <v>285</v>
      </c>
      <c r="Q25" s="227" t="s">
        <v>240</v>
      </c>
      <c r="R25" s="227" t="s">
        <v>285</v>
      </c>
      <c r="S25" s="224" t="s">
        <v>221</v>
      </c>
      <c r="T25" s="224"/>
      <c r="U25" s="228"/>
    </row>
    <row r="26" spans="1:21" x14ac:dyDescent="0.25">
      <c r="A26" s="155" t="s">
        <v>250</v>
      </c>
      <c r="B26" s="58" t="s">
        <v>4</v>
      </c>
      <c r="C26" s="58" t="s">
        <v>6</v>
      </c>
      <c r="D26" s="58" t="s">
        <v>22</v>
      </c>
      <c r="E26" s="176">
        <v>159.61450000000002</v>
      </c>
      <c r="F26" s="176">
        <f>45.79*C11/100</f>
        <v>167.59139999999999</v>
      </c>
      <c r="G26" s="176">
        <v>84.179999999999993</v>
      </c>
      <c r="H26" s="176">
        <f>8.0973*1000/100</f>
        <v>80.972999999999999</v>
      </c>
      <c r="I26" s="176">
        <v>22.159999999999997</v>
      </c>
      <c r="J26" s="176">
        <v>24.349999999999998</v>
      </c>
      <c r="K26" s="176">
        <v>124.25</v>
      </c>
      <c r="L26" s="176">
        <v>188.98</v>
      </c>
      <c r="M26" s="176">
        <v>20.82</v>
      </c>
      <c r="N26" s="176">
        <v>18.88</v>
      </c>
      <c r="O26" t="s">
        <v>240</v>
      </c>
      <c r="P26" t="s">
        <v>285</v>
      </c>
      <c r="Q26" t="s">
        <v>240</v>
      </c>
      <c r="R26" t="s">
        <v>285</v>
      </c>
      <c r="S26" s="58" t="s">
        <v>222</v>
      </c>
      <c r="T26" s="58"/>
      <c r="U26" s="161"/>
    </row>
    <row r="27" spans="1:21" x14ac:dyDescent="0.25">
      <c r="A27" s="155" t="s">
        <v>251</v>
      </c>
      <c r="B27" s="58" t="s">
        <v>4</v>
      </c>
      <c r="C27" s="58" t="s">
        <v>6</v>
      </c>
      <c r="D27" s="58" t="s">
        <v>16</v>
      </c>
      <c r="E27" s="176">
        <v>16.279</v>
      </c>
      <c r="F27" s="176">
        <f>5.33*C11/100</f>
        <v>19.5078</v>
      </c>
      <c r="G27" s="176">
        <v>19.273</v>
      </c>
      <c r="H27" s="176">
        <f>1.6646*1000/100</f>
        <v>16.646000000000001</v>
      </c>
      <c r="I27" s="176">
        <v>7.25</v>
      </c>
      <c r="J27" s="176">
        <v>7.96</v>
      </c>
      <c r="K27" s="176">
        <v>114.5</v>
      </c>
      <c r="L27" s="176">
        <v>173.64</v>
      </c>
      <c r="M27" s="176">
        <v>20.82</v>
      </c>
      <c r="N27" s="176">
        <f>+N26</f>
        <v>18.88</v>
      </c>
      <c r="O27" t="s">
        <v>240</v>
      </c>
      <c r="P27" t="s">
        <v>285</v>
      </c>
      <c r="Q27" t="s">
        <v>240</v>
      </c>
      <c r="R27" t="s">
        <v>285</v>
      </c>
      <c r="S27" s="58" t="s">
        <v>223</v>
      </c>
      <c r="T27" s="58"/>
      <c r="U27" s="160"/>
    </row>
    <row r="28" spans="1:21" x14ac:dyDescent="0.25">
      <c r="A28" s="155" t="s">
        <v>252</v>
      </c>
      <c r="B28" s="58" t="s">
        <v>4</v>
      </c>
      <c r="C28" s="58" t="s">
        <v>6</v>
      </c>
      <c r="D28" s="58" t="s">
        <v>17</v>
      </c>
      <c r="E28" s="176">
        <v>16.279</v>
      </c>
      <c r="F28" s="176">
        <f>5.33*C11/100</f>
        <v>19.5078</v>
      </c>
      <c r="G28" s="176">
        <v>39.71</v>
      </c>
      <c r="H28" s="176">
        <f>3.5274*1000/100</f>
        <v>35.274000000000001</v>
      </c>
      <c r="I28" s="176">
        <v>7.25</v>
      </c>
      <c r="J28" s="176">
        <v>7.96</v>
      </c>
      <c r="K28" s="176">
        <v>114.5</v>
      </c>
      <c r="L28" s="176">
        <f>+L27</f>
        <v>173.64</v>
      </c>
      <c r="M28" s="176">
        <v>20.82</v>
      </c>
      <c r="N28" s="176">
        <f>+N27</f>
        <v>18.88</v>
      </c>
      <c r="O28" t="s">
        <v>240</v>
      </c>
      <c r="P28" t="s">
        <v>285</v>
      </c>
      <c r="Q28" t="s">
        <v>240</v>
      </c>
      <c r="R28" t="s">
        <v>285</v>
      </c>
      <c r="S28" s="58" t="s">
        <v>224</v>
      </c>
      <c r="T28" s="58"/>
      <c r="U28" s="160"/>
    </row>
    <row r="29" spans="1:21" s="101" customFormat="1" x14ac:dyDescent="0.25">
      <c r="A29" s="220" t="s">
        <v>253</v>
      </c>
      <c r="B29" s="224" t="s">
        <v>4</v>
      </c>
      <c r="C29" s="224" t="s">
        <v>15</v>
      </c>
      <c r="D29" s="224" t="s">
        <v>22</v>
      </c>
      <c r="E29" s="226">
        <v>228.45349999999999</v>
      </c>
      <c r="F29" s="226">
        <f>65.53*C11/100</f>
        <v>239.8398</v>
      </c>
      <c r="G29" s="226">
        <v>88.704999999999998</v>
      </c>
      <c r="H29" s="226">
        <f>8.599*1000/100</f>
        <v>85.99</v>
      </c>
      <c r="I29" s="226">
        <v>32.47</v>
      </c>
      <c r="J29" s="226">
        <v>35.67</v>
      </c>
      <c r="K29" s="226">
        <v>124.25</v>
      </c>
      <c r="L29" s="226">
        <f>L26</f>
        <v>188.98</v>
      </c>
      <c r="M29" s="226">
        <v>20.82</v>
      </c>
      <c r="N29" s="226">
        <f>+N28</f>
        <v>18.88</v>
      </c>
      <c r="O29" s="227" t="s">
        <v>240</v>
      </c>
      <c r="P29" s="227" t="s">
        <v>285</v>
      </c>
      <c r="Q29" s="227" t="s">
        <v>240</v>
      </c>
      <c r="R29" s="227" t="s">
        <v>285</v>
      </c>
      <c r="S29" s="224" t="s">
        <v>225</v>
      </c>
      <c r="T29" s="224"/>
      <c r="U29" s="228"/>
    </row>
    <row r="30" spans="1:21" x14ac:dyDescent="0.25">
      <c r="A30" s="155" t="s">
        <v>254</v>
      </c>
      <c r="B30" s="58" t="s">
        <v>3</v>
      </c>
      <c r="C30" s="58" t="s">
        <v>6</v>
      </c>
      <c r="D30" s="58" t="s">
        <v>22</v>
      </c>
      <c r="E30" s="176">
        <v>332.66660000000002</v>
      </c>
      <c r="F30" s="176">
        <v>376.317420282189</v>
      </c>
      <c r="G30" s="176">
        <v>113.262</v>
      </c>
      <c r="H30" s="176">
        <f>12.359351177893*1000/100</f>
        <v>123.59351177893001</v>
      </c>
      <c r="I30" s="176">
        <v>37.31</v>
      </c>
      <c r="J30" s="176">
        <v>42.44</v>
      </c>
      <c r="K30" s="176">
        <v>115.97</v>
      </c>
      <c r="L30" s="176">
        <v>177.77</v>
      </c>
      <c r="M30" s="176">
        <v>20.45</v>
      </c>
      <c r="N30" s="176">
        <v>18.420000000000002</v>
      </c>
      <c r="O30" t="s">
        <v>240</v>
      </c>
      <c r="P30" t="s">
        <v>285</v>
      </c>
      <c r="Q30" t="s">
        <v>240</v>
      </c>
      <c r="R30" t="s">
        <v>285</v>
      </c>
      <c r="S30" s="58" t="s">
        <v>226</v>
      </c>
      <c r="T30" s="58"/>
      <c r="U30" s="160"/>
    </row>
    <row r="31" spans="1:21" x14ac:dyDescent="0.25">
      <c r="A31" s="155" t="s">
        <v>255</v>
      </c>
      <c r="B31" s="58" t="s">
        <v>3</v>
      </c>
      <c r="C31" s="58" t="s">
        <v>6</v>
      </c>
      <c r="D31" s="58" t="s">
        <v>16</v>
      </c>
      <c r="E31" s="176">
        <v>34.8446</v>
      </c>
      <c r="F31" s="176">
        <v>38.833019735391701</v>
      </c>
      <c r="G31" s="176">
        <v>25.316000000000003</v>
      </c>
      <c r="H31" s="176">
        <f>2.58612864690394*1000/100</f>
        <v>25.861286469039399</v>
      </c>
      <c r="I31" s="176">
        <v>11.440000000000001</v>
      </c>
      <c r="J31" s="176">
        <v>12.87</v>
      </c>
      <c r="K31" s="176">
        <v>87.48</v>
      </c>
      <c r="L31" s="176">
        <v>112</v>
      </c>
      <c r="M31" s="176">
        <v>20.45</v>
      </c>
      <c r="N31" s="176">
        <f>+N30</f>
        <v>18.420000000000002</v>
      </c>
      <c r="O31" t="s">
        <v>240</v>
      </c>
      <c r="P31" t="s">
        <v>285</v>
      </c>
      <c r="Q31" t="s">
        <v>240</v>
      </c>
      <c r="R31" t="s">
        <v>285</v>
      </c>
      <c r="S31" s="58" t="s">
        <v>227</v>
      </c>
      <c r="T31" s="58"/>
      <c r="U31" s="160"/>
    </row>
    <row r="32" spans="1:21" x14ac:dyDescent="0.25">
      <c r="A32" s="155" t="s">
        <v>256</v>
      </c>
      <c r="B32" s="58" t="s">
        <v>3</v>
      </c>
      <c r="C32" s="58" t="s">
        <v>6</v>
      </c>
      <c r="D32" s="58" t="s">
        <v>17</v>
      </c>
      <c r="E32" s="176">
        <v>34.8446</v>
      </c>
      <c r="F32" s="176">
        <v>38.833019735391701</v>
      </c>
      <c r="G32" s="176">
        <v>52.500999999999998</v>
      </c>
      <c r="H32" s="176">
        <f>5.57364683253989*1000/100</f>
        <v>55.736468325398889</v>
      </c>
      <c r="I32" s="176">
        <v>11.440000000000001</v>
      </c>
      <c r="J32" s="176">
        <v>12.87</v>
      </c>
      <c r="K32" s="176">
        <v>87.48</v>
      </c>
      <c r="L32" s="176">
        <f>+L31</f>
        <v>112</v>
      </c>
      <c r="M32" s="176">
        <v>20.45</v>
      </c>
      <c r="N32" s="176">
        <f>+N31</f>
        <v>18.420000000000002</v>
      </c>
      <c r="O32" t="s">
        <v>240</v>
      </c>
      <c r="P32" t="s">
        <v>285</v>
      </c>
      <c r="Q32" t="s">
        <v>240</v>
      </c>
      <c r="R32" t="s">
        <v>285</v>
      </c>
      <c r="S32" s="58" t="s">
        <v>228</v>
      </c>
      <c r="T32" s="58"/>
      <c r="U32" s="160"/>
    </row>
    <row r="33" spans="1:21" s="101" customFormat="1" x14ac:dyDescent="0.25">
      <c r="A33" s="220" t="s">
        <v>257</v>
      </c>
      <c r="B33" s="224" t="s">
        <v>3</v>
      </c>
      <c r="C33" s="224" t="s">
        <v>15</v>
      </c>
      <c r="D33" s="224" t="s">
        <v>22</v>
      </c>
      <c r="E33" s="226">
        <v>332.66660000000002</v>
      </c>
      <c r="F33" s="226">
        <f>F30</f>
        <v>376.317420282189</v>
      </c>
      <c r="G33" s="226">
        <v>155.99299999999999</v>
      </c>
      <c r="H33" s="226">
        <f>16.9389764729545*1000/100</f>
        <v>169.38976472954502</v>
      </c>
      <c r="I33" s="226">
        <v>37.31</v>
      </c>
      <c r="J33" s="226">
        <v>42.44</v>
      </c>
      <c r="K33" s="226">
        <v>115.97</v>
      </c>
      <c r="L33" s="226">
        <f>L30</f>
        <v>177.77</v>
      </c>
      <c r="M33" s="226">
        <v>20.45</v>
      </c>
      <c r="N33" s="226">
        <f>+N32</f>
        <v>18.420000000000002</v>
      </c>
      <c r="O33" s="227" t="s">
        <v>240</v>
      </c>
      <c r="P33" s="227" t="s">
        <v>285</v>
      </c>
      <c r="Q33" s="227" t="s">
        <v>240</v>
      </c>
      <c r="R33" s="227" t="s">
        <v>285</v>
      </c>
      <c r="S33" s="224" t="s">
        <v>229</v>
      </c>
      <c r="T33" s="224"/>
      <c r="U33" s="228"/>
    </row>
    <row r="34" spans="1:21" x14ac:dyDescent="0.25">
      <c r="A34" s="155">
        <v>8400</v>
      </c>
      <c r="B34" s="58" t="s">
        <v>0</v>
      </c>
      <c r="C34" s="58" t="s">
        <v>6</v>
      </c>
      <c r="D34" s="58" t="s">
        <v>22</v>
      </c>
      <c r="E34" s="176">
        <v>188.26700000000002</v>
      </c>
      <c r="F34" s="176">
        <f>55.2731437367277*C11/100</f>
        <v>202.29970607642335</v>
      </c>
      <c r="G34" s="176">
        <v>74.399999999999991</v>
      </c>
      <c r="H34" s="176">
        <f>7.73331291064863*1000/100</f>
        <v>77.333129106486297</v>
      </c>
      <c r="I34" s="176">
        <v>39.42</v>
      </c>
      <c r="J34" s="176">
        <v>42.510000000000005</v>
      </c>
      <c r="K34" s="176">
        <v>110.53</v>
      </c>
      <c r="L34" s="176">
        <v>165.11</v>
      </c>
      <c r="M34" s="176">
        <v>17.100000000000001</v>
      </c>
      <c r="N34" s="176">
        <v>15.1</v>
      </c>
      <c r="O34" t="s">
        <v>240</v>
      </c>
      <c r="P34" t="s">
        <v>285</v>
      </c>
      <c r="Q34" t="s">
        <v>240</v>
      </c>
      <c r="R34" t="s">
        <v>285</v>
      </c>
      <c r="S34" s="58" t="s">
        <v>230</v>
      </c>
      <c r="T34" s="58"/>
      <c r="U34" s="158"/>
    </row>
    <row r="35" spans="1:21" x14ac:dyDescent="0.25">
      <c r="A35" s="155">
        <v>9000</v>
      </c>
      <c r="B35" s="58" t="s">
        <v>0</v>
      </c>
      <c r="C35" s="58" t="s">
        <v>6</v>
      </c>
      <c r="D35" s="58" t="s">
        <v>16</v>
      </c>
      <c r="E35" s="176">
        <v>0</v>
      </c>
      <c r="F35" s="176">
        <v>0</v>
      </c>
      <c r="G35" s="176">
        <v>33.700000000000003</v>
      </c>
      <c r="H35" s="176">
        <f>3.39461475305527*1000/100</f>
        <v>33.9461475305527</v>
      </c>
      <c r="I35" s="176">
        <v>11.49</v>
      </c>
      <c r="J35" s="176">
        <v>12.39</v>
      </c>
      <c r="K35" s="176">
        <v>86.65</v>
      </c>
      <c r="L35" s="176">
        <v>110.15</v>
      </c>
      <c r="M35" s="176">
        <v>17.100000000000001</v>
      </c>
      <c r="N35" s="176">
        <f>+N34</f>
        <v>15.1</v>
      </c>
      <c r="O35" t="s">
        <v>240</v>
      </c>
      <c r="P35" t="s">
        <v>285</v>
      </c>
      <c r="Q35" t="s">
        <v>240</v>
      </c>
      <c r="R35" t="s">
        <v>285</v>
      </c>
      <c r="S35" s="58" t="s">
        <v>231</v>
      </c>
      <c r="T35" s="58"/>
    </row>
    <row r="36" spans="1:21" x14ac:dyDescent="0.25">
      <c r="A36" s="155">
        <v>9100</v>
      </c>
      <c r="B36" s="58" t="s">
        <v>0</v>
      </c>
      <c r="C36" s="58" t="s">
        <v>6</v>
      </c>
      <c r="D36" s="58" t="s">
        <v>17</v>
      </c>
      <c r="E36" s="176">
        <v>0</v>
      </c>
      <c r="F36" s="176">
        <v>0</v>
      </c>
      <c r="G36" s="176">
        <v>43.7</v>
      </c>
      <c r="H36" s="176">
        <f>5.57364683253989*1000/100</f>
        <v>55.736468325398889</v>
      </c>
      <c r="I36" s="176">
        <v>11.49</v>
      </c>
      <c r="J36" s="176">
        <v>12.39</v>
      </c>
      <c r="K36" s="176">
        <v>93.47</v>
      </c>
      <c r="L36" s="176">
        <v>116.17</v>
      </c>
      <c r="M36" s="176">
        <v>17.100000000000001</v>
      </c>
      <c r="N36" s="176">
        <f>+N35</f>
        <v>15.1</v>
      </c>
      <c r="O36" t="s">
        <v>240</v>
      </c>
      <c r="P36" t="s">
        <v>285</v>
      </c>
      <c r="Q36" t="s">
        <v>240</v>
      </c>
      <c r="R36" t="s">
        <v>285</v>
      </c>
      <c r="S36" s="58" t="s">
        <v>232</v>
      </c>
      <c r="T36" s="58"/>
      <c r="U36" s="160"/>
    </row>
    <row r="37" spans="1:21" s="101" customFormat="1" x14ac:dyDescent="0.25">
      <c r="A37" s="220">
        <v>8500</v>
      </c>
      <c r="B37" s="224" t="s">
        <v>0</v>
      </c>
      <c r="C37" s="224" t="s">
        <v>15</v>
      </c>
      <c r="D37" s="224" t="s">
        <v>22</v>
      </c>
      <c r="E37" s="226">
        <v>251.923</v>
      </c>
      <c r="F37" s="226">
        <f>73.2731437367277*C11/100</f>
        <v>268.17970607642337</v>
      </c>
      <c r="G37" s="226">
        <v>81.8</v>
      </c>
      <c r="H37" s="226">
        <f>8.43455202617503*1000/100</f>
        <v>84.345520261750295</v>
      </c>
      <c r="I37" s="226">
        <v>39.42</v>
      </c>
      <c r="J37" s="226">
        <v>42.510000000000005</v>
      </c>
      <c r="K37" s="226">
        <v>110.53</v>
      </c>
      <c r="L37" s="226">
        <f>L34</f>
        <v>165.11</v>
      </c>
      <c r="M37" s="226">
        <v>17.100000000000001</v>
      </c>
      <c r="N37" s="226">
        <f>+N36</f>
        <v>15.1</v>
      </c>
      <c r="O37" s="227" t="s">
        <v>240</v>
      </c>
      <c r="P37" s="227" t="s">
        <v>285</v>
      </c>
      <c r="Q37" s="227" t="s">
        <v>240</v>
      </c>
      <c r="R37" s="284" t="s">
        <v>285</v>
      </c>
      <c r="S37" s="224" t="s">
        <v>233</v>
      </c>
      <c r="T37" s="224"/>
      <c r="U37" s="228"/>
    </row>
    <row r="38" spans="1:21" x14ac:dyDescent="0.25">
      <c r="A38" s="155" t="s">
        <v>263</v>
      </c>
      <c r="B38" s="58" t="s">
        <v>5</v>
      </c>
      <c r="C38" s="58" t="s">
        <v>6</v>
      </c>
      <c r="D38" s="58" t="s">
        <v>22</v>
      </c>
      <c r="E38" s="176">
        <v>190.01899999999998</v>
      </c>
      <c r="F38" s="176">
        <f>54.6509836065573*C11/100</f>
        <v>200.0225999999997</v>
      </c>
      <c r="G38" s="176">
        <v>134.4</v>
      </c>
      <c r="H38" s="176">
        <f>13.219236*1000/100</f>
        <v>132.19236000000001</v>
      </c>
      <c r="I38" s="176">
        <v>23.98</v>
      </c>
      <c r="J38" s="176">
        <v>25.86</v>
      </c>
      <c r="K38" s="176">
        <v>134.53</v>
      </c>
      <c r="L38" s="176">
        <v>223.32</v>
      </c>
      <c r="M38" s="176">
        <v>20.38</v>
      </c>
      <c r="N38" s="176">
        <v>18.28</v>
      </c>
      <c r="O38" t="s">
        <v>240</v>
      </c>
      <c r="P38" t="s">
        <v>285</v>
      </c>
      <c r="Q38" t="s">
        <v>240</v>
      </c>
      <c r="R38" t="s">
        <v>285</v>
      </c>
      <c r="S38" s="58" t="s">
        <v>234</v>
      </c>
      <c r="T38" s="58"/>
      <c r="U38" s="66"/>
    </row>
    <row r="39" spans="1:21" x14ac:dyDescent="0.25">
      <c r="A39" s="155" t="s">
        <v>264</v>
      </c>
      <c r="B39" s="58" t="s">
        <v>5</v>
      </c>
      <c r="C39" s="58" t="s">
        <v>6</v>
      </c>
      <c r="D39" s="58" t="s">
        <v>16</v>
      </c>
      <c r="E39" s="176">
        <v>0</v>
      </c>
      <c r="F39" s="176">
        <v>0</v>
      </c>
      <c r="G39" s="176">
        <f>0.673*100</f>
        <v>67.300000000000011</v>
      </c>
      <c r="H39" s="176">
        <f>6.664884*1000/100</f>
        <v>66.648840000000007</v>
      </c>
      <c r="I39" s="176">
        <v>23.98</v>
      </c>
      <c r="J39" s="176">
        <v>25.86</v>
      </c>
      <c r="K39" s="176">
        <v>73.52</v>
      </c>
      <c r="L39" s="176">
        <v>105.38</v>
      </c>
      <c r="M39" s="176">
        <v>20.38</v>
      </c>
      <c r="N39" s="176">
        <f>+N38</f>
        <v>18.28</v>
      </c>
      <c r="O39" t="s">
        <v>240</v>
      </c>
      <c r="P39" t="s">
        <v>285</v>
      </c>
      <c r="Q39" t="s">
        <v>240</v>
      </c>
      <c r="R39" t="s">
        <v>285</v>
      </c>
      <c r="S39" s="58" t="s">
        <v>235</v>
      </c>
      <c r="T39" s="58"/>
    </row>
    <row r="40" spans="1:21" x14ac:dyDescent="0.25">
      <c r="A40" s="155" t="s">
        <v>258</v>
      </c>
      <c r="B40" s="58" t="s">
        <v>5</v>
      </c>
      <c r="C40" s="58" t="s">
        <v>15</v>
      </c>
      <c r="D40" s="58" t="s">
        <v>22</v>
      </c>
      <c r="E40" s="176">
        <v>224.98599999999999</v>
      </c>
      <c r="F40" s="176">
        <f>66.9351366120217*C11/100</f>
        <v>244.98259999999939</v>
      </c>
      <c r="G40" s="176">
        <v>150.60000000000002</v>
      </c>
      <c r="H40" s="176">
        <f>15.1023320079978*1000/100</f>
        <v>151.02332007997799</v>
      </c>
      <c r="I40" s="176">
        <v>23.98</v>
      </c>
      <c r="J40" s="176">
        <v>25.86</v>
      </c>
      <c r="K40" s="176">
        <v>134.53</v>
      </c>
      <c r="L40" s="176">
        <f>L38</f>
        <v>223.32</v>
      </c>
      <c r="M40" s="176">
        <v>20.38</v>
      </c>
      <c r="N40" s="176">
        <f>+N39</f>
        <v>18.28</v>
      </c>
      <c r="O40" t="s">
        <v>240</v>
      </c>
      <c r="P40" t="s">
        <v>285</v>
      </c>
      <c r="Q40" t="s">
        <v>240</v>
      </c>
      <c r="R40" t="s">
        <v>285</v>
      </c>
      <c r="S40" s="58" t="s">
        <v>236</v>
      </c>
      <c r="T40" s="58"/>
    </row>
    <row r="41" spans="1:21" x14ac:dyDescent="0.25">
      <c r="H41" s="20"/>
    </row>
    <row r="42" spans="1:21" x14ac:dyDescent="0.25">
      <c r="B42" s="91" t="s">
        <v>189</v>
      </c>
      <c r="C42" s="66"/>
      <c r="D42" s="66"/>
      <c r="E42" s="66"/>
      <c r="F42" s="66"/>
      <c r="G42" s="66"/>
      <c r="H42" s="66"/>
    </row>
    <row r="43" spans="1:21" x14ac:dyDescent="0.25">
      <c r="B43" s="91" t="s">
        <v>190</v>
      </c>
      <c r="C43" s="66"/>
      <c r="D43" s="66"/>
      <c r="E43" s="66"/>
      <c r="F43" s="66"/>
      <c r="G43" s="66"/>
      <c r="H43" s="66"/>
    </row>
    <row r="44" spans="1:21" x14ac:dyDescent="0.25">
      <c r="B44" s="66"/>
      <c r="C44" s="66"/>
      <c r="D44" s="66"/>
      <c r="E44" s="66"/>
      <c r="F44" s="66"/>
      <c r="G44" s="66"/>
      <c r="H44" s="66"/>
    </row>
    <row r="45" spans="1:21" x14ac:dyDescent="0.25">
      <c r="B45" s="66"/>
      <c r="C45" s="66"/>
      <c r="D45" s="66"/>
      <c r="E45" s="66"/>
      <c r="F45" s="66"/>
      <c r="G45" s="66"/>
      <c r="H45" s="66"/>
    </row>
    <row r="46" spans="1:21" x14ac:dyDescent="0.25">
      <c r="B46" s="66"/>
      <c r="C46" s="66"/>
      <c r="D46" s="66"/>
      <c r="E46" s="66"/>
      <c r="F46" s="66"/>
      <c r="G46" s="66"/>
      <c r="H46" s="66"/>
    </row>
    <row r="47" spans="1:21" x14ac:dyDescent="0.25">
      <c r="B47" s="66"/>
      <c r="C47" s="66"/>
      <c r="D47" s="66"/>
      <c r="E47" s="66"/>
      <c r="F47" s="66"/>
      <c r="G47" s="66"/>
      <c r="H47" s="66"/>
    </row>
    <row r="48" spans="1:21" x14ac:dyDescent="0.25">
      <c r="B48" s="66"/>
      <c r="C48" s="66"/>
      <c r="D48" s="66"/>
      <c r="E48" s="66"/>
      <c r="F48" s="66"/>
      <c r="G48" s="66"/>
      <c r="H48" s="66"/>
    </row>
    <row r="49" spans="2:8" x14ac:dyDescent="0.25">
      <c r="B49" s="66"/>
      <c r="C49" s="66"/>
      <c r="D49" s="66"/>
      <c r="E49" s="66"/>
      <c r="F49" s="66"/>
      <c r="G49" s="66"/>
      <c r="H49" s="66"/>
    </row>
    <row r="50" spans="2:8" x14ac:dyDescent="0.25">
      <c r="H50" s="20"/>
    </row>
    <row r="51" spans="2:8" x14ac:dyDescent="0.25">
      <c r="H51" s="20"/>
    </row>
    <row r="52" spans="2:8" x14ac:dyDescent="0.25">
      <c r="H52" s="20"/>
    </row>
    <row r="53" spans="2:8" x14ac:dyDescent="0.25">
      <c r="H53" s="20"/>
    </row>
    <row r="54" spans="2:8" x14ac:dyDescent="0.25">
      <c r="H54" s="20"/>
    </row>
    <row r="55" spans="2:8" x14ac:dyDescent="0.25">
      <c r="H55" s="20"/>
    </row>
    <row r="56" spans="2:8" x14ac:dyDescent="0.25">
      <c r="H56" s="20"/>
    </row>
    <row r="57" spans="2:8" x14ac:dyDescent="0.25">
      <c r="H57" s="20"/>
    </row>
    <row r="58" spans="2:8" x14ac:dyDescent="0.25">
      <c r="H58" s="20"/>
    </row>
    <row r="59" spans="2:8" x14ac:dyDescent="0.25">
      <c r="H59" s="20"/>
    </row>
    <row r="60" spans="2:8" x14ac:dyDescent="0.25">
      <c r="H60" s="20"/>
    </row>
    <row r="61" spans="2:8" x14ac:dyDescent="0.25">
      <c r="H61" s="20"/>
    </row>
    <row r="62" spans="2:8" x14ac:dyDescent="0.25">
      <c r="H62" s="20"/>
    </row>
    <row r="63" spans="2:8" x14ac:dyDescent="0.25">
      <c r="H63" s="20"/>
    </row>
    <row r="64" spans="2:8" x14ac:dyDescent="0.25">
      <c r="H64" s="20"/>
    </row>
    <row r="65" spans="8:8" x14ac:dyDescent="0.25">
      <c r="H65" s="20"/>
    </row>
  </sheetData>
  <mergeCells count="15">
    <mergeCell ref="A1:B1"/>
    <mergeCell ref="E17:H17"/>
    <mergeCell ref="I17:J17"/>
    <mergeCell ref="O17:O21"/>
    <mergeCell ref="P17:P21"/>
    <mergeCell ref="O15:R15"/>
    <mergeCell ref="H10:H11"/>
    <mergeCell ref="I10:I11"/>
    <mergeCell ref="J10:J11"/>
    <mergeCell ref="K10:K11"/>
    <mergeCell ref="S17:S21"/>
    <mergeCell ref="Q17:Q21"/>
    <mergeCell ref="R17:R21"/>
    <mergeCell ref="K17:L17"/>
    <mergeCell ref="M17:N17"/>
  </mergeCells>
  <conditionalFormatting sqref="B22:N40 P22:P40 R22:R40">
    <cfRule type="expression" dxfId="274" priority="101">
      <formula>MOD(ROW(),2)=0</formula>
    </cfRule>
  </conditionalFormatting>
  <conditionalFormatting sqref="M40">
    <cfRule type="expression" dxfId="273" priority="97">
      <formula>MOD(ROW(),2)=0</formula>
    </cfRule>
  </conditionalFormatting>
  <conditionalFormatting sqref="K39 M39">
    <cfRule type="expression" dxfId="272" priority="98">
      <formula>MOD(ROW(),2)=0</formula>
    </cfRule>
  </conditionalFormatting>
  <conditionalFormatting sqref="J23:J40">
    <cfRule type="expression" dxfId="271" priority="96">
      <formula>MOD(ROW(),2)=0</formula>
    </cfRule>
  </conditionalFormatting>
  <conditionalFormatting sqref="L23:L40">
    <cfRule type="expression" dxfId="270" priority="94">
      <formula>MOD(ROW(),2)=0</formula>
    </cfRule>
  </conditionalFormatting>
  <conditionalFormatting sqref="N23:N40">
    <cfRule type="expression" dxfId="269" priority="93">
      <formula>MOD(ROW(),2)=0</formula>
    </cfRule>
  </conditionalFormatting>
  <conditionalFormatting sqref="I23:I40">
    <cfRule type="expression" dxfId="268" priority="29">
      <formula>MOD(ROW(),2)=0</formula>
    </cfRule>
  </conditionalFormatting>
  <conditionalFormatting sqref="K23:K40">
    <cfRule type="expression" dxfId="267" priority="28">
      <formula>MOD(ROW(),2)=0</formula>
    </cfRule>
  </conditionalFormatting>
  <conditionalFormatting sqref="M23:M40">
    <cfRule type="expression" dxfId="266" priority="27">
      <formula>MOD(ROW(),2)=0</formula>
    </cfRule>
  </conditionalFormatting>
  <conditionalFormatting sqref="O22:O40">
    <cfRule type="expression" dxfId="265" priority="21">
      <formula>MOD(ROW(),2)=0</formula>
    </cfRule>
  </conditionalFormatting>
  <conditionalFormatting sqref="Q22:Q40">
    <cfRule type="expression" dxfId="264" priority="19">
      <formula>MOD(ROW(),2)=0</formula>
    </cfRule>
  </conditionalFormatting>
  <conditionalFormatting sqref="A22:A40">
    <cfRule type="expression" dxfId="263" priority="18">
      <formula>MOD(ROW(),2)=0</formula>
    </cfRule>
  </conditionalFormatting>
  <conditionalFormatting sqref="L35">
    <cfRule type="expression" dxfId="262" priority="17">
      <formula>MOD(ROW(),2)=0</formula>
    </cfRule>
  </conditionalFormatting>
  <conditionalFormatting sqref="L36">
    <cfRule type="expression" dxfId="261" priority="16">
      <formula>MOD(ROW(),2)=0</formula>
    </cfRule>
  </conditionalFormatting>
  <dataValidations disablePrompts="1" count="1">
    <dataValidation type="list" allowBlank="1" showInputMessage="1" showErrorMessage="1" sqref="C14" xr:uid="{00000000-0002-0000-1500-000000000000}">
      <formula1>"Yes,No"</formula1>
    </dataValidation>
  </dataValidations>
  <hyperlinks>
    <hyperlink ref="A1" r:id="rId1" display="2021-22 APP (indicative tariff)" xr:uid="{00000000-0004-0000-1500-000000000000}"/>
    <hyperlink ref="D10" r:id="rId2" xr:uid="{00000000-0004-0000-1500-000001000000}"/>
    <hyperlink ref="D9" r:id="rId3" xr:uid="{EF57D2D1-C51C-49AF-B27D-23C4DA9FD6F6}"/>
    <hyperlink ref="E17:H17" r:id="rId4" display="NUOS" xr:uid="{81A0DBB1-7184-4EE3-B527-A7B4D06E5CFB}"/>
    <hyperlink ref="I17:J17" r:id="rId5" display="ACS" xr:uid="{5E6467AE-F908-4BC6-966C-5B727C820A4F}"/>
  </hyperlinks>
  <pageMargins left="0.7" right="0.7" top="0.75" bottom="0.75" header="0.3" footer="0.3"/>
  <pageSetup paperSize="9" orientation="portrait" r:id="rId6"/>
  <headerFooter>
    <oddHeader>&amp;C&amp;"Calibri"&amp;12&amp;KFF0000 OFFICIAL&amp;1#_x000D_</oddHeader>
  </headerFooter>
  <ignoredErrors>
    <ignoredError sqref="L18:L19 M19:N19 M18:N18 F19:J19 J18:K18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theme="0" tint="-0.249977111117893"/>
  </sheetPr>
  <dimension ref="A1:AM321"/>
  <sheetViews>
    <sheetView zoomScaleNormal="100" workbookViewId="0">
      <pane xSplit="6" ySplit="3" topLeftCell="G25" activePane="bottomRight" state="frozen"/>
      <selection pane="topRight" activeCell="G1" sqref="G1"/>
      <selection pane="bottomLeft" activeCell="A4" sqref="A4"/>
      <selection pane="bottomRight" activeCell="J182" sqref="J182"/>
    </sheetView>
  </sheetViews>
  <sheetFormatPr defaultColWidth="8.85546875" defaultRowHeight="15" x14ac:dyDescent="0.25"/>
  <cols>
    <col min="1" max="1" width="1.85546875" style="3" customWidth="1"/>
    <col min="2" max="2" width="15.85546875" style="22" customWidth="1"/>
    <col min="3" max="3" width="26.28515625" style="22" customWidth="1"/>
    <col min="4" max="4" width="13.42578125" style="22" hidden="1" customWidth="1"/>
    <col min="5" max="5" width="17.140625" style="22" hidden="1" customWidth="1"/>
    <col min="6" max="6" width="13.42578125" style="22" customWidth="1"/>
    <col min="7" max="7" width="26.5703125" style="22" bestFit="1" customWidth="1"/>
    <col min="8" max="8" width="16" style="22" bestFit="1" customWidth="1"/>
    <col min="9" max="11" width="10.85546875" style="3" customWidth="1"/>
    <col min="12" max="12" width="25.85546875" style="22" customWidth="1"/>
    <col min="13" max="13" width="86.42578125" style="22" customWidth="1"/>
    <col min="14" max="14" width="12.5703125" style="3" customWidth="1"/>
    <col min="15" max="17" width="11.140625" style="3" customWidth="1"/>
    <col min="18" max="16384" width="8.85546875" style="3"/>
  </cols>
  <sheetData>
    <row r="1" spans="1:19" ht="10.35" customHeight="1" x14ac:dyDescent="0.25">
      <c r="A1" s="286" t="s">
        <v>21</v>
      </c>
      <c r="B1" s="291"/>
    </row>
    <row r="2" spans="1:19" s="14" customFormat="1" ht="22.5" customHeight="1" x14ac:dyDescent="0.25">
      <c r="A2" s="15" t="s">
        <v>99</v>
      </c>
      <c r="B2" s="23"/>
      <c r="C2" s="23"/>
      <c r="D2" s="28"/>
      <c r="E2" s="23"/>
      <c r="F2" s="23"/>
      <c r="G2" s="23"/>
      <c r="H2" s="225"/>
      <c r="L2" s="23"/>
      <c r="M2" s="23"/>
    </row>
    <row r="3" spans="1:19" s="5" customFormat="1" x14ac:dyDescent="0.25">
      <c r="B3" s="24" t="s">
        <v>1</v>
      </c>
      <c r="C3" s="24" t="s">
        <v>12</v>
      </c>
      <c r="D3" s="24" t="s">
        <v>92</v>
      </c>
      <c r="E3" s="24" t="s">
        <v>93</v>
      </c>
      <c r="F3" s="24" t="s">
        <v>94</v>
      </c>
      <c r="G3" s="24" t="s">
        <v>35</v>
      </c>
      <c r="H3" s="24" t="s">
        <v>72</v>
      </c>
      <c r="I3" s="24" t="str">
        <f>PY</f>
        <v>2022-23</v>
      </c>
      <c r="J3" s="24" t="str">
        <f>FY</f>
        <v>2023-24</v>
      </c>
      <c r="K3" s="12" t="s">
        <v>29</v>
      </c>
      <c r="L3" s="24" t="str">
        <f>"Source for "&amp;PY</f>
        <v>Source for 2022-23</v>
      </c>
      <c r="M3" s="24" t="str">
        <f>"Source for "&amp;FY</f>
        <v>Source for 2023-24</v>
      </c>
      <c r="N3" s="24" t="s">
        <v>60</v>
      </c>
    </row>
    <row r="4" spans="1:19" s="58" customFormat="1" x14ac:dyDescent="0.25">
      <c r="B4" s="155" t="s">
        <v>2</v>
      </c>
      <c r="C4" s="155" t="str">
        <f t="shared" ref="C4:C5" si="0">IF(D4="","All",D4&amp;" "&amp;E4)</f>
        <v>Residential without CL</v>
      </c>
      <c r="D4" s="155" t="s">
        <v>6</v>
      </c>
      <c r="E4" s="155" t="s">
        <v>146</v>
      </c>
      <c r="F4" s="155" t="s">
        <v>22</v>
      </c>
      <c r="G4" s="155" t="s">
        <v>76</v>
      </c>
      <c r="H4" s="155" t="s">
        <v>50</v>
      </c>
      <c r="I4" s="176">
        <v>111.99</v>
      </c>
      <c r="J4" s="176">
        <v>169.6</v>
      </c>
      <c r="K4" s="156" t="s">
        <v>47</v>
      </c>
      <c r="L4" s="157" t="s">
        <v>153</v>
      </c>
      <c r="M4" s="157" t="s">
        <v>153</v>
      </c>
      <c r="N4" s="187">
        <f t="shared" ref="N4:N99" si="1">IFERROR(IF(K4="%",J4-I4,J4/I4-1),"")</f>
        <v>0.51442093044021786</v>
      </c>
      <c r="Q4" s="264"/>
      <c r="R4" s="265"/>
    </row>
    <row r="5" spans="1:19" s="58" customFormat="1" x14ac:dyDescent="0.25">
      <c r="B5" s="155" t="s">
        <v>2</v>
      </c>
      <c r="C5" s="155" t="str">
        <f t="shared" si="0"/>
        <v>Residential with CL</v>
      </c>
      <c r="D5" s="155" t="s">
        <v>6</v>
      </c>
      <c r="E5" s="155" t="s">
        <v>147</v>
      </c>
      <c r="F5" s="155" t="s">
        <v>16</v>
      </c>
      <c r="G5" s="155" t="s">
        <v>76</v>
      </c>
      <c r="H5" s="155" t="s">
        <v>50</v>
      </c>
      <c r="I5" s="176">
        <v>79.83</v>
      </c>
      <c r="J5" s="176">
        <v>101.97</v>
      </c>
      <c r="K5" s="156" t="s">
        <v>47</v>
      </c>
      <c r="L5" s="157" t="s">
        <v>153</v>
      </c>
      <c r="M5" s="157" t="s">
        <v>153</v>
      </c>
      <c r="N5" s="187">
        <f t="shared" si="1"/>
        <v>0.27733934611048472</v>
      </c>
      <c r="Q5" s="264"/>
      <c r="R5" s="265"/>
    </row>
    <row r="6" spans="1:19" s="58" customFormat="1" x14ac:dyDescent="0.25">
      <c r="B6" s="155" t="s">
        <v>2</v>
      </c>
      <c r="C6" s="155" t="str">
        <f t="shared" ref="C6:C100" si="2">IF(D6="","All",D6&amp;" "&amp;E6)</f>
        <v>Residential with CL</v>
      </c>
      <c r="D6" s="155" t="s">
        <v>6</v>
      </c>
      <c r="E6" s="155" t="s">
        <v>147</v>
      </c>
      <c r="F6" s="155" t="s">
        <v>17</v>
      </c>
      <c r="G6" s="155" t="s">
        <v>76</v>
      </c>
      <c r="H6" s="155" t="s">
        <v>50</v>
      </c>
      <c r="I6" s="176">
        <v>78.540000000000006</v>
      </c>
      <c r="J6" s="176">
        <v>98.78</v>
      </c>
      <c r="K6" s="156" t="s">
        <v>47</v>
      </c>
      <c r="L6" s="157" t="s">
        <v>153</v>
      </c>
      <c r="M6" s="157" t="s">
        <v>153</v>
      </c>
      <c r="N6" s="187">
        <f t="shared" si="1"/>
        <v>0.25770308123249297</v>
      </c>
      <c r="Q6" s="264"/>
      <c r="R6" s="265"/>
      <c r="S6" s="264"/>
    </row>
    <row r="7" spans="1:19" s="58" customFormat="1" x14ac:dyDescent="0.25">
      <c r="B7" s="155" t="s">
        <v>2</v>
      </c>
      <c r="C7" s="155" t="str">
        <f t="shared" si="2"/>
        <v>Small business without CL</v>
      </c>
      <c r="D7" s="155" t="s">
        <v>15</v>
      </c>
      <c r="E7" s="155" t="s">
        <v>146</v>
      </c>
      <c r="F7" s="155" t="s">
        <v>22</v>
      </c>
      <c r="G7" s="155" t="s">
        <v>76</v>
      </c>
      <c r="H7" s="155" t="s">
        <v>50</v>
      </c>
      <c r="I7" s="176">
        <v>111.99</v>
      </c>
      <c r="J7" s="176">
        <f>J4</f>
        <v>169.6</v>
      </c>
      <c r="K7" s="156" t="s">
        <v>47</v>
      </c>
      <c r="L7" s="157" t="s">
        <v>153</v>
      </c>
      <c r="M7" s="157" t="s">
        <v>153</v>
      </c>
      <c r="N7" s="187">
        <f t="shared" si="1"/>
        <v>0.51442093044021786</v>
      </c>
      <c r="Q7" s="264"/>
      <c r="R7" s="265"/>
    </row>
    <row r="8" spans="1:19" s="58" customFormat="1" x14ac:dyDescent="0.25">
      <c r="B8" s="155" t="s">
        <v>2</v>
      </c>
      <c r="C8" s="155" t="str">
        <f t="shared" si="2"/>
        <v>All</v>
      </c>
      <c r="D8" s="155"/>
      <c r="E8" s="155"/>
      <c r="F8" s="155"/>
      <c r="G8" s="155" t="s">
        <v>77</v>
      </c>
      <c r="H8" s="155" t="s">
        <v>50</v>
      </c>
      <c r="I8" s="176">
        <v>0.34</v>
      </c>
      <c r="J8" s="176">
        <v>0.42</v>
      </c>
      <c r="K8" s="156" t="s">
        <v>47</v>
      </c>
      <c r="L8" s="157" t="s">
        <v>153</v>
      </c>
      <c r="M8" s="157" t="s">
        <v>153</v>
      </c>
      <c r="N8" s="187">
        <f t="shared" si="1"/>
        <v>0.23529411764705865</v>
      </c>
      <c r="S8" s="264"/>
    </row>
    <row r="9" spans="1:19" s="58" customFormat="1" x14ac:dyDescent="0.25">
      <c r="B9" s="155" t="s">
        <v>2</v>
      </c>
      <c r="C9" s="155" t="str">
        <f t="shared" si="2"/>
        <v>All</v>
      </c>
      <c r="D9" s="155"/>
      <c r="E9" s="155"/>
      <c r="F9" s="155"/>
      <c r="G9" s="155" t="s">
        <v>85</v>
      </c>
      <c r="H9" s="155" t="s">
        <v>50</v>
      </c>
      <c r="I9" s="176">
        <v>1.1000000000000001</v>
      </c>
      <c r="J9" s="176">
        <v>1.1499999999999999</v>
      </c>
      <c r="K9" s="156" t="s">
        <v>47</v>
      </c>
      <c r="L9" s="157" t="s">
        <v>153</v>
      </c>
      <c r="M9" s="157" t="s">
        <v>153</v>
      </c>
      <c r="N9" s="187">
        <f t="shared" si="1"/>
        <v>4.5454545454545192E-2</v>
      </c>
    </row>
    <row r="10" spans="1:19" s="58" customFormat="1" x14ac:dyDescent="0.25">
      <c r="B10" s="155" t="s">
        <v>2</v>
      </c>
      <c r="C10" s="155" t="str">
        <f t="shared" si="2"/>
        <v>All</v>
      </c>
      <c r="D10" s="155"/>
      <c r="E10" s="155"/>
      <c r="F10" s="155"/>
      <c r="G10" s="155" t="s">
        <v>78</v>
      </c>
      <c r="H10" s="155" t="s">
        <v>50</v>
      </c>
      <c r="I10" s="176">
        <v>0</v>
      </c>
      <c r="J10" s="176">
        <v>0</v>
      </c>
      <c r="K10" s="156" t="s">
        <v>47</v>
      </c>
      <c r="L10" s="157" t="s">
        <v>153</v>
      </c>
      <c r="M10" s="157" t="s">
        <v>153</v>
      </c>
      <c r="N10" s="187" t="str">
        <f t="shared" si="1"/>
        <v/>
      </c>
    </row>
    <row r="11" spans="1:19" s="58" customFormat="1" x14ac:dyDescent="0.25">
      <c r="B11" s="155" t="s">
        <v>2</v>
      </c>
      <c r="C11" s="155" t="str">
        <f t="shared" ref="C11" si="3">IF(D11="","All",D11&amp;" "&amp;E11)</f>
        <v>All</v>
      </c>
      <c r="D11" s="155"/>
      <c r="E11" s="155"/>
      <c r="F11" s="155"/>
      <c r="G11" s="155" t="s">
        <v>275</v>
      </c>
      <c r="H11" s="155" t="s">
        <v>50</v>
      </c>
      <c r="I11" s="176">
        <v>0</v>
      </c>
      <c r="J11" s="176">
        <v>2.0499999999999998</v>
      </c>
      <c r="K11" s="156" t="s">
        <v>47</v>
      </c>
      <c r="L11" s="157" t="s">
        <v>153</v>
      </c>
      <c r="M11" s="157" t="s">
        <v>153</v>
      </c>
      <c r="N11" s="187" t="str">
        <f t="shared" ref="N11" si="4">IFERROR(IF(K11="%",J11-I11,J11/I11-1),"")</f>
        <v/>
      </c>
    </row>
    <row r="12" spans="1:19" s="58" customFormat="1" x14ac:dyDescent="0.25">
      <c r="B12" s="155" t="s">
        <v>2</v>
      </c>
      <c r="C12" s="155" t="str">
        <f t="shared" si="2"/>
        <v>All</v>
      </c>
      <c r="D12" s="155"/>
      <c r="E12" s="155"/>
      <c r="F12" s="155"/>
      <c r="G12" s="155" t="s">
        <v>155</v>
      </c>
      <c r="H12" s="155" t="s">
        <v>50</v>
      </c>
      <c r="I12" s="176">
        <v>2.65</v>
      </c>
      <c r="J12" s="176">
        <v>3.07</v>
      </c>
      <c r="K12" s="156" t="s">
        <v>47</v>
      </c>
      <c r="L12" s="157" t="s">
        <v>153</v>
      </c>
      <c r="M12" s="157" t="s">
        <v>153</v>
      </c>
      <c r="N12" s="187">
        <f t="shared" si="1"/>
        <v>0.15849056603773581</v>
      </c>
    </row>
    <row r="13" spans="1:19" s="58" customFormat="1" x14ac:dyDescent="0.25">
      <c r="B13" s="155" t="s">
        <v>2</v>
      </c>
      <c r="C13" s="155" t="str">
        <f t="shared" si="2"/>
        <v>All</v>
      </c>
      <c r="D13" s="155"/>
      <c r="E13" s="155"/>
      <c r="F13" s="155"/>
      <c r="G13" s="155" t="s">
        <v>80</v>
      </c>
      <c r="H13" s="155" t="s">
        <v>50</v>
      </c>
      <c r="I13" s="176">
        <v>5.13</v>
      </c>
      <c r="J13" s="176">
        <v>7.27</v>
      </c>
      <c r="K13" s="156" t="s">
        <v>47</v>
      </c>
      <c r="L13" s="157" t="s">
        <v>153</v>
      </c>
      <c r="M13" s="157" t="s">
        <v>153</v>
      </c>
      <c r="N13" s="187">
        <f t="shared" si="1"/>
        <v>0.41715399610136439</v>
      </c>
    </row>
    <row r="14" spans="1:19" s="58" customFormat="1" x14ac:dyDescent="0.25">
      <c r="B14" s="155" t="s">
        <v>2</v>
      </c>
      <c r="C14" s="155" t="str">
        <f t="shared" si="2"/>
        <v>All</v>
      </c>
      <c r="D14" s="155"/>
      <c r="E14" s="155"/>
      <c r="F14" s="155"/>
      <c r="G14" s="155" t="s">
        <v>81</v>
      </c>
      <c r="H14" s="155" t="s">
        <v>50</v>
      </c>
      <c r="I14" s="176">
        <v>10.9</v>
      </c>
      <c r="J14" s="176">
        <v>6.86</v>
      </c>
      <c r="K14" s="156" t="s">
        <v>47</v>
      </c>
      <c r="L14" s="157" t="s">
        <v>153</v>
      </c>
      <c r="M14" s="157" t="s">
        <v>153</v>
      </c>
      <c r="N14" s="187">
        <f t="shared" si="1"/>
        <v>-0.37064220183486241</v>
      </c>
    </row>
    <row r="15" spans="1:19" s="58" customFormat="1" x14ac:dyDescent="0.25">
      <c r="B15" s="155" t="s">
        <v>2</v>
      </c>
      <c r="C15" s="155" t="str">
        <f t="shared" si="2"/>
        <v>All</v>
      </c>
      <c r="D15" s="155"/>
      <c r="E15" s="155"/>
      <c r="F15" s="155"/>
      <c r="G15" s="155" t="s">
        <v>82</v>
      </c>
      <c r="H15" s="155" t="s">
        <v>50</v>
      </c>
      <c r="I15" s="176">
        <v>3.39</v>
      </c>
      <c r="J15" s="176">
        <v>3.26</v>
      </c>
      <c r="K15" s="156" t="s">
        <v>47</v>
      </c>
      <c r="L15" s="157" t="s">
        <v>153</v>
      </c>
      <c r="M15" s="157" t="s">
        <v>153</v>
      </c>
      <c r="N15" s="187">
        <f t="shared" si="1"/>
        <v>-3.8348082595870303E-2</v>
      </c>
    </row>
    <row r="16" spans="1:19" s="58" customFormat="1" x14ac:dyDescent="0.25">
      <c r="B16" s="155" t="s">
        <v>2</v>
      </c>
      <c r="C16" s="155" t="str">
        <f t="shared" ref="C16" si="5">IF(D16="","All",D16&amp;" "&amp;E16)</f>
        <v>All</v>
      </c>
      <c r="D16" s="155"/>
      <c r="E16" s="155"/>
      <c r="F16" s="155"/>
      <c r="G16" s="155" t="s">
        <v>198</v>
      </c>
      <c r="H16" s="155" t="s">
        <v>50</v>
      </c>
      <c r="I16" s="176">
        <v>0.21803668755877201</v>
      </c>
      <c r="J16" s="176">
        <v>0.42</v>
      </c>
      <c r="K16" s="156" t="s">
        <v>47</v>
      </c>
      <c r="L16" s="157" t="s">
        <v>153</v>
      </c>
      <c r="M16" s="157" t="s">
        <v>153</v>
      </c>
      <c r="N16" s="187">
        <f t="shared" ref="N16" si="6">IFERROR(IF(K16="%",J16-I16,J16/I16-1),"")</f>
        <v>0.92628132770907445</v>
      </c>
    </row>
    <row r="17" spans="2:18" s="58" customFormat="1" x14ac:dyDescent="0.25">
      <c r="B17" s="155" t="s">
        <v>2</v>
      </c>
      <c r="C17" s="155" t="str">
        <f t="shared" si="2"/>
        <v>Residential without CL</v>
      </c>
      <c r="D17" s="155" t="s">
        <v>6</v>
      </c>
      <c r="E17" s="155" t="s">
        <v>146</v>
      </c>
      <c r="F17" s="155" t="s">
        <v>22</v>
      </c>
      <c r="G17" s="155" t="s">
        <v>79</v>
      </c>
      <c r="H17" s="155" t="s">
        <v>50</v>
      </c>
      <c r="I17" s="277">
        <v>5.2999999999999999E-2</v>
      </c>
      <c r="J17" s="277">
        <v>5.0999999999999997E-2</v>
      </c>
      <c r="K17" s="156" t="s">
        <v>30</v>
      </c>
      <c r="L17" s="157" t="s">
        <v>153</v>
      </c>
      <c r="M17" s="157" t="s">
        <v>153</v>
      </c>
      <c r="N17" s="187">
        <f t="shared" si="1"/>
        <v>-2.0000000000000018E-3</v>
      </c>
    </row>
    <row r="18" spans="2:18" s="58" customFormat="1" x14ac:dyDescent="0.25">
      <c r="B18" s="155" t="s">
        <v>2</v>
      </c>
      <c r="C18" s="155" t="str">
        <f t="shared" si="2"/>
        <v>Residential with CL</v>
      </c>
      <c r="D18" s="155" t="s">
        <v>6</v>
      </c>
      <c r="E18" s="155" t="s">
        <v>147</v>
      </c>
      <c r="F18" s="155" t="s">
        <v>16</v>
      </c>
      <c r="G18" s="155" t="s">
        <v>79</v>
      </c>
      <c r="H18" s="155" t="s">
        <v>50</v>
      </c>
      <c r="I18" s="277">
        <v>5.6000000000000001E-2</v>
      </c>
      <c r="J18" s="277">
        <v>5.3999999999999999E-2</v>
      </c>
      <c r="K18" s="156" t="s">
        <v>30</v>
      </c>
      <c r="L18" s="157" t="s">
        <v>153</v>
      </c>
      <c r="M18" s="157" t="s">
        <v>153</v>
      </c>
      <c r="N18" s="187">
        <f t="shared" si="1"/>
        <v>-2.0000000000000018E-3</v>
      </c>
    </row>
    <row r="19" spans="2:18" s="58" customFormat="1" x14ac:dyDescent="0.25">
      <c r="B19" s="155" t="s">
        <v>2</v>
      </c>
      <c r="C19" s="155" t="str">
        <f>IF(D19="","All",D19&amp;" "&amp;E19)</f>
        <v>Residential with CL</v>
      </c>
      <c r="D19" s="155" t="s">
        <v>6</v>
      </c>
      <c r="E19" s="155" t="s">
        <v>147</v>
      </c>
      <c r="F19" s="155" t="s">
        <v>17</v>
      </c>
      <c r="G19" s="155" t="s">
        <v>79</v>
      </c>
      <c r="H19" s="155" t="s">
        <v>50</v>
      </c>
      <c r="I19" s="277">
        <v>5.6000000000000001E-2</v>
      </c>
      <c r="J19" s="277">
        <v>5.3999999999999999E-2</v>
      </c>
      <c r="K19" s="156" t="s">
        <v>30</v>
      </c>
      <c r="L19" s="157" t="s">
        <v>153</v>
      </c>
      <c r="M19" s="157" t="s">
        <v>153</v>
      </c>
      <c r="N19" s="187">
        <f t="shared" si="1"/>
        <v>-2.0000000000000018E-3</v>
      </c>
    </row>
    <row r="20" spans="2:18" s="58" customFormat="1" x14ac:dyDescent="0.25">
      <c r="B20" s="155" t="s">
        <v>2</v>
      </c>
      <c r="C20" s="155" t="str">
        <f>IF(D20="","All",D20&amp;" "&amp;E20)</f>
        <v>Small business without CL</v>
      </c>
      <c r="D20" s="155" t="s">
        <v>15</v>
      </c>
      <c r="E20" s="155" t="s">
        <v>146</v>
      </c>
      <c r="F20" s="155" t="s">
        <v>22</v>
      </c>
      <c r="G20" s="155" t="s">
        <v>79</v>
      </c>
      <c r="H20" s="155" t="s">
        <v>50</v>
      </c>
      <c r="I20" s="277">
        <v>5.2999999999999999E-2</v>
      </c>
      <c r="J20" s="277">
        <v>5.0999999999999997E-2</v>
      </c>
      <c r="K20" s="156" t="s">
        <v>30</v>
      </c>
      <c r="L20" s="157" t="s">
        <v>153</v>
      </c>
      <c r="M20" s="157" t="s">
        <v>153</v>
      </c>
      <c r="N20" s="187">
        <f t="shared" si="1"/>
        <v>-2.0000000000000018E-3</v>
      </c>
    </row>
    <row r="21" spans="2:18" s="58" customFormat="1" x14ac:dyDescent="0.25">
      <c r="B21" s="155" t="s">
        <v>2</v>
      </c>
      <c r="C21" s="155" t="s">
        <v>160</v>
      </c>
      <c r="D21" s="155" t="s">
        <v>6</v>
      </c>
      <c r="E21" s="155"/>
      <c r="F21" s="155"/>
      <c r="G21" s="155" t="s">
        <v>201</v>
      </c>
      <c r="H21" s="155" t="s">
        <v>49</v>
      </c>
      <c r="I21" s="176">
        <v>132</v>
      </c>
      <c r="J21" s="176">
        <v>136</v>
      </c>
      <c r="K21" s="156" t="s">
        <v>74</v>
      </c>
      <c r="L21" s="157" t="s">
        <v>211</v>
      </c>
      <c r="M21" s="157" t="s">
        <v>241</v>
      </c>
      <c r="N21" s="187">
        <f t="shared" ref="N21:N27" si="7">IFERROR(IF(K21="%",J21-I21,J21/I21-1),"")</f>
        <v>3.0303030303030276E-2</v>
      </c>
    </row>
    <row r="22" spans="2:18" s="58" customFormat="1" x14ac:dyDescent="0.25">
      <c r="B22" s="155" t="s">
        <v>2</v>
      </c>
      <c r="C22" s="155" t="s">
        <v>161</v>
      </c>
      <c r="D22" s="155" t="s">
        <v>6</v>
      </c>
      <c r="E22" s="155"/>
      <c r="F22" s="155"/>
      <c r="G22" s="155" t="s">
        <v>201</v>
      </c>
      <c r="H22" s="155" t="s">
        <v>49</v>
      </c>
      <c r="I22" s="176">
        <v>132</v>
      </c>
      <c r="J22" s="176">
        <v>136</v>
      </c>
      <c r="K22" s="156" t="s">
        <v>74</v>
      </c>
      <c r="L22" s="157" t="s">
        <v>211</v>
      </c>
      <c r="M22" s="157" t="s">
        <v>241</v>
      </c>
      <c r="N22" s="187">
        <f t="shared" ref="N22:N25" si="8">IFERROR(IF(K22="%",J22-I22,J22/I22-1),"")</f>
        <v>3.0303030303030276E-2</v>
      </c>
    </row>
    <row r="23" spans="2:18" s="58" customFormat="1" ht="15" customHeight="1" x14ac:dyDescent="0.25">
      <c r="B23" s="155" t="s">
        <v>2</v>
      </c>
      <c r="C23" s="155" t="s">
        <v>162</v>
      </c>
      <c r="D23" s="155" t="s">
        <v>15</v>
      </c>
      <c r="E23" s="155"/>
      <c r="F23" s="155"/>
      <c r="G23" s="155" t="s">
        <v>201</v>
      </c>
      <c r="H23" s="155" t="s">
        <v>49</v>
      </c>
      <c r="I23" s="176">
        <v>204</v>
      </c>
      <c r="J23" s="176">
        <v>165</v>
      </c>
      <c r="K23" s="156" t="s">
        <v>74</v>
      </c>
      <c r="L23" s="157" t="s">
        <v>214</v>
      </c>
      <c r="M23" s="232" t="s">
        <v>242</v>
      </c>
      <c r="N23" s="187">
        <f t="shared" si="8"/>
        <v>-0.19117647058823528</v>
      </c>
    </row>
    <row r="24" spans="2:18" s="58" customFormat="1" x14ac:dyDescent="0.25">
      <c r="B24" s="155" t="s">
        <v>2</v>
      </c>
      <c r="C24" s="155" t="s">
        <v>160</v>
      </c>
      <c r="D24" s="155" t="s">
        <v>6</v>
      </c>
      <c r="E24" s="155"/>
      <c r="F24" s="155"/>
      <c r="G24" s="155" t="s">
        <v>202</v>
      </c>
      <c r="H24" s="155" t="s">
        <v>49</v>
      </c>
      <c r="I24" s="176">
        <v>15.12</v>
      </c>
      <c r="J24" s="176">
        <v>19.332562634872932</v>
      </c>
      <c r="K24" s="156" t="s">
        <v>74</v>
      </c>
      <c r="L24" s="157" t="s">
        <v>212</v>
      </c>
      <c r="M24" s="157" t="s">
        <v>246</v>
      </c>
      <c r="N24" s="187">
        <f t="shared" ref="N24" si="9">IFERROR(IF(K24="%",J24-I24,J24/I24-1),"")</f>
        <v>0.27860863987254847</v>
      </c>
    </row>
    <row r="25" spans="2:18" s="58" customFormat="1" x14ac:dyDescent="0.25">
      <c r="B25" s="155" t="s">
        <v>2</v>
      </c>
      <c r="C25" s="155" t="s">
        <v>161</v>
      </c>
      <c r="D25" s="155" t="s">
        <v>6</v>
      </c>
      <c r="E25" s="155"/>
      <c r="F25" s="155"/>
      <c r="G25" s="155" t="s">
        <v>202</v>
      </c>
      <c r="H25" s="155" t="s">
        <v>49</v>
      </c>
      <c r="I25" s="176">
        <v>15.12</v>
      </c>
      <c r="J25" s="176">
        <v>19.332562634872932</v>
      </c>
      <c r="K25" s="156" t="s">
        <v>74</v>
      </c>
      <c r="L25" s="157" t="s">
        <v>212</v>
      </c>
      <c r="M25" s="157" t="s">
        <v>246</v>
      </c>
      <c r="N25" s="187">
        <f t="shared" si="8"/>
        <v>0.27860863987254847</v>
      </c>
    </row>
    <row r="26" spans="2:18" s="58" customFormat="1" x14ac:dyDescent="0.25">
      <c r="B26" s="155" t="s">
        <v>2</v>
      </c>
      <c r="C26" s="155" t="s">
        <v>162</v>
      </c>
      <c r="D26" s="155" t="s">
        <v>15</v>
      </c>
      <c r="E26" s="155"/>
      <c r="F26" s="155"/>
      <c r="G26" s="155" t="s">
        <v>202</v>
      </c>
      <c r="H26" s="155" t="s">
        <v>49</v>
      </c>
      <c r="I26" s="176">
        <v>9.2200000000000006</v>
      </c>
      <c r="J26" s="176">
        <v>19.01876988842864</v>
      </c>
      <c r="K26" s="156" t="s">
        <v>74</v>
      </c>
      <c r="L26" s="157" t="s">
        <v>212</v>
      </c>
      <c r="M26" s="157" t="s">
        <v>246</v>
      </c>
      <c r="N26" s="187">
        <f t="shared" si="7"/>
        <v>1.0627733067710019</v>
      </c>
    </row>
    <row r="27" spans="2:18" s="224" customFormat="1" x14ac:dyDescent="0.25">
      <c r="B27" s="220" t="s">
        <v>2</v>
      </c>
      <c r="C27" s="220" t="str">
        <f t="shared" ref="C27" si="10">IF(D27="","All",D27&amp;" "&amp;E27)</f>
        <v>All</v>
      </c>
      <c r="D27" s="220"/>
      <c r="E27" s="220"/>
      <c r="F27" s="220"/>
      <c r="G27" s="220" t="s">
        <v>203</v>
      </c>
      <c r="H27" s="220" t="s">
        <v>49</v>
      </c>
      <c r="I27" s="226">
        <v>25.714884256834605</v>
      </c>
      <c r="J27" s="226">
        <v>16.059999999999999</v>
      </c>
      <c r="K27" s="221" t="s">
        <v>74</v>
      </c>
      <c r="L27" s="222" t="s">
        <v>213</v>
      </c>
      <c r="M27" s="222" t="s">
        <v>245</v>
      </c>
      <c r="N27" s="223">
        <f t="shared" si="7"/>
        <v>-0.37545898167006109</v>
      </c>
    </row>
    <row r="28" spans="2:18" s="58" customFormat="1" x14ac:dyDescent="0.25">
      <c r="B28" s="155" t="s">
        <v>4</v>
      </c>
      <c r="C28" s="155" t="str">
        <f t="shared" si="2"/>
        <v>Residential without CL</v>
      </c>
      <c r="D28" s="155" t="s">
        <v>6</v>
      </c>
      <c r="E28" s="155" t="s">
        <v>146</v>
      </c>
      <c r="F28" s="155" t="s">
        <v>22</v>
      </c>
      <c r="G28" s="155" t="s">
        <v>76</v>
      </c>
      <c r="H28" s="155" t="s">
        <v>50</v>
      </c>
      <c r="I28" s="176">
        <v>113.22</v>
      </c>
      <c r="J28" s="176">
        <v>171.88</v>
      </c>
      <c r="K28" s="156" t="s">
        <v>47</v>
      </c>
      <c r="L28" s="157" t="s">
        <v>153</v>
      </c>
      <c r="M28" s="157" t="s">
        <v>153</v>
      </c>
      <c r="N28" s="187">
        <f t="shared" si="1"/>
        <v>0.51810634163575342</v>
      </c>
      <c r="Q28" s="264"/>
      <c r="R28" s="265"/>
    </row>
    <row r="29" spans="2:18" s="58" customFormat="1" x14ac:dyDescent="0.25">
      <c r="B29" s="155" t="s">
        <v>4</v>
      </c>
      <c r="C29" s="155" t="str">
        <f t="shared" si="2"/>
        <v>Residential with CL</v>
      </c>
      <c r="D29" s="155" t="s">
        <v>6</v>
      </c>
      <c r="E29" s="155" t="s">
        <v>147</v>
      </c>
      <c r="F29" s="155" t="s">
        <v>16</v>
      </c>
      <c r="G29" s="155" t="s">
        <v>76</v>
      </c>
      <c r="H29" s="155" t="s">
        <v>50</v>
      </c>
      <c r="I29" s="176">
        <v>104.02</v>
      </c>
      <c r="J29" s="176">
        <v>157.41</v>
      </c>
      <c r="K29" s="156" t="s">
        <v>47</v>
      </c>
      <c r="L29" s="157" t="s">
        <v>153</v>
      </c>
      <c r="M29" s="157" t="s">
        <v>153</v>
      </c>
      <c r="N29" s="187">
        <f t="shared" si="1"/>
        <v>0.51326667948471449</v>
      </c>
      <c r="Q29" s="264"/>
      <c r="R29" s="265"/>
    </row>
    <row r="30" spans="2:18" s="58" customFormat="1" x14ac:dyDescent="0.25">
      <c r="B30" s="155" t="s">
        <v>4</v>
      </c>
      <c r="C30" s="155" t="str">
        <f t="shared" si="2"/>
        <v>Residential with CL</v>
      </c>
      <c r="D30" s="155" t="s">
        <v>6</v>
      </c>
      <c r="E30" s="155" t="s">
        <v>147</v>
      </c>
      <c r="F30" s="155" t="s">
        <v>17</v>
      </c>
      <c r="G30" s="155" t="s">
        <v>76</v>
      </c>
      <c r="H30" s="155" t="s">
        <v>50</v>
      </c>
      <c r="I30" s="176">
        <v>104.02</v>
      </c>
      <c r="J30" s="176">
        <f>J29</f>
        <v>157.41</v>
      </c>
      <c r="K30" s="156" t="s">
        <v>47</v>
      </c>
      <c r="L30" s="157" t="s">
        <v>153</v>
      </c>
      <c r="M30" s="157" t="s">
        <v>153</v>
      </c>
      <c r="N30" s="187">
        <f t="shared" si="1"/>
        <v>0.51326667948471449</v>
      </c>
      <c r="Q30" s="264"/>
      <c r="R30" s="265"/>
    </row>
    <row r="31" spans="2:18" s="58" customFormat="1" x14ac:dyDescent="0.25">
      <c r="B31" s="155" t="s">
        <v>4</v>
      </c>
      <c r="C31" s="155" t="str">
        <f t="shared" si="2"/>
        <v>Small business without CL</v>
      </c>
      <c r="D31" s="155" t="s">
        <v>15</v>
      </c>
      <c r="E31" s="155" t="s">
        <v>146</v>
      </c>
      <c r="F31" s="155" t="s">
        <v>22</v>
      </c>
      <c r="G31" s="155" t="s">
        <v>76</v>
      </c>
      <c r="H31" s="155" t="s">
        <v>50</v>
      </c>
      <c r="I31" s="176">
        <v>113.22</v>
      </c>
      <c r="J31" s="176">
        <f>J28</f>
        <v>171.88</v>
      </c>
      <c r="K31" s="156" t="s">
        <v>47</v>
      </c>
      <c r="L31" s="157" t="s">
        <v>153</v>
      </c>
      <c r="M31" s="157" t="s">
        <v>153</v>
      </c>
      <c r="N31" s="187">
        <f t="shared" si="1"/>
        <v>0.51810634163575342</v>
      </c>
      <c r="Q31" s="264"/>
      <c r="R31" s="265"/>
    </row>
    <row r="32" spans="2:18" s="58" customFormat="1" x14ac:dyDescent="0.25">
      <c r="B32" s="155" t="s">
        <v>4</v>
      </c>
      <c r="C32" s="155" t="str">
        <f t="shared" si="2"/>
        <v>All</v>
      </c>
      <c r="D32" s="155"/>
      <c r="E32" s="155"/>
      <c r="F32" s="155"/>
      <c r="G32" s="155" t="s">
        <v>77</v>
      </c>
      <c r="H32" s="155" t="s">
        <v>50</v>
      </c>
      <c r="I32" s="176">
        <v>0.34</v>
      </c>
      <c r="J32" s="176">
        <v>0.42</v>
      </c>
      <c r="K32" s="156" t="s">
        <v>47</v>
      </c>
      <c r="L32" s="157" t="s">
        <v>153</v>
      </c>
      <c r="M32" s="157" t="s">
        <v>153</v>
      </c>
      <c r="N32" s="187">
        <f t="shared" si="1"/>
        <v>0.23529411764705865</v>
      </c>
    </row>
    <row r="33" spans="2:14" s="58" customFormat="1" x14ac:dyDescent="0.25">
      <c r="B33" s="155" t="s">
        <v>4</v>
      </c>
      <c r="C33" s="155" t="str">
        <f t="shared" si="2"/>
        <v>All</v>
      </c>
      <c r="D33" s="155"/>
      <c r="E33" s="155"/>
      <c r="F33" s="155"/>
      <c r="G33" s="155" t="s">
        <v>85</v>
      </c>
      <c r="H33" s="155" t="s">
        <v>50</v>
      </c>
      <c r="I33" s="176">
        <v>1.1000000000000001</v>
      </c>
      <c r="J33" s="176">
        <v>1.1499999999999999</v>
      </c>
      <c r="K33" s="156" t="s">
        <v>47</v>
      </c>
      <c r="L33" s="157" t="s">
        <v>153</v>
      </c>
      <c r="M33" s="157" t="s">
        <v>153</v>
      </c>
      <c r="N33" s="187">
        <f t="shared" si="1"/>
        <v>4.5454545454545192E-2</v>
      </c>
    </row>
    <row r="34" spans="2:14" s="58" customFormat="1" x14ac:dyDescent="0.25">
      <c r="B34" s="155" t="s">
        <v>4</v>
      </c>
      <c r="C34" s="155" t="str">
        <f t="shared" si="2"/>
        <v>All</v>
      </c>
      <c r="D34" s="155"/>
      <c r="E34" s="155"/>
      <c r="F34" s="155"/>
      <c r="G34" s="155" t="s">
        <v>78</v>
      </c>
      <c r="H34" s="155" t="s">
        <v>50</v>
      </c>
      <c r="I34" s="176">
        <v>0</v>
      </c>
      <c r="J34" s="176">
        <v>0</v>
      </c>
      <c r="K34" s="156" t="s">
        <v>47</v>
      </c>
      <c r="L34" s="157" t="s">
        <v>153</v>
      </c>
      <c r="M34" s="157" t="s">
        <v>153</v>
      </c>
      <c r="N34" s="187" t="str">
        <f t="shared" si="1"/>
        <v/>
      </c>
    </row>
    <row r="35" spans="2:14" s="58" customFormat="1" x14ac:dyDescent="0.25">
      <c r="B35" s="155" t="s">
        <v>4</v>
      </c>
      <c r="C35" s="155" t="str">
        <f t="shared" si="2"/>
        <v>All</v>
      </c>
      <c r="D35" s="155"/>
      <c r="E35" s="155"/>
      <c r="F35" s="155"/>
      <c r="G35" s="155" t="s">
        <v>275</v>
      </c>
      <c r="H35" s="155" t="s">
        <v>50</v>
      </c>
      <c r="I35" s="176">
        <v>0</v>
      </c>
      <c r="J35" s="176">
        <v>2.0499999999999998</v>
      </c>
      <c r="K35" s="156" t="s">
        <v>47</v>
      </c>
      <c r="L35" s="157" t="s">
        <v>153</v>
      </c>
      <c r="M35" s="157" t="s">
        <v>153</v>
      </c>
      <c r="N35" s="187" t="str">
        <f t="shared" si="1"/>
        <v/>
      </c>
    </row>
    <row r="36" spans="2:14" s="58" customFormat="1" x14ac:dyDescent="0.25">
      <c r="B36" s="155" t="s">
        <v>4</v>
      </c>
      <c r="C36" s="155" t="str">
        <f t="shared" si="2"/>
        <v>All</v>
      </c>
      <c r="D36" s="155"/>
      <c r="E36" s="155"/>
      <c r="F36" s="155"/>
      <c r="G36" s="155" t="s">
        <v>155</v>
      </c>
      <c r="H36" s="155" t="s">
        <v>50</v>
      </c>
      <c r="I36" s="176">
        <v>2.56</v>
      </c>
      <c r="J36" s="176">
        <v>2.78</v>
      </c>
      <c r="K36" s="156" t="s">
        <v>47</v>
      </c>
      <c r="L36" s="157" t="s">
        <v>153</v>
      </c>
      <c r="M36" s="157" t="s">
        <v>153</v>
      </c>
      <c r="N36" s="187">
        <f t="shared" si="1"/>
        <v>8.59375E-2</v>
      </c>
    </row>
    <row r="37" spans="2:14" s="58" customFormat="1" x14ac:dyDescent="0.25">
      <c r="B37" s="155" t="s">
        <v>4</v>
      </c>
      <c r="C37" s="155" t="str">
        <f t="shared" si="2"/>
        <v>All</v>
      </c>
      <c r="D37" s="155"/>
      <c r="E37" s="155"/>
      <c r="F37" s="155"/>
      <c r="G37" s="155" t="s">
        <v>80</v>
      </c>
      <c r="H37" s="155" t="s">
        <v>50</v>
      </c>
      <c r="I37" s="176">
        <v>5.13</v>
      </c>
      <c r="J37" s="176">
        <v>7.27</v>
      </c>
      <c r="K37" s="156" t="s">
        <v>47</v>
      </c>
      <c r="L37" s="157" t="s">
        <v>153</v>
      </c>
      <c r="M37" s="157" t="s">
        <v>153</v>
      </c>
      <c r="N37" s="187">
        <f t="shared" si="1"/>
        <v>0.41715399610136439</v>
      </c>
    </row>
    <row r="38" spans="2:14" s="58" customFormat="1" x14ac:dyDescent="0.25">
      <c r="B38" s="155" t="s">
        <v>4</v>
      </c>
      <c r="C38" s="155" t="str">
        <f t="shared" si="2"/>
        <v>All</v>
      </c>
      <c r="D38" s="155"/>
      <c r="E38" s="155"/>
      <c r="F38" s="155"/>
      <c r="G38" s="155" t="s">
        <v>81</v>
      </c>
      <c r="H38" s="155" t="s">
        <v>50</v>
      </c>
      <c r="I38" s="176">
        <v>10.9</v>
      </c>
      <c r="J38" s="176">
        <v>6.86</v>
      </c>
      <c r="K38" s="156" t="s">
        <v>47</v>
      </c>
      <c r="L38" s="157" t="s">
        <v>153</v>
      </c>
      <c r="M38" s="157" t="s">
        <v>153</v>
      </c>
      <c r="N38" s="187">
        <f t="shared" si="1"/>
        <v>-0.37064220183486241</v>
      </c>
    </row>
    <row r="39" spans="2:14" s="58" customFormat="1" x14ac:dyDescent="0.25">
      <c r="B39" s="155" t="s">
        <v>4</v>
      </c>
      <c r="C39" s="155" t="str">
        <f t="shared" si="2"/>
        <v>All</v>
      </c>
      <c r="D39" s="155"/>
      <c r="E39" s="155"/>
      <c r="F39" s="155"/>
      <c r="G39" s="155" t="s">
        <v>82</v>
      </c>
      <c r="H39" s="155" t="s">
        <v>50</v>
      </c>
      <c r="I39" s="176">
        <v>3.39</v>
      </c>
      <c r="J39" s="176">
        <v>3.26</v>
      </c>
      <c r="K39" s="156" t="s">
        <v>47</v>
      </c>
      <c r="L39" s="157" t="s">
        <v>153</v>
      </c>
      <c r="M39" s="157" t="s">
        <v>153</v>
      </c>
      <c r="N39" s="187">
        <f t="shared" si="1"/>
        <v>-3.8348082595870303E-2</v>
      </c>
    </row>
    <row r="40" spans="2:14" s="58" customFormat="1" x14ac:dyDescent="0.25">
      <c r="B40" s="155" t="s">
        <v>4</v>
      </c>
      <c r="C40" s="155" t="str">
        <f t="shared" ref="C40" si="11">IF(D40="","All",D40&amp;" "&amp;E40)</f>
        <v>All</v>
      </c>
      <c r="D40" s="155"/>
      <c r="E40" s="155"/>
      <c r="F40" s="155"/>
      <c r="G40" s="155" t="s">
        <v>198</v>
      </c>
      <c r="H40" s="155" t="s">
        <v>50</v>
      </c>
      <c r="I40" s="176">
        <v>0.21803668755877201</v>
      </c>
      <c r="J40" s="176">
        <v>0.42</v>
      </c>
      <c r="K40" s="156" t="s">
        <v>47</v>
      </c>
      <c r="L40" s="157" t="s">
        <v>153</v>
      </c>
      <c r="M40" s="157" t="s">
        <v>153</v>
      </c>
      <c r="N40" s="187">
        <f t="shared" ref="N40" si="12">IFERROR(IF(K40="%",J40-I40,J40/I40-1),"")</f>
        <v>0.92628132770907445</v>
      </c>
    </row>
    <row r="41" spans="2:14" s="58" customFormat="1" x14ac:dyDescent="0.25">
      <c r="B41" s="155" t="s">
        <v>4</v>
      </c>
      <c r="C41" s="155" t="str">
        <f t="shared" si="2"/>
        <v>Residential without CL</v>
      </c>
      <c r="D41" s="155" t="s">
        <v>6</v>
      </c>
      <c r="E41" s="155" t="s">
        <v>146</v>
      </c>
      <c r="F41" s="155" t="s">
        <v>22</v>
      </c>
      <c r="G41" s="155" t="s">
        <v>79</v>
      </c>
      <c r="H41" s="155" t="s">
        <v>50</v>
      </c>
      <c r="I41" s="277">
        <v>0.06</v>
      </c>
      <c r="J41" s="277">
        <v>0.06</v>
      </c>
      <c r="K41" s="156" t="s">
        <v>30</v>
      </c>
      <c r="L41" s="157" t="s">
        <v>153</v>
      </c>
      <c r="M41" s="157" t="s">
        <v>153</v>
      </c>
      <c r="N41" s="187">
        <f t="shared" si="1"/>
        <v>0</v>
      </c>
    </row>
    <row r="42" spans="2:14" s="58" customFormat="1" x14ac:dyDescent="0.25">
      <c r="B42" s="155" t="s">
        <v>4</v>
      </c>
      <c r="C42" s="155" t="str">
        <f>IF(D42="","All",D42&amp;" "&amp;E42)</f>
        <v>Residential with CL</v>
      </c>
      <c r="D42" s="155" t="s">
        <v>6</v>
      </c>
      <c r="E42" s="155" t="s">
        <v>147</v>
      </c>
      <c r="F42" s="155" t="s">
        <v>16</v>
      </c>
      <c r="G42" s="155" t="s">
        <v>79</v>
      </c>
      <c r="H42" s="155" t="s">
        <v>50</v>
      </c>
      <c r="I42" s="277">
        <v>0.06</v>
      </c>
      <c r="J42" s="277">
        <v>0.06</v>
      </c>
      <c r="K42" s="156" t="s">
        <v>30</v>
      </c>
      <c r="L42" s="157" t="s">
        <v>153</v>
      </c>
      <c r="M42" s="157" t="s">
        <v>153</v>
      </c>
      <c r="N42" s="187">
        <f t="shared" si="1"/>
        <v>0</v>
      </c>
    </row>
    <row r="43" spans="2:14" s="58" customFormat="1" x14ac:dyDescent="0.25">
      <c r="B43" s="155" t="s">
        <v>4</v>
      </c>
      <c r="C43" s="155" t="str">
        <f>IF(D43="","All",D43&amp;" "&amp;E43)</f>
        <v>Residential with CL</v>
      </c>
      <c r="D43" s="155" t="s">
        <v>6</v>
      </c>
      <c r="E43" s="155" t="s">
        <v>147</v>
      </c>
      <c r="F43" s="155" t="s">
        <v>17</v>
      </c>
      <c r="G43" s="155" t="s">
        <v>79</v>
      </c>
      <c r="H43" s="155" t="s">
        <v>50</v>
      </c>
      <c r="I43" s="277">
        <v>0.06</v>
      </c>
      <c r="J43" s="277">
        <v>0.06</v>
      </c>
      <c r="K43" s="156" t="s">
        <v>30</v>
      </c>
      <c r="L43" s="157" t="s">
        <v>153</v>
      </c>
      <c r="M43" s="157" t="s">
        <v>153</v>
      </c>
      <c r="N43" s="187">
        <f t="shared" si="1"/>
        <v>0</v>
      </c>
    </row>
    <row r="44" spans="2:14" s="58" customFormat="1" x14ac:dyDescent="0.25">
      <c r="B44" s="155" t="s">
        <v>4</v>
      </c>
      <c r="C44" s="155" t="str">
        <f>IF(D44="","All",D44&amp;" "&amp;E44)</f>
        <v>Small business without CL</v>
      </c>
      <c r="D44" s="155" t="s">
        <v>15</v>
      </c>
      <c r="E44" s="155" t="s">
        <v>146</v>
      </c>
      <c r="F44" s="155" t="s">
        <v>22</v>
      </c>
      <c r="G44" s="155" t="s">
        <v>79</v>
      </c>
      <c r="H44" s="155" t="s">
        <v>50</v>
      </c>
      <c r="I44" s="277">
        <v>0.06</v>
      </c>
      <c r="J44" s="277">
        <v>0.06</v>
      </c>
      <c r="K44" s="156" t="s">
        <v>30</v>
      </c>
      <c r="L44" s="157" t="s">
        <v>153</v>
      </c>
      <c r="M44" s="157" t="s">
        <v>153</v>
      </c>
      <c r="N44" s="187">
        <f t="shared" si="1"/>
        <v>0</v>
      </c>
    </row>
    <row r="45" spans="2:14" s="58" customFormat="1" x14ac:dyDescent="0.25">
      <c r="B45" s="155" t="s">
        <v>4</v>
      </c>
      <c r="C45" s="155" t="s">
        <v>160</v>
      </c>
      <c r="D45" s="155" t="s">
        <v>6</v>
      </c>
      <c r="E45" s="155"/>
      <c r="F45" s="155"/>
      <c r="G45" s="155" t="s">
        <v>201</v>
      </c>
      <c r="H45" s="155" t="s">
        <v>49</v>
      </c>
      <c r="I45" s="176">
        <v>132</v>
      </c>
      <c r="J45" s="176">
        <v>136</v>
      </c>
      <c r="K45" s="156" t="s">
        <v>74</v>
      </c>
      <c r="L45" s="157" t="s">
        <v>211</v>
      </c>
      <c r="M45" s="157" t="s">
        <v>241</v>
      </c>
      <c r="N45" s="187">
        <f t="shared" si="1"/>
        <v>3.0303030303030276E-2</v>
      </c>
    </row>
    <row r="46" spans="2:14" s="58" customFormat="1" x14ac:dyDescent="0.25">
      <c r="B46" s="155" t="s">
        <v>4</v>
      </c>
      <c r="C46" s="155" t="s">
        <v>161</v>
      </c>
      <c r="D46" s="155" t="s">
        <v>6</v>
      </c>
      <c r="E46" s="155"/>
      <c r="F46" s="155"/>
      <c r="G46" s="155" t="s">
        <v>201</v>
      </c>
      <c r="H46" s="155" t="s">
        <v>49</v>
      </c>
      <c r="I46" s="176">
        <v>132</v>
      </c>
      <c r="J46" s="176">
        <v>136</v>
      </c>
      <c r="K46" s="156" t="s">
        <v>74</v>
      </c>
      <c r="L46" s="157" t="s">
        <v>211</v>
      </c>
      <c r="M46" s="157" t="s">
        <v>241</v>
      </c>
      <c r="N46" s="187">
        <f t="shared" si="1"/>
        <v>3.0303030303030276E-2</v>
      </c>
    </row>
    <row r="47" spans="2:14" s="58" customFormat="1" ht="15" customHeight="1" x14ac:dyDescent="0.25">
      <c r="B47" s="155" t="s">
        <v>4</v>
      </c>
      <c r="C47" s="155" t="s">
        <v>162</v>
      </c>
      <c r="D47" s="155" t="s">
        <v>15</v>
      </c>
      <c r="E47" s="155"/>
      <c r="F47" s="155"/>
      <c r="G47" s="155" t="s">
        <v>201</v>
      </c>
      <c r="H47" s="155" t="s">
        <v>49</v>
      </c>
      <c r="I47" s="176">
        <v>204</v>
      </c>
      <c r="J47" s="176">
        <v>165</v>
      </c>
      <c r="K47" s="156" t="s">
        <v>74</v>
      </c>
      <c r="L47" s="157" t="s">
        <v>214</v>
      </c>
      <c r="M47" s="232" t="s">
        <v>242</v>
      </c>
      <c r="N47" s="187">
        <f t="shared" si="1"/>
        <v>-0.19117647058823528</v>
      </c>
    </row>
    <row r="48" spans="2:14" s="58" customFormat="1" x14ac:dyDescent="0.25">
      <c r="B48" s="155" t="s">
        <v>4</v>
      </c>
      <c r="C48" s="155" t="s">
        <v>160</v>
      </c>
      <c r="D48" s="155" t="s">
        <v>6</v>
      </c>
      <c r="E48" s="155"/>
      <c r="F48" s="155"/>
      <c r="G48" s="155" t="s">
        <v>202</v>
      </c>
      <c r="H48" s="155" t="s">
        <v>49</v>
      </c>
      <c r="I48" s="176">
        <v>21.4</v>
      </c>
      <c r="J48" s="176">
        <v>23.738470155535932</v>
      </c>
      <c r="K48" s="156" t="s">
        <v>74</v>
      </c>
      <c r="L48" s="157" t="s">
        <v>212</v>
      </c>
      <c r="M48" s="157" t="s">
        <v>246</v>
      </c>
      <c r="N48" s="187">
        <f t="shared" si="1"/>
        <v>0.10927430633345492</v>
      </c>
    </row>
    <row r="49" spans="2:18" s="58" customFormat="1" x14ac:dyDescent="0.25">
      <c r="B49" s="155" t="s">
        <v>4</v>
      </c>
      <c r="C49" s="155" t="s">
        <v>161</v>
      </c>
      <c r="D49" s="155" t="s">
        <v>6</v>
      </c>
      <c r="E49" s="155"/>
      <c r="F49" s="155"/>
      <c r="G49" s="155" t="s">
        <v>202</v>
      </c>
      <c r="H49" s="155" t="s">
        <v>49</v>
      </c>
      <c r="I49" s="176">
        <v>21.4</v>
      </c>
      <c r="J49" s="176">
        <v>23.738470155535932</v>
      </c>
      <c r="K49" s="156" t="s">
        <v>74</v>
      </c>
      <c r="L49" s="157" t="s">
        <v>212</v>
      </c>
      <c r="M49" s="157" t="s">
        <v>246</v>
      </c>
      <c r="N49" s="187">
        <f t="shared" si="1"/>
        <v>0.10927430633345492</v>
      </c>
    </row>
    <row r="50" spans="2:18" s="58" customFormat="1" x14ac:dyDescent="0.25">
      <c r="B50" s="155" t="s">
        <v>4</v>
      </c>
      <c r="C50" s="155" t="s">
        <v>162</v>
      </c>
      <c r="D50" s="155" t="s">
        <v>15</v>
      </c>
      <c r="E50" s="155"/>
      <c r="F50" s="155"/>
      <c r="G50" s="155" t="s">
        <v>202</v>
      </c>
      <c r="H50" s="155" t="s">
        <v>49</v>
      </c>
      <c r="I50" s="176">
        <v>14.9</v>
      </c>
      <c r="J50" s="176">
        <v>17.906392191146164</v>
      </c>
      <c r="K50" s="156" t="s">
        <v>74</v>
      </c>
      <c r="L50" s="157" t="s">
        <v>212</v>
      </c>
      <c r="M50" s="157" t="s">
        <v>246</v>
      </c>
      <c r="N50" s="187">
        <f t="shared" si="1"/>
        <v>0.20177128799638688</v>
      </c>
    </row>
    <row r="51" spans="2:18" s="224" customFormat="1" x14ac:dyDescent="0.25">
      <c r="B51" s="220" t="s">
        <v>4</v>
      </c>
      <c r="C51" s="220" t="str">
        <f t="shared" ref="C51" si="13">IF(D51="","All",D51&amp;" "&amp;E51)</f>
        <v>All</v>
      </c>
      <c r="D51" s="220"/>
      <c r="E51" s="220"/>
      <c r="F51" s="220"/>
      <c r="G51" s="220" t="s">
        <v>203</v>
      </c>
      <c r="H51" s="220" t="s">
        <v>49</v>
      </c>
      <c r="I51" s="226">
        <v>25.714884256834605</v>
      </c>
      <c r="J51" s="226">
        <v>16.059999999999999</v>
      </c>
      <c r="K51" s="221" t="s">
        <v>74</v>
      </c>
      <c r="L51" s="222" t="s">
        <v>213</v>
      </c>
      <c r="M51" s="222" t="s">
        <v>245</v>
      </c>
      <c r="N51" s="223">
        <f t="shared" si="1"/>
        <v>-0.37545898167006109</v>
      </c>
    </row>
    <row r="52" spans="2:18" s="58" customFormat="1" x14ac:dyDescent="0.25">
      <c r="B52" s="155" t="s">
        <v>3</v>
      </c>
      <c r="C52" s="155" t="str">
        <f t="shared" si="2"/>
        <v>Residential without CL</v>
      </c>
      <c r="D52" s="155" t="s">
        <v>6</v>
      </c>
      <c r="E52" s="155" t="s">
        <v>146</v>
      </c>
      <c r="F52" s="155" t="s">
        <v>22</v>
      </c>
      <c r="G52" s="155" t="s">
        <v>76</v>
      </c>
      <c r="H52" s="155" t="s">
        <v>50</v>
      </c>
      <c r="I52" s="176">
        <v>107.65</v>
      </c>
      <c r="J52" s="176">
        <v>165.66</v>
      </c>
      <c r="K52" s="156" t="s">
        <v>47</v>
      </c>
      <c r="L52" s="157" t="s">
        <v>153</v>
      </c>
      <c r="M52" s="157" t="s">
        <v>153</v>
      </c>
      <c r="N52" s="187">
        <f t="shared" si="1"/>
        <v>0.5388759869948907</v>
      </c>
      <c r="Q52" s="264"/>
      <c r="R52" s="265"/>
    </row>
    <row r="53" spans="2:18" s="58" customFormat="1" x14ac:dyDescent="0.25">
      <c r="B53" s="155" t="s">
        <v>3</v>
      </c>
      <c r="C53" s="155" t="str">
        <f t="shared" si="2"/>
        <v>Residential with CL</v>
      </c>
      <c r="D53" s="155" t="s">
        <v>6</v>
      </c>
      <c r="E53" s="155" t="s">
        <v>147</v>
      </c>
      <c r="F53" s="155" t="s">
        <v>16</v>
      </c>
      <c r="G53" s="155" t="s">
        <v>76</v>
      </c>
      <c r="H53" s="155" t="s">
        <v>50</v>
      </c>
      <c r="I53" s="176">
        <v>80.28</v>
      </c>
      <c r="J53" s="176">
        <v>102.06</v>
      </c>
      <c r="K53" s="156" t="s">
        <v>47</v>
      </c>
      <c r="L53" s="157" t="s">
        <v>153</v>
      </c>
      <c r="M53" s="157" t="s">
        <v>153</v>
      </c>
      <c r="N53" s="187">
        <f t="shared" si="1"/>
        <v>0.27130044843049328</v>
      </c>
      <c r="Q53" s="264"/>
      <c r="R53" s="265"/>
    </row>
    <row r="54" spans="2:18" s="58" customFormat="1" x14ac:dyDescent="0.25">
      <c r="B54" s="155" t="s">
        <v>3</v>
      </c>
      <c r="C54" s="155" t="str">
        <f t="shared" si="2"/>
        <v>Residential with CL</v>
      </c>
      <c r="D54" s="155" t="s">
        <v>6</v>
      </c>
      <c r="E54" s="155" t="s">
        <v>147</v>
      </c>
      <c r="F54" s="155" t="s">
        <v>17</v>
      </c>
      <c r="G54" s="155" t="s">
        <v>76</v>
      </c>
      <c r="H54" s="155" t="s">
        <v>50</v>
      </c>
      <c r="I54" s="176">
        <v>80.28</v>
      </c>
      <c r="J54" s="176">
        <f>J53</f>
        <v>102.06</v>
      </c>
      <c r="K54" s="156" t="s">
        <v>47</v>
      </c>
      <c r="L54" s="157" t="s">
        <v>153</v>
      </c>
      <c r="M54" s="157" t="s">
        <v>153</v>
      </c>
      <c r="N54" s="187">
        <f t="shared" si="1"/>
        <v>0.27130044843049328</v>
      </c>
      <c r="Q54" s="264"/>
      <c r="R54" s="265"/>
    </row>
    <row r="55" spans="2:18" s="58" customFormat="1" x14ac:dyDescent="0.25">
      <c r="B55" s="155" t="s">
        <v>3</v>
      </c>
      <c r="C55" s="155" t="str">
        <f t="shared" si="2"/>
        <v>Small business without CL</v>
      </c>
      <c r="D55" s="155" t="s">
        <v>15</v>
      </c>
      <c r="E55" s="155" t="s">
        <v>146</v>
      </c>
      <c r="F55" s="155" t="s">
        <v>22</v>
      </c>
      <c r="G55" s="155" t="s">
        <v>76</v>
      </c>
      <c r="H55" s="155" t="s">
        <v>50</v>
      </c>
      <c r="I55" s="176">
        <v>107.65</v>
      </c>
      <c r="J55" s="176">
        <f>J52</f>
        <v>165.66</v>
      </c>
      <c r="K55" s="156" t="s">
        <v>47</v>
      </c>
      <c r="L55" s="157" t="s">
        <v>153</v>
      </c>
      <c r="M55" s="157" t="s">
        <v>153</v>
      </c>
      <c r="N55" s="187">
        <f t="shared" si="1"/>
        <v>0.5388759869948907</v>
      </c>
      <c r="Q55" s="264"/>
      <c r="R55" s="265"/>
    </row>
    <row r="56" spans="2:18" s="58" customFormat="1" x14ac:dyDescent="0.25">
      <c r="B56" s="155" t="s">
        <v>3</v>
      </c>
      <c r="C56" s="155" t="str">
        <f t="shared" si="2"/>
        <v>All</v>
      </c>
      <c r="D56" s="155"/>
      <c r="E56" s="155"/>
      <c r="F56" s="155"/>
      <c r="G56" s="155" t="s">
        <v>77</v>
      </c>
      <c r="H56" s="155" t="s">
        <v>50</v>
      </c>
      <c r="I56" s="176">
        <v>0.34</v>
      </c>
      <c r="J56" s="176">
        <v>0.42</v>
      </c>
      <c r="K56" s="156" t="s">
        <v>47</v>
      </c>
      <c r="L56" s="157" t="s">
        <v>153</v>
      </c>
      <c r="M56" s="157" t="s">
        <v>153</v>
      </c>
      <c r="N56" s="187">
        <f t="shared" si="1"/>
        <v>0.23529411764705865</v>
      </c>
    </row>
    <row r="57" spans="2:18" s="58" customFormat="1" x14ac:dyDescent="0.25">
      <c r="B57" s="155" t="s">
        <v>3</v>
      </c>
      <c r="C57" s="155" t="str">
        <f t="shared" si="2"/>
        <v>All</v>
      </c>
      <c r="D57" s="155"/>
      <c r="E57" s="155"/>
      <c r="F57" s="155"/>
      <c r="G57" s="155" t="s">
        <v>85</v>
      </c>
      <c r="H57" s="155" t="s">
        <v>50</v>
      </c>
      <c r="I57" s="176">
        <v>1.1000000000000001</v>
      </c>
      <c r="J57" s="176">
        <v>1.1499999999999999</v>
      </c>
      <c r="K57" s="156" t="s">
        <v>47</v>
      </c>
      <c r="L57" s="157" t="s">
        <v>153</v>
      </c>
      <c r="M57" s="157" t="s">
        <v>153</v>
      </c>
      <c r="N57" s="187">
        <f t="shared" si="1"/>
        <v>4.5454545454545192E-2</v>
      </c>
    </row>
    <row r="58" spans="2:18" s="58" customFormat="1" x14ac:dyDescent="0.25">
      <c r="B58" s="155" t="s">
        <v>3</v>
      </c>
      <c r="C58" s="155" t="str">
        <f t="shared" si="2"/>
        <v>All</v>
      </c>
      <c r="D58" s="155"/>
      <c r="E58" s="155"/>
      <c r="F58" s="155"/>
      <c r="G58" s="155" t="s">
        <v>78</v>
      </c>
      <c r="H58" s="155" t="s">
        <v>50</v>
      </c>
      <c r="I58" s="176">
        <v>0</v>
      </c>
      <c r="J58" s="176">
        <v>0</v>
      </c>
      <c r="K58" s="156" t="s">
        <v>47</v>
      </c>
      <c r="L58" s="157" t="s">
        <v>153</v>
      </c>
      <c r="M58" s="157" t="s">
        <v>153</v>
      </c>
      <c r="N58" s="187" t="str">
        <f t="shared" si="1"/>
        <v/>
      </c>
    </row>
    <row r="59" spans="2:18" s="58" customFormat="1" x14ac:dyDescent="0.25">
      <c r="B59" s="155" t="s">
        <v>3</v>
      </c>
      <c r="C59" s="155" t="str">
        <f t="shared" ref="C59" si="14">IF(D59="","All",D59&amp;" "&amp;E59)</f>
        <v>All</v>
      </c>
      <c r="D59" s="155"/>
      <c r="E59" s="155"/>
      <c r="F59" s="155"/>
      <c r="G59" s="155" t="str">
        <f>+G35</f>
        <v>June 2022 Event Cost</v>
      </c>
      <c r="H59" s="155" t="s">
        <v>50</v>
      </c>
      <c r="I59" s="176">
        <v>0</v>
      </c>
      <c r="J59" s="176">
        <v>2.0499999999999998</v>
      </c>
      <c r="K59" s="156" t="s">
        <v>47</v>
      </c>
      <c r="L59" s="157" t="s">
        <v>153</v>
      </c>
      <c r="M59" s="157" t="s">
        <v>153</v>
      </c>
      <c r="N59" s="187" t="str">
        <f t="shared" ref="N59" si="15">IFERROR(IF(K59="%",J59-I59,J59/I59-1),"")</f>
        <v/>
      </c>
    </row>
    <row r="60" spans="2:18" s="58" customFormat="1" x14ac:dyDescent="0.25">
      <c r="B60" s="155" t="s">
        <v>3</v>
      </c>
      <c r="C60" s="155" t="str">
        <f t="shared" si="2"/>
        <v>All</v>
      </c>
      <c r="D60" s="155"/>
      <c r="E60" s="155"/>
      <c r="F60" s="155"/>
      <c r="G60" s="155" t="s">
        <v>155</v>
      </c>
      <c r="H60" s="155" t="s">
        <v>50</v>
      </c>
      <c r="I60" s="176">
        <v>2.31</v>
      </c>
      <c r="J60" s="176">
        <v>2.64</v>
      </c>
      <c r="K60" s="156" t="s">
        <v>47</v>
      </c>
      <c r="L60" s="157" t="s">
        <v>153</v>
      </c>
      <c r="M60" s="157" t="s">
        <v>153</v>
      </c>
      <c r="N60" s="187">
        <f t="shared" si="1"/>
        <v>0.14285714285714279</v>
      </c>
    </row>
    <row r="61" spans="2:18" s="58" customFormat="1" x14ac:dyDescent="0.25">
      <c r="B61" s="155" t="s">
        <v>3</v>
      </c>
      <c r="C61" s="155" t="str">
        <f t="shared" si="2"/>
        <v>All</v>
      </c>
      <c r="D61" s="155"/>
      <c r="E61" s="155"/>
      <c r="F61" s="155"/>
      <c r="G61" s="155" t="s">
        <v>80</v>
      </c>
      <c r="H61" s="155" t="s">
        <v>50</v>
      </c>
      <c r="I61" s="176">
        <v>5.13</v>
      </c>
      <c r="J61" s="176">
        <v>7.27</v>
      </c>
      <c r="K61" s="156" t="s">
        <v>47</v>
      </c>
      <c r="L61" s="157" t="s">
        <v>153</v>
      </c>
      <c r="M61" s="157" t="s">
        <v>153</v>
      </c>
      <c r="N61" s="187">
        <f t="shared" si="1"/>
        <v>0.41715399610136439</v>
      </c>
    </row>
    <row r="62" spans="2:18" s="58" customFormat="1" x14ac:dyDescent="0.25">
      <c r="B62" s="155" t="s">
        <v>3</v>
      </c>
      <c r="C62" s="155" t="str">
        <f t="shared" si="2"/>
        <v>All</v>
      </c>
      <c r="D62" s="155"/>
      <c r="E62" s="155"/>
      <c r="F62" s="155"/>
      <c r="G62" s="155" t="s">
        <v>81</v>
      </c>
      <c r="H62" s="155" t="s">
        <v>50</v>
      </c>
      <c r="I62" s="176">
        <v>10.9</v>
      </c>
      <c r="J62" s="176">
        <v>6.86</v>
      </c>
      <c r="K62" s="156" t="s">
        <v>47</v>
      </c>
      <c r="L62" s="157" t="s">
        <v>153</v>
      </c>
      <c r="M62" s="157" t="s">
        <v>153</v>
      </c>
      <c r="N62" s="187">
        <f t="shared" si="1"/>
        <v>-0.37064220183486241</v>
      </c>
    </row>
    <row r="63" spans="2:18" s="58" customFormat="1" x14ac:dyDescent="0.25">
      <c r="B63" s="155" t="s">
        <v>3</v>
      </c>
      <c r="C63" s="155" t="str">
        <f t="shared" si="2"/>
        <v>All</v>
      </c>
      <c r="D63" s="155"/>
      <c r="E63" s="155"/>
      <c r="F63" s="155"/>
      <c r="G63" s="155" t="s">
        <v>82</v>
      </c>
      <c r="H63" s="155" t="s">
        <v>50</v>
      </c>
      <c r="I63" s="176">
        <v>3.39</v>
      </c>
      <c r="J63" s="176">
        <v>3.26</v>
      </c>
      <c r="K63" s="156" t="s">
        <v>47</v>
      </c>
      <c r="L63" s="157" t="s">
        <v>153</v>
      </c>
      <c r="M63" s="157" t="s">
        <v>153</v>
      </c>
      <c r="N63" s="187">
        <f t="shared" si="1"/>
        <v>-3.8348082595870303E-2</v>
      </c>
    </row>
    <row r="64" spans="2:18" s="58" customFormat="1" x14ac:dyDescent="0.25">
      <c r="B64" s="155" t="s">
        <v>3</v>
      </c>
      <c r="C64" s="155" t="str">
        <f t="shared" ref="C64" si="16">IF(D64="","All",D64&amp;" "&amp;E64)</f>
        <v>All</v>
      </c>
      <c r="D64" s="155"/>
      <c r="E64" s="155"/>
      <c r="F64" s="155"/>
      <c r="G64" s="155" t="s">
        <v>198</v>
      </c>
      <c r="H64" s="155" t="s">
        <v>50</v>
      </c>
      <c r="I64" s="176">
        <v>0.22</v>
      </c>
      <c r="J64" s="176">
        <v>0.42</v>
      </c>
      <c r="K64" s="156" t="s">
        <v>47</v>
      </c>
      <c r="L64" s="157" t="s">
        <v>153</v>
      </c>
      <c r="M64" s="157" t="s">
        <v>153</v>
      </c>
      <c r="N64" s="187">
        <f t="shared" si="1"/>
        <v>0.90909090909090895</v>
      </c>
    </row>
    <row r="65" spans="2:18" s="58" customFormat="1" x14ac:dyDescent="0.25">
      <c r="B65" s="155" t="s">
        <v>3</v>
      </c>
      <c r="C65" s="155" t="str">
        <f t="shared" si="2"/>
        <v>Residential without CL</v>
      </c>
      <c r="D65" s="155" t="s">
        <v>6</v>
      </c>
      <c r="E65" s="155" t="s">
        <v>146</v>
      </c>
      <c r="F65" s="155" t="s">
        <v>22</v>
      </c>
      <c r="G65" s="155" t="s">
        <v>79</v>
      </c>
      <c r="H65" s="155" t="s">
        <v>50</v>
      </c>
      <c r="I65" s="277">
        <v>4.1000000000000002E-2</v>
      </c>
      <c r="J65" s="277">
        <v>3.4000000000000002E-2</v>
      </c>
      <c r="K65" s="156" t="s">
        <v>30</v>
      </c>
      <c r="L65" s="157" t="s">
        <v>153</v>
      </c>
      <c r="M65" s="157" t="s">
        <v>153</v>
      </c>
      <c r="N65" s="187">
        <f t="shared" si="1"/>
        <v>-6.9999999999999993E-3</v>
      </c>
    </row>
    <row r="66" spans="2:18" s="58" customFormat="1" x14ac:dyDescent="0.25">
      <c r="B66" s="155" t="s">
        <v>3</v>
      </c>
      <c r="C66" s="155" t="str">
        <f>IF(D66="","All",D66&amp;" "&amp;E66)</f>
        <v>Residential with CL</v>
      </c>
      <c r="D66" s="155" t="s">
        <v>6</v>
      </c>
      <c r="E66" s="155" t="s">
        <v>147</v>
      </c>
      <c r="F66" s="155" t="s">
        <v>16</v>
      </c>
      <c r="G66" s="155" t="s">
        <v>79</v>
      </c>
      <c r="H66" s="155" t="s">
        <v>50</v>
      </c>
      <c r="I66" s="277">
        <v>4.1000000000000002E-2</v>
      </c>
      <c r="J66" s="277">
        <v>3.4000000000000002E-2</v>
      </c>
      <c r="K66" s="156" t="s">
        <v>30</v>
      </c>
      <c r="L66" s="157" t="s">
        <v>153</v>
      </c>
      <c r="M66" s="157" t="s">
        <v>153</v>
      </c>
      <c r="N66" s="187">
        <f t="shared" si="1"/>
        <v>-6.9999999999999993E-3</v>
      </c>
    </row>
    <row r="67" spans="2:18" s="58" customFormat="1" x14ac:dyDescent="0.25">
      <c r="B67" s="155" t="s">
        <v>3</v>
      </c>
      <c r="C67" s="155" t="str">
        <f>IF(D67="","All",D67&amp;" "&amp;E67)</f>
        <v>Residential with CL</v>
      </c>
      <c r="D67" s="155" t="s">
        <v>6</v>
      </c>
      <c r="E67" s="155" t="s">
        <v>147</v>
      </c>
      <c r="F67" s="155" t="s">
        <v>17</v>
      </c>
      <c r="G67" s="155" t="s">
        <v>79</v>
      </c>
      <c r="H67" s="155" t="s">
        <v>50</v>
      </c>
      <c r="I67" s="277">
        <v>4.1000000000000002E-2</v>
      </c>
      <c r="J67" s="277">
        <v>3.4000000000000002E-2</v>
      </c>
      <c r="K67" s="156" t="s">
        <v>30</v>
      </c>
      <c r="L67" s="157" t="s">
        <v>153</v>
      </c>
      <c r="M67" s="157" t="s">
        <v>153</v>
      </c>
      <c r="N67" s="187">
        <f t="shared" si="1"/>
        <v>-6.9999999999999993E-3</v>
      </c>
    </row>
    <row r="68" spans="2:18" s="58" customFormat="1" x14ac:dyDescent="0.25">
      <c r="B68" s="155" t="s">
        <v>3</v>
      </c>
      <c r="C68" s="155" t="str">
        <f>IF(D68="","All",D68&amp;" "&amp;E68)</f>
        <v>Small business without CL</v>
      </c>
      <c r="D68" s="155" t="s">
        <v>15</v>
      </c>
      <c r="E68" s="155" t="s">
        <v>146</v>
      </c>
      <c r="F68" s="155" t="s">
        <v>22</v>
      </c>
      <c r="G68" s="155" t="s">
        <v>79</v>
      </c>
      <c r="H68" s="155" t="s">
        <v>50</v>
      </c>
      <c r="I68" s="277">
        <v>4.1000000000000002E-2</v>
      </c>
      <c r="J68" s="277">
        <v>3.4000000000000002E-2</v>
      </c>
      <c r="K68" s="156" t="s">
        <v>30</v>
      </c>
      <c r="L68" s="157" t="s">
        <v>153</v>
      </c>
      <c r="M68" s="157" t="s">
        <v>153</v>
      </c>
      <c r="N68" s="187">
        <f t="shared" si="1"/>
        <v>-6.9999999999999993E-3</v>
      </c>
    </row>
    <row r="69" spans="2:18" s="58" customFormat="1" x14ac:dyDescent="0.25">
      <c r="B69" s="155" t="s">
        <v>3</v>
      </c>
      <c r="C69" s="155" t="s">
        <v>160</v>
      </c>
      <c r="D69" s="155" t="s">
        <v>6</v>
      </c>
      <c r="E69" s="155"/>
      <c r="F69" s="155"/>
      <c r="G69" s="155" t="s">
        <v>201</v>
      </c>
      <c r="H69" s="155" t="s">
        <v>49</v>
      </c>
      <c r="I69" s="176">
        <v>132</v>
      </c>
      <c r="J69" s="176">
        <v>136</v>
      </c>
      <c r="K69" s="156" t="s">
        <v>74</v>
      </c>
      <c r="L69" s="157" t="s">
        <v>211</v>
      </c>
      <c r="M69" s="157" t="s">
        <v>241</v>
      </c>
      <c r="N69" s="187">
        <f t="shared" si="1"/>
        <v>3.0303030303030276E-2</v>
      </c>
    </row>
    <row r="70" spans="2:18" s="58" customFormat="1" x14ac:dyDescent="0.25">
      <c r="B70" s="155" t="s">
        <v>3</v>
      </c>
      <c r="C70" s="155" t="s">
        <v>161</v>
      </c>
      <c r="D70" s="155" t="s">
        <v>6</v>
      </c>
      <c r="E70" s="155"/>
      <c r="F70" s="155"/>
      <c r="G70" s="155" t="s">
        <v>201</v>
      </c>
      <c r="H70" s="155" t="s">
        <v>49</v>
      </c>
      <c r="I70" s="176">
        <v>132</v>
      </c>
      <c r="J70" s="176">
        <v>136</v>
      </c>
      <c r="K70" s="156" t="s">
        <v>74</v>
      </c>
      <c r="L70" s="157" t="s">
        <v>211</v>
      </c>
      <c r="M70" s="157" t="s">
        <v>241</v>
      </c>
      <c r="N70" s="187">
        <f t="shared" si="1"/>
        <v>3.0303030303030276E-2</v>
      </c>
    </row>
    <row r="71" spans="2:18" s="58" customFormat="1" ht="15" customHeight="1" x14ac:dyDescent="0.25">
      <c r="B71" s="155" t="s">
        <v>3</v>
      </c>
      <c r="C71" s="155" t="s">
        <v>162</v>
      </c>
      <c r="D71" s="155" t="s">
        <v>15</v>
      </c>
      <c r="E71" s="155"/>
      <c r="F71" s="155"/>
      <c r="G71" s="155" t="s">
        <v>201</v>
      </c>
      <c r="H71" s="155" t="s">
        <v>49</v>
      </c>
      <c r="I71" s="176">
        <v>204</v>
      </c>
      <c r="J71" s="176">
        <v>165</v>
      </c>
      <c r="K71" s="156" t="s">
        <v>74</v>
      </c>
      <c r="L71" s="157" t="s">
        <v>214</v>
      </c>
      <c r="M71" s="232" t="s">
        <v>242</v>
      </c>
      <c r="N71" s="187">
        <f t="shared" si="1"/>
        <v>-0.19117647058823528</v>
      </c>
    </row>
    <row r="72" spans="2:18" s="58" customFormat="1" x14ac:dyDescent="0.25">
      <c r="B72" s="155" t="s">
        <v>3</v>
      </c>
      <c r="C72" s="155" t="s">
        <v>160</v>
      </c>
      <c r="D72" s="155" t="s">
        <v>6</v>
      </c>
      <c r="E72" s="155"/>
      <c r="F72" s="155"/>
      <c r="G72" s="155" t="s">
        <v>202</v>
      </c>
      <c r="H72" s="155" t="s">
        <v>49</v>
      </c>
      <c r="I72" s="176">
        <v>18.03</v>
      </c>
      <c r="J72" s="176">
        <v>20.212497043450053</v>
      </c>
      <c r="K72" s="156" t="s">
        <v>74</v>
      </c>
      <c r="L72" s="157" t="s">
        <v>212</v>
      </c>
      <c r="M72" s="157" t="s">
        <v>246</v>
      </c>
      <c r="N72" s="187">
        <f t="shared" si="1"/>
        <v>0.12104808893233798</v>
      </c>
    </row>
    <row r="73" spans="2:18" s="58" customFormat="1" x14ac:dyDescent="0.25">
      <c r="B73" s="155" t="s">
        <v>3</v>
      </c>
      <c r="C73" s="155" t="s">
        <v>161</v>
      </c>
      <c r="D73" s="155" t="s">
        <v>6</v>
      </c>
      <c r="E73" s="155"/>
      <c r="F73" s="155"/>
      <c r="G73" s="155" t="s">
        <v>202</v>
      </c>
      <c r="H73" s="155" t="s">
        <v>49</v>
      </c>
      <c r="I73" s="176">
        <v>18.03</v>
      </c>
      <c r="J73" s="176">
        <v>20.212497043450053</v>
      </c>
      <c r="K73" s="156" t="s">
        <v>74</v>
      </c>
      <c r="L73" s="157" t="s">
        <v>212</v>
      </c>
      <c r="M73" s="157" t="s">
        <v>246</v>
      </c>
      <c r="N73" s="187">
        <f t="shared" si="1"/>
        <v>0.12104808893233798</v>
      </c>
    </row>
    <row r="74" spans="2:18" s="58" customFormat="1" x14ac:dyDescent="0.25">
      <c r="B74" s="155" t="s">
        <v>3</v>
      </c>
      <c r="C74" s="155" t="s">
        <v>162</v>
      </c>
      <c r="D74" s="155" t="s">
        <v>15</v>
      </c>
      <c r="E74" s="155"/>
      <c r="F74" s="155"/>
      <c r="G74" s="155" t="s">
        <v>202</v>
      </c>
      <c r="H74" s="155" t="s">
        <v>49</v>
      </c>
      <c r="I74" s="176">
        <v>3.87</v>
      </c>
      <c r="J74" s="176">
        <v>20.056148069471881</v>
      </c>
      <c r="K74" s="156" t="s">
        <v>74</v>
      </c>
      <c r="L74" s="157" t="s">
        <v>212</v>
      </c>
      <c r="M74" s="157" t="s">
        <v>246</v>
      </c>
      <c r="N74" s="187">
        <f t="shared" si="1"/>
        <v>4.1824672014139228</v>
      </c>
    </row>
    <row r="75" spans="2:18" s="224" customFormat="1" x14ac:dyDescent="0.25">
      <c r="B75" s="220" t="s">
        <v>3</v>
      </c>
      <c r="C75" s="220" t="str">
        <f t="shared" ref="C75" si="17">IF(D75="","All",D75&amp;" "&amp;E75)</f>
        <v>All</v>
      </c>
      <c r="D75" s="220"/>
      <c r="E75" s="220"/>
      <c r="F75" s="220"/>
      <c r="G75" s="220" t="s">
        <v>203</v>
      </c>
      <c r="H75" s="220" t="s">
        <v>49</v>
      </c>
      <c r="I75" s="226">
        <v>25.714884256834605</v>
      </c>
      <c r="J75" s="226">
        <v>16.059999999999999</v>
      </c>
      <c r="K75" s="221" t="s">
        <v>74</v>
      </c>
      <c r="L75" s="222" t="s">
        <v>213</v>
      </c>
      <c r="M75" s="222" t="s">
        <v>245</v>
      </c>
      <c r="N75" s="223">
        <f t="shared" si="1"/>
        <v>-0.37545898167006109</v>
      </c>
    </row>
    <row r="76" spans="2:18" s="58" customFormat="1" x14ac:dyDescent="0.25">
      <c r="B76" s="155" t="s">
        <v>0</v>
      </c>
      <c r="C76" s="155" t="str">
        <f t="shared" si="2"/>
        <v>Residential without CL</v>
      </c>
      <c r="D76" s="155" t="s">
        <v>6</v>
      </c>
      <c r="E76" s="155" t="s">
        <v>146</v>
      </c>
      <c r="F76" s="155" t="s">
        <v>22</v>
      </c>
      <c r="G76" s="155" t="s">
        <v>76</v>
      </c>
      <c r="H76" s="155" t="s">
        <v>50</v>
      </c>
      <c r="I76" s="176">
        <v>97.45</v>
      </c>
      <c r="J76" s="176">
        <v>148.81</v>
      </c>
      <c r="K76" s="156" t="s">
        <v>47</v>
      </c>
      <c r="L76" s="157" t="s">
        <v>153</v>
      </c>
      <c r="M76" s="157" t="s">
        <v>153</v>
      </c>
      <c r="N76" s="187">
        <f t="shared" si="1"/>
        <v>0.52703950743971273</v>
      </c>
      <c r="Q76" s="264"/>
      <c r="R76" s="265"/>
    </row>
    <row r="77" spans="2:18" s="58" customFormat="1" x14ac:dyDescent="0.25">
      <c r="B77" s="155" t="s">
        <v>0</v>
      </c>
      <c r="C77" s="155" t="str">
        <f t="shared" si="2"/>
        <v>Residential with CL</v>
      </c>
      <c r="D77" s="155" t="s">
        <v>6</v>
      </c>
      <c r="E77" s="155" t="s">
        <v>147</v>
      </c>
      <c r="F77" s="155" t="s">
        <v>16</v>
      </c>
      <c r="G77" s="155" t="s">
        <v>76</v>
      </c>
      <c r="H77" s="155" t="s">
        <v>50</v>
      </c>
      <c r="I77" s="176">
        <v>75.069999999999993</v>
      </c>
      <c r="J77" s="176">
        <v>97.4</v>
      </c>
      <c r="K77" s="156" t="s">
        <v>47</v>
      </c>
      <c r="L77" s="157" t="s">
        <v>153</v>
      </c>
      <c r="M77" s="157" t="s">
        <v>153</v>
      </c>
      <c r="N77" s="187">
        <f t="shared" si="1"/>
        <v>0.2974557080058613</v>
      </c>
      <c r="Q77" s="264"/>
      <c r="R77" s="265"/>
    </row>
    <row r="78" spans="2:18" s="58" customFormat="1" x14ac:dyDescent="0.25">
      <c r="B78" s="155" t="s">
        <v>0</v>
      </c>
      <c r="C78" s="155" t="str">
        <f t="shared" si="2"/>
        <v>Residential with CL</v>
      </c>
      <c r="D78" s="155" t="s">
        <v>6</v>
      </c>
      <c r="E78" s="155" t="s">
        <v>147</v>
      </c>
      <c r="F78" s="155" t="s">
        <v>17</v>
      </c>
      <c r="G78" s="155" t="s">
        <v>76</v>
      </c>
      <c r="H78" s="155" t="s">
        <v>50</v>
      </c>
      <c r="I78" s="176">
        <v>81.459999999999994</v>
      </c>
      <c r="J78" s="176">
        <v>103.03</v>
      </c>
      <c r="K78" s="156" t="s">
        <v>47</v>
      </c>
      <c r="L78" s="157" t="s">
        <v>153</v>
      </c>
      <c r="M78" s="157" t="s">
        <v>153</v>
      </c>
      <c r="N78" s="187">
        <f t="shared" si="1"/>
        <v>0.26479253621409282</v>
      </c>
      <c r="Q78" s="264"/>
      <c r="R78" s="265"/>
    </row>
    <row r="79" spans="2:18" s="58" customFormat="1" x14ac:dyDescent="0.25">
      <c r="B79" s="155" t="s">
        <v>0</v>
      </c>
      <c r="C79" s="155" t="str">
        <f t="shared" si="2"/>
        <v>Small business without CL</v>
      </c>
      <c r="D79" s="155" t="s">
        <v>15</v>
      </c>
      <c r="E79" s="155" t="s">
        <v>146</v>
      </c>
      <c r="F79" s="155" t="s">
        <v>22</v>
      </c>
      <c r="G79" s="155" t="s">
        <v>76</v>
      </c>
      <c r="H79" s="155" t="s">
        <v>50</v>
      </c>
      <c r="I79" s="176">
        <v>97.45</v>
      </c>
      <c r="J79" s="176">
        <f>J76</f>
        <v>148.81</v>
      </c>
      <c r="K79" s="156" t="s">
        <v>47</v>
      </c>
      <c r="L79" s="157" t="s">
        <v>153</v>
      </c>
      <c r="M79" s="157" t="s">
        <v>153</v>
      </c>
      <c r="N79" s="187">
        <f t="shared" si="1"/>
        <v>0.52703950743971273</v>
      </c>
      <c r="Q79" s="264"/>
      <c r="R79" s="265"/>
    </row>
    <row r="80" spans="2:18" s="58" customFormat="1" x14ac:dyDescent="0.25">
      <c r="B80" s="155" t="s">
        <v>0</v>
      </c>
      <c r="C80" s="155" t="str">
        <f t="shared" si="2"/>
        <v>All</v>
      </c>
      <c r="D80" s="155"/>
      <c r="E80" s="155"/>
      <c r="F80" s="155"/>
      <c r="G80" s="155" t="s">
        <v>77</v>
      </c>
      <c r="H80" s="155" t="s">
        <v>50</v>
      </c>
      <c r="I80" s="176">
        <v>1.42</v>
      </c>
      <c r="J80" s="176">
        <v>0.65</v>
      </c>
      <c r="K80" s="156" t="s">
        <v>47</v>
      </c>
      <c r="L80" s="157" t="s">
        <v>153</v>
      </c>
      <c r="M80" s="157" t="s">
        <v>153</v>
      </c>
      <c r="N80" s="187">
        <f t="shared" si="1"/>
        <v>-0.54225352112676051</v>
      </c>
    </row>
    <row r="81" spans="2:14" s="58" customFormat="1" x14ac:dyDescent="0.25">
      <c r="B81" s="155" t="s">
        <v>0</v>
      </c>
      <c r="C81" s="155" t="str">
        <f t="shared" si="2"/>
        <v>All</v>
      </c>
      <c r="D81" s="155"/>
      <c r="E81" s="155"/>
      <c r="F81" s="155"/>
      <c r="G81" s="155" t="s">
        <v>85</v>
      </c>
      <c r="H81" s="155" t="s">
        <v>50</v>
      </c>
      <c r="I81" s="176">
        <v>1.1000000000000001</v>
      </c>
      <c r="J81" s="176">
        <v>1.1499999999999999</v>
      </c>
      <c r="K81" s="156" t="s">
        <v>47</v>
      </c>
      <c r="L81" s="157" t="s">
        <v>153</v>
      </c>
      <c r="M81" s="157" t="s">
        <v>153</v>
      </c>
      <c r="N81" s="187">
        <f t="shared" si="1"/>
        <v>4.5454545454545192E-2</v>
      </c>
    </row>
    <row r="82" spans="2:14" s="58" customFormat="1" x14ac:dyDescent="0.25">
      <c r="B82" s="155" t="s">
        <v>0</v>
      </c>
      <c r="C82" s="155" t="str">
        <f t="shared" si="2"/>
        <v>All</v>
      </c>
      <c r="D82" s="155"/>
      <c r="E82" s="155"/>
      <c r="F82" s="155"/>
      <c r="G82" s="155" t="s">
        <v>78</v>
      </c>
      <c r="H82" s="155" t="s">
        <v>50</v>
      </c>
      <c r="I82" s="176">
        <v>1.01</v>
      </c>
      <c r="J82" s="176">
        <v>0.04</v>
      </c>
      <c r="K82" s="156" t="s">
        <v>47</v>
      </c>
      <c r="L82" s="157" t="s">
        <v>153</v>
      </c>
      <c r="M82" s="157" t="s">
        <v>153</v>
      </c>
      <c r="N82" s="187">
        <f t="shared" si="1"/>
        <v>-0.96039603960396036</v>
      </c>
    </row>
    <row r="83" spans="2:14" s="58" customFormat="1" x14ac:dyDescent="0.25">
      <c r="B83" s="155" t="s">
        <v>0</v>
      </c>
      <c r="C83" s="155" t="str">
        <f t="shared" ref="C83" si="18">IF(D83="","All",D83&amp;" "&amp;E83)</f>
        <v>All</v>
      </c>
      <c r="D83" s="155"/>
      <c r="E83" s="155"/>
      <c r="F83" s="155"/>
      <c r="G83" s="155" t="str">
        <f>+G59</f>
        <v>June 2022 Event Cost</v>
      </c>
      <c r="H83" s="155" t="s">
        <v>50</v>
      </c>
      <c r="I83" s="176">
        <v>0</v>
      </c>
      <c r="J83" s="176">
        <v>0.89</v>
      </c>
      <c r="K83" s="156" t="s">
        <v>47</v>
      </c>
      <c r="L83" s="157" t="s">
        <v>153</v>
      </c>
      <c r="M83" s="157" t="s">
        <v>153</v>
      </c>
      <c r="N83" s="187" t="str">
        <f t="shared" ref="N83" si="19">IFERROR(IF(K83="%",J83-I83,J83/I83-1),"")</f>
        <v/>
      </c>
    </row>
    <row r="84" spans="2:14" s="58" customFormat="1" x14ac:dyDescent="0.25">
      <c r="B84" s="155" t="s">
        <v>0</v>
      </c>
      <c r="C84" s="155" t="str">
        <f t="shared" si="2"/>
        <v>All</v>
      </c>
      <c r="D84" s="155"/>
      <c r="E84" s="155"/>
      <c r="F84" s="155"/>
      <c r="G84" s="155" t="s">
        <v>155</v>
      </c>
      <c r="H84" s="155" t="s">
        <v>50</v>
      </c>
      <c r="I84" s="176">
        <v>2.61</v>
      </c>
      <c r="J84" s="176">
        <v>2.91</v>
      </c>
      <c r="K84" s="156" t="s">
        <v>47</v>
      </c>
      <c r="L84" s="157" t="s">
        <v>153</v>
      </c>
      <c r="M84" s="157" t="s">
        <v>153</v>
      </c>
      <c r="N84" s="187">
        <f t="shared" si="1"/>
        <v>0.11494252873563227</v>
      </c>
    </row>
    <row r="85" spans="2:14" s="58" customFormat="1" x14ac:dyDescent="0.25">
      <c r="B85" s="155" t="s">
        <v>0</v>
      </c>
      <c r="C85" s="155" t="str">
        <f t="shared" si="2"/>
        <v>All</v>
      </c>
      <c r="D85" s="155"/>
      <c r="E85" s="155"/>
      <c r="F85" s="155"/>
      <c r="G85" s="155" t="s">
        <v>80</v>
      </c>
      <c r="H85" s="155" t="s">
        <v>50</v>
      </c>
      <c r="I85" s="176">
        <v>5.13</v>
      </c>
      <c r="J85" s="176">
        <v>7.27</v>
      </c>
      <c r="K85" s="156" t="s">
        <v>47</v>
      </c>
      <c r="L85" s="157" t="s">
        <v>153</v>
      </c>
      <c r="M85" s="157" t="s">
        <v>153</v>
      </c>
      <c r="N85" s="187">
        <f t="shared" si="1"/>
        <v>0.41715399610136439</v>
      </c>
    </row>
    <row r="86" spans="2:14" s="58" customFormat="1" x14ac:dyDescent="0.25">
      <c r="B86" s="155" t="s">
        <v>0</v>
      </c>
      <c r="C86" s="155" t="str">
        <f t="shared" si="2"/>
        <v>All</v>
      </c>
      <c r="D86" s="155"/>
      <c r="E86" s="155"/>
      <c r="F86" s="155"/>
      <c r="G86" s="155" t="s">
        <v>81</v>
      </c>
      <c r="H86" s="155" t="s">
        <v>50</v>
      </c>
      <c r="I86" s="176">
        <v>10.9</v>
      </c>
      <c r="J86" s="176">
        <v>6.86</v>
      </c>
      <c r="K86" s="156" t="s">
        <v>47</v>
      </c>
      <c r="L86" s="157" t="s">
        <v>153</v>
      </c>
      <c r="M86" s="157" t="s">
        <v>153</v>
      </c>
      <c r="N86" s="187">
        <f t="shared" si="1"/>
        <v>-0.37064220183486241</v>
      </c>
    </row>
    <row r="87" spans="2:14" s="58" customFormat="1" x14ac:dyDescent="0.25">
      <c r="B87" s="155" t="s">
        <v>0</v>
      </c>
      <c r="C87" s="155" t="str">
        <f t="shared" si="2"/>
        <v>Residential without CL</v>
      </c>
      <c r="D87" s="155" t="s">
        <v>6</v>
      </c>
      <c r="E87" s="155" t="s">
        <v>146</v>
      </c>
      <c r="F87" s="155" t="s">
        <v>22</v>
      </c>
      <c r="G87" s="155" t="s">
        <v>79</v>
      </c>
      <c r="H87" s="155" t="s">
        <v>50</v>
      </c>
      <c r="I87" s="277">
        <v>6.7000000000000004E-2</v>
      </c>
      <c r="J87" s="277">
        <v>6.9000000000000006E-2</v>
      </c>
      <c r="K87" s="156" t="s">
        <v>30</v>
      </c>
      <c r="L87" s="157" t="s">
        <v>153</v>
      </c>
      <c r="M87" s="157" t="s">
        <v>153</v>
      </c>
      <c r="N87" s="187">
        <f t="shared" si="1"/>
        <v>2.0000000000000018E-3</v>
      </c>
    </row>
    <row r="88" spans="2:14" s="58" customFormat="1" x14ac:dyDescent="0.25">
      <c r="B88" s="155" t="s">
        <v>0</v>
      </c>
      <c r="C88" s="155" t="str">
        <f>IF(D88="","All",D88&amp;" "&amp;E88)</f>
        <v>Residential with CL</v>
      </c>
      <c r="D88" s="155" t="s">
        <v>6</v>
      </c>
      <c r="E88" s="155" t="s">
        <v>147</v>
      </c>
      <c r="F88" s="155" t="s">
        <v>16</v>
      </c>
      <c r="G88" s="155" t="s">
        <v>79</v>
      </c>
      <c r="H88" s="155" t="s">
        <v>50</v>
      </c>
      <c r="I88" s="277">
        <v>6.7000000000000004E-2</v>
      </c>
      <c r="J88" s="277">
        <v>6.9000000000000006E-2</v>
      </c>
      <c r="K88" s="156" t="s">
        <v>30</v>
      </c>
      <c r="L88" s="157" t="s">
        <v>153</v>
      </c>
      <c r="M88" s="157" t="s">
        <v>153</v>
      </c>
      <c r="N88" s="187">
        <f t="shared" si="1"/>
        <v>2.0000000000000018E-3</v>
      </c>
    </row>
    <row r="89" spans="2:14" s="58" customFormat="1" x14ac:dyDescent="0.25">
      <c r="B89" s="155" t="s">
        <v>0</v>
      </c>
      <c r="C89" s="155" t="str">
        <f>IF(D89="","All",D89&amp;" "&amp;E89)</f>
        <v>Residential with CL</v>
      </c>
      <c r="D89" s="155" t="s">
        <v>6</v>
      </c>
      <c r="E89" s="155" t="s">
        <v>147</v>
      </c>
      <c r="F89" s="155" t="s">
        <v>17</v>
      </c>
      <c r="G89" s="155" t="s">
        <v>79</v>
      </c>
      <c r="H89" s="155" t="s">
        <v>50</v>
      </c>
      <c r="I89" s="277">
        <v>6.7000000000000004E-2</v>
      </c>
      <c r="J89" s="277">
        <v>6.9000000000000006E-2</v>
      </c>
      <c r="K89" s="156" t="s">
        <v>30</v>
      </c>
      <c r="L89" s="157" t="s">
        <v>153</v>
      </c>
      <c r="M89" s="157" t="s">
        <v>153</v>
      </c>
      <c r="N89" s="187">
        <f t="shared" si="1"/>
        <v>2.0000000000000018E-3</v>
      </c>
    </row>
    <row r="90" spans="2:14" s="58" customFormat="1" x14ac:dyDescent="0.25">
      <c r="B90" s="155" t="s">
        <v>0</v>
      </c>
      <c r="C90" s="155" t="str">
        <f>IF(D90="","All",D90&amp;" "&amp;E90)</f>
        <v>Small business without CL</v>
      </c>
      <c r="D90" s="155" t="s">
        <v>15</v>
      </c>
      <c r="E90" s="155" t="s">
        <v>146</v>
      </c>
      <c r="F90" s="155" t="s">
        <v>22</v>
      </c>
      <c r="G90" s="155" t="s">
        <v>79</v>
      </c>
      <c r="H90" s="155" t="s">
        <v>50</v>
      </c>
      <c r="I90" s="277">
        <v>6.7000000000000004E-2</v>
      </c>
      <c r="J90" s="277">
        <v>6.9000000000000006E-2</v>
      </c>
      <c r="K90" s="156" t="s">
        <v>30</v>
      </c>
      <c r="L90" s="157" t="s">
        <v>153</v>
      </c>
      <c r="M90" s="157" t="s">
        <v>153</v>
      </c>
      <c r="N90" s="187">
        <f t="shared" si="1"/>
        <v>2.0000000000000018E-3</v>
      </c>
    </row>
    <row r="91" spans="2:14" s="58" customFormat="1" x14ac:dyDescent="0.25">
      <c r="B91" s="155" t="s">
        <v>0</v>
      </c>
      <c r="C91" s="155" t="s">
        <v>160</v>
      </c>
      <c r="D91" s="155" t="s">
        <v>6</v>
      </c>
      <c r="E91" s="155"/>
      <c r="F91" s="155"/>
      <c r="G91" s="155" t="s">
        <v>201</v>
      </c>
      <c r="H91" s="155" t="s">
        <v>49</v>
      </c>
      <c r="I91" s="176">
        <v>132</v>
      </c>
      <c r="J91" s="176">
        <v>128</v>
      </c>
      <c r="K91" s="156" t="s">
        <v>74</v>
      </c>
      <c r="L91" s="157" t="s">
        <v>211</v>
      </c>
      <c r="M91" s="157" t="s">
        <v>241</v>
      </c>
      <c r="N91" s="187">
        <f t="shared" si="1"/>
        <v>-3.0303030303030276E-2</v>
      </c>
    </row>
    <row r="92" spans="2:14" s="58" customFormat="1" x14ac:dyDescent="0.25">
      <c r="B92" s="155" t="s">
        <v>0</v>
      </c>
      <c r="C92" s="155" t="s">
        <v>161</v>
      </c>
      <c r="D92" s="155" t="s">
        <v>6</v>
      </c>
      <c r="E92" s="155"/>
      <c r="F92" s="155"/>
      <c r="G92" s="155" t="s">
        <v>201</v>
      </c>
      <c r="H92" s="155" t="s">
        <v>49</v>
      </c>
      <c r="I92" s="176">
        <v>132</v>
      </c>
      <c r="J92" s="176">
        <v>128</v>
      </c>
      <c r="K92" s="156" t="s">
        <v>74</v>
      </c>
      <c r="L92" s="157" t="s">
        <v>211</v>
      </c>
      <c r="M92" s="157" t="s">
        <v>241</v>
      </c>
      <c r="N92" s="187">
        <f t="shared" si="1"/>
        <v>-3.0303030303030276E-2</v>
      </c>
    </row>
    <row r="93" spans="2:14" s="58" customFormat="1" ht="15" customHeight="1" x14ac:dyDescent="0.25">
      <c r="B93" s="155" t="s">
        <v>0</v>
      </c>
      <c r="C93" s="155" t="s">
        <v>162</v>
      </c>
      <c r="D93" s="155" t="s">
        <v>15</v>
      </c>
      <c r="E93" s="155"/>
      <c r="F93" s="155"/>
      <c r="G93" s="155" t="s">
        <v>201</v>
      </c>
      <c r="H93" s="155" t="s">
        <v>49</v>
      </c>
      <c r="I93" s="176">
        <v>153</v>
      </c>
      <c r="J93" s="176">
        <v>131</v>
      </c>
      <c r="K93" s="156" t="s">
        <v>74</v>
      </c>
      <c r="L93" s="232" t="s">
        <v>215</v>
      </c>
      <c r="M93" s="232" t="s">
        <v>243</v>
      </c>
      <c r="N93" s="187">
        <f t="shared" si="1"/>
        <v>-0.14379084967320266</v>
      </c>
    </row>
    <row r="94" spans="2:14" s="58" customFormat="1" x14ac:dyDescent="0.25">
      <c r="B94" s="155" t="s">
        <v>0</v>
      </c>
      <c r="C94" s="155" t="s">
        <v>160</v>
      </c>
      <c r="D94" s="155" t="s">
        <v>6</v>
      </c>
      <c r="E94" s="155"/>
      <c r="F94" s="155"/>
      <c r="G94" s="155" t="s">
        <v>202</v>
      </c>
      <c r="H94" s="155" t="s">
        <v>49</v>
      </c>
      <c r="I94" s="176">
        <v>17.010000000000002</v>
      </c>
      <c r="J94" s="176">
        <v>25.255615273956877</v>
      </c>
      <c r="K94" s="156" t="s">
        <v>74</v>
      </c>
      <c r="L94" s="157" t="s">
        <v>212</v>
      </c>
      <c r="M94" s="157" t="s">
        <v>246</v>
      </c>
      <c r="N94" s="187">
        <f t="shared" si="1"/>
        <v>0.48475104491222076</v>
      </c>
    </row>
    <row r="95" spans="2:14" s="58" customFormat="1" x14ac:dyDescent="0.25">
      <c r="B95" s="155" t="s">
        <v>0</v>
      </c>
      <c r="C95" s="155" t="s">
        <v>161</v>
      </c>
      <c r="D95" s="155" t="s">
        <v>6</v>
      </c>
      <c r="E95" s="155"/>
      <c r="F95" s="155"/>
      <c r="G95" s="155" t="s">
        <v>202</v>
      </c>
      <c r="H95" s="155" t="s">
        <v>49</v>
      </c>
      <c r="I95" s="176">
        <v>17.010000000000002</v>
      </c>
      <c r="J95" s="176">
        <v>25.255615273956877</v>
      </c>
      <c r="K95" s="156" t="s">
        <v>74</v>
      </c>
      <c r="L95" s="157" t="s">
        <v>212</v>
      </c>
      <c r="M95" s="157" t="s">
        <v>246</v>
      </c>
      <c r="N95" s="187">
        <f t="shared" si="1"/>
        <v>0.48475104491222076</v>
      </c>
    </row>
    <row r="96" spans="2:14" s="58" customFormat="1" x14ac:dyDescent="0.25">
      <c r="B96" s="155" t="s">
        <v>0</v>
      </c>
      <c r="C96" s="155" t="s">
        <v>162</v>
      </c>
      <c r="D96" s="155" t="s">
        <v>15</v>
      </c>
      <c r="E96" s="155"/>
      <c r="F96" s="155"/>
      <c r="G96" s="155" t="s">
        <v>202</v>
      </c>
      <c r="H96" s="155" t="s">
        <v>49</v>
      </c>
      <c r="I96" s="176">
        <v>16.29</v>
      </c>
      <c r="J96" s="176">
        <v>21.433845461970886</v>
      </c>
      <c r="K96" s="156" t="s">
        <v>74</v>
      </c>
      <c r="L96" s="157" t="s">
        <v>212</v>
      </c>
      <c r="M96" s="157" t="s">
        <v>246</v>
      </c>
      <c r="N96" s="187">
        <f t="shared" si="1"/>
        <v>0.3157670633499623</v>
      </c>
    </row>
    <row r="97" spans="2:18" s="224" customFormat="1" x14ac:dyDescent="0.25">
      <c r="B97" s="220" t="s">
        <v>0</v>
      </c>
      <c r="C97" s="220" t="str">
        <f t="shared" ref="C97" si="20">IF(D97="","All",D97&amp;" "&amp;E97)</f>
        <v>All</v>
      </c>
      <c r="D97" s="220"/>
      <c r="E97" s="220"/>
      <c r="F97" s="220"/>
      <c r="G97" s="220" t="s">
        <v>203</v>
      </c>
      <c r="H97" s="220" t="s">
        <v>49</v>
      </c>
      <c r="I97" s="226">
        <v>25.714884256834605</v>
      </c>
      <c r="J97" s="226">
        <v>16.059999999999999</v>
      </c>
      <c r="K97" s="221" t="s">
        <v>74</v>
      </c>
      <c r="L97" s="222" t="s">
        <v>213</v>
      </c>
      <c r="M97" s="222" t="s">
        <v>245</v>
      </c>
      <c r="N97" s="223">
        <f t="shared" si="1"/>
        <v>-0.37545898167006109</v>
      </c>
    </row>
    <row r="98" spans="2:18" s="58" customFormat="1" x14ac:dyDescent="0.25">
      <c r="B98" s="155" t="s">
        <v>5</v>
      </c>
      <c r="C98" s="155" t="str">
        <f t="shared" si="2"/>
        <v>Residential without CL</v>
      </c>
      <c r="D98" s="155" t="s">
        <v>6</v>
      </c>
      <c r="E98" s="155" t="s">
        <v>146</v>
      </c>
      <c r="F98" s="155" t="s">
        <v>22</v>
      </c>
      <c r="G98" s="155" t="s">
        <v>76</v>
      </c>
      <c r="H98" s="155" t="s">
        <v>50</v>
      </c>
      <c r="I98" s="176">
        <v>109.46</v>
      </c>
      <c r="J98" s="176">
        <v>189.28</v>
      </c>
      <c r="K98" s="156" t="s">
        <v>47</v>
      </c>
      <c r="L98" s="157" t="s">
        <v>153</v>
      </c>
      <c r="M98" s="157" t="s">
        <v>153</v>
      </c>
      <c r="N98" s="187">
        <f t="shared" si="1"/>
        <v>0.72921615201900258</v>
      </c>
      <c r="Q98" s="264"/>
      <c r="R98" s="265"/>
    </row>
    <row r="99" spans="2:18" s="58" customFormat="1" x14ac:dyDescent="0.25">
      <c r="B99" s="155" t="s">
        <v>5</v>
      </c>
      <c r="C99" s="155" t="str">
        <f t="shared" si="2"/>
        <v>Residential with CL</v>
      </c>
      <c r="D99" s="155" t="s">
        <v>6</v>
      </c>
      <c r="E99" s="155" t="s">
        <v>147</v>
      </c>
      <c r="F99" s="155" t="s">
        <v>16</v>
      </c>
      <c r="G99" s="155" t="s">
        <v>76</v>
      </c>
      <c r="H99" s="155" t="s">
        <v>50</v>
      </c>
      <c r="I99" s="176">
        <v>54</v>
      </c>
      <c r="J99" s="176">
        <v>81.97</v>
      </c>
      <c r="K99" s="156" t="s">
        <v>47</v>
      </c>
      <c r="L99" s="157" t="s">
        <v>153</v>
      </c>
      <c r="M99" s="157" t="s">
        <v>153</v>
      </c>
      <c r="N99" s="187">
        <f t="shared" si="1"/>
        <v>0.51796296296296296</v>
      </c>
      <c r="Q99" s="264"/>
      <c r="R99" s="265"/>
    </row>
    <row r="100" spans="2:18" s="58" customFormat="1" x14ac:dyDescent="0.25">
      <c r="B100" s="155" t="s">
        <v>5</v>
      </c>
      <c r="C100" s="155" t="str">
        <f t="shared" si="2"/>
        <v>Small business without CL</v>
      </c>
      <c r="D100" s="155" t="s">
        <v>15</v>
      </c>
      <c r="E100" s="155" t="s">
        <v>146</v>
      </c>
      <c r="F100" s="155" t="s">
        <v>22</v>
      </c>
      <c r="G100" s="155" t="s">
        <v>76</v>
      </c>
      <c r="H100" s="155" t="s">
        <v>50</v>
      </c>
      <c r="I100" s="176">
        <v>109.46</v>
      </c>
      <c r="J100" s="176">
        <f>J98</f>
        <v>189.28</v>
      </c>
      <c r="K100" s="156" t="s">
        <v>47</v>
      </c>
      <c r="L100" s="157" t="s">
        <v>153</v>
      </c>
      <c r="M100" s="157" t="s">
        <v>153</v>
      </c>
      <c r="N100" s="187">
        <f t="shared" ref="N100:N120" si="21">IFERROR(IF(K100="%",J100-I100,J100/I100-1),"")</f>
        <v>0.72921615201900258</v>
      </c>
      <c r="Q100" s="264"/>
      <c r="R100" s="265"/>
    </row>
    <row r="101" spans="2:18" s="58" customFormat="1" x14ac:dyDescent="0.25">
      <c r="B101" s="155" t="s">
        <v>5</v>
      </c>
      <c r="C101" s="155" t="str">
        <f t="shared" ref="C101:C164" si="22">IF(D101="","All",D101&amp;" "&amp;E101)</f>
        <v>All</v>
      </c>
      <c r="D101" s="155"/>
      <c r="E101" s="155"/>
      <c r="F101" s="155"/>
      <c r="G101" s="155" t="s">
        <v>77</v>
      </c>
      <c r="H101" s="155" t="s">
        <v>50</v>
      </c>
      <c r="I101" s="176">
        <v>0.48</v>
      </c>
      <c r="J101" s="176">
        <v>2.04</v>
      </c>
      <c r="K101" s="156" t="s">
        <v>47</v>
      </c>
      <c r="L101" s="157" t="s">
        <v>153</v>
      </c>
      <c r="M101" s="157" t="s">
        <v>153</v>
      </c>
      <c r="N101" s="187">
        <f t="shared" si="21"/>
        <v>3.25</v>
      </c>
      <c r="Q101" s="264"/>
      <c r="R101" s="265"/>
    </row>
    <row r="102" spans="2:18" s="58" customFormat="1" x14ac:dyDescent="0.25">
      <c r="B102" s="155" t="s">
        <v>5</v>
      </c>
      <c r="C102" s="155" t="str">
        <f t="shared" si="22"/>
        <v>All</v>
      </c>
      <c r="D102" s="155"/>
      <c r="E102" s="155"/>
      <c r="F102" s="155"/>
      <c r="G102" s="155" t="s">
        <v>85</v>
      </c>
      <c r="H102" s="155" t="s">
        <v>50</v>
      </c>
      <c r="I102" s="176">
        <v>1.1000000000000001</v>
      </c>
      <c r="J102" s="176">
        <v>1.1499999999999999</v>
      </c>
      <c r="K102" s="156" t="s">
        <v>47</v>
      </c>
      <c r="L102" s="157" t="s">
        <v>153</v>
      </c>
      <c r="M102" s="157" t="s">
        <v>153</v>
      </c>
      <c r="N102" s="187">
        <f t="shared" si="21"/>
        <v>4.5454545454545192E-2</v>
      </c>
    </row>
    <row r="103" spans="2:18" s="58" customFormat="1" x14ac:dyDescent="0.25">
      <c r="B103" s="155" t="s">
        <v>5</v>
      </c>
      <c r="C103" s="155" t="str">
        <f t="shared" si="22"/>
        <v>All</v>
      </c>
      <c r="D103" s="155"/>
      <c r="E103" s="155"/>
      <c r="F103" s="155"/>
      <c r="G103" s="155" t="s">
        <v>78</v>
      </c>
      <c r="H103" s="155" t="s">
        <v>50</v>
      </c>
      <c r="I103" s="176">
        <v>0</v>
      </c>
      <c r="J103" s="176">
        <v>0</v>
      </c>
      <c r="K103" s="156" t="s">
        <v>47</v>
      </c>
      <c r="L103" s="157" t="s">
        <v>153</v>
      </c>
      <c r="M103" s="157" t="s">
        <v>153</v>
      </c>
      <c r="N103" s="187" t="str">
        <f t="shared" si="21"/>
        <v/>
      </c>
    </row>
    <row r="104" spans="2:18" s="58" customFormat="1" x14ac:dyDescent="0.25">
      <c r="B104" s="155" t="s">
        <v>5</v>
      </c>
      <c r="C104" s="155" t="str">
        <f t="shared" ref="C104" si="23">IF(D104="","All",D104&amp;" "&amp;E104)</f>
        <v>All</v>
      </c>
      <c r="D104" s="155"/>
      <c r="E104" s="155"/>
      <c r="F104" s="155"/>
      <c r="G104" s="155" t="str">
        <f>+G83</f>
        <v>June 2022 Event Cost</v>
      </c>
      <c r="H104" s="155" t="s">
        <v>50</v>
      </c>
      <c r="I104" s="176">
        <v>0</v>
      </c>
      <c r="J104" s="176">
        <v>0.67</v>
      </c>
      <c r="K104" s="156" t="s">
        <v>47</v>
      </c>
      <c r="L104" s="157" t="s">
        <v>153</v>
      </c>
      <c r="M104" s="157" t="s">
        <v>153</v>
      </c>
      <c r="N104" s="187" t="str">
        <f t="shared" ref="N104" si="24">IFERROR(IF(K104="%",J104-I104,J104/I104-1),"")</f>
        <v/>
      </c>
    </row>
    <row r="105" spans="2:18" s="58" customFormat="1" x14ac:dyDescent="0.25">
      <c r="B105" s="155" t="s">
        <v>5</v>
      </c>
      <c r="C105" s="155" t="str">
        <f t="shared" si="22"/>
        <v>All</v>
      </c>
      <c r="D105" s="155"/>
      <c r="E105" s="155"/>
      <c r="F105" s="155"/>
      <c r="G105" s="155" t="s">
        <v>155</v>
      </c>
      <c r="H105" s="155" t="s">
        <v>50</v>
      </c>
      <c r="I105" s="176">
        <v>4.2300000000000004</v>
      </c>
      <c r="J105" s="176">
        <v>4.37</v>
      </c>
      <c r="K105" s="156" t="s">
        <v>47</v>
      </c>
      <c r="L105" s="157" t="s">
        <v>153</v>
      </c>
      <c r="M105" s="157" t="s">
        <v>153</v>
      </c>
      <c r="N105" s="187">
        <f t="shared" si="21"/>
        <v>3.3096926713947816E-2</v>
      </c>
    </row>
    <row r="106" spans="2:18" s="58" customFormat="1" x14ac:dyDescent="0.25">
      <c r="B106" s="155" t="s">
        <v>5</v>
      </c>
      <c r="C106" s="155" t="str">
        <f t="shared" si="22"/>
        <v>All</v>
      </c>
      <c r="D106" s="155"/>
      <c r="E106" s="155"/>
      <c r="F106" s="155"/>
      <c r="G106" s="155" t="s">
        <v>80</v>
      </c>
      <c r="H106" s="155" t="s">
        <v>50</v>
      </c>
      <c r="I106" s="176">
        <v>5.13</v>
      </c>
      <c r="J106" s="176">
        <v>7.27</v>
      </c>
      <c r="K106" s="156" t="s">
        <v>47</v>
      </c>
      <c r="L106" s="157" t="s">
        <v>153</v>
      </c>
      <c r="M106" s="157" t="s">
        <v>153</v>
      </c>
      <c r="N106" s="187">
        <f t="shared" si="21"/>
        <v>0.41715399610136439</v>
      </c>
    </row>
    <row r="107" spans="2:18" s="58" customFormat="1" x14ac:dyDescent="0.25">
      <c r="B107" s="155" t="s">
        <v>5</v>
      </c>
      <c r="C107" s="155" t="str">
        <f t="shared" si="22"/>
        <v>All</v>
      </c>
      <c r="D107" s="155"/>
      <c r="E107" s="155"/>
      <c r="F107" s="155"/>
      <c r="G107" s="155" t="s">
        <v>81</v>
      </c>
      <c r="H107" s="155" t="s">
        <v>50</v>
      </c>
      <c r="I107" s="176">
        <v>10.9</v>
      </c>
      <c r="J107" s="176">
        <v>6.86</v>
      </c>
      <c r="K107" s="156" t="s">
        <v>47</v>
      </c>
      <c r="L107" s="157" t="s">
        <v>153</v>
      </c>
      <c r="M107" s="157" t="s">
        <v>153</v>
      </c>
      <c r="N107" s="187">
        <f t="shared" si="21"/>
        <v>-0.37064220183486241</v>
      </c>
    </row>
    <row r="108" spans="2:18" s="58" customFormat="1" x14ac:dyDescent="0.25">
      <c r="B108" s="155" t="s">
        <v>5</v>
      </c>
      <c r="C108" s="155" t="str">
        <f t="shared" si="22"/>
        <v>All</v>
      </c>
      <c r="D108" s="155"/>
      <c r="E108" s="155"/>
      <c r="F108" s="155"/>
      <c r="G108" s="155" t="s">
        <v>86</v>
      </c>
      <c r="H108" s="155" t="s">
        <v>50</v>
      </c>
      <c r="I108" s="176">
        <v>0</v>
      </c>
      <c r="J108" s="176">
        <v>0</v>
      </c>
      <c r="K108" s="156" t="s">
        <v>47</v>
      </c>
      <c r="L108" s="157" t="s">
        <v>153</v>
      </c>
      <c r="M108" s="157" t="s">
        <v>153</v>
      </c>
      <c r="N108" s="187" t="str">
        <f t="shared" si="21"/>
        <v/>
      </c>
    </row>
    <row r="109" spans="2:18" s="58" customFormat="1" x14ac:dyDescent="0.25">
      <c r="B109" s="155" t="s">
        <v>5</v>
      </c>
      <c r="C109" s="155" t="str">
        <f t="shared" ref="C109" si="25">IF(D109="","All",D109&amp;" "&amp;E109)</f>
        <v>All</v>
      </c>
      <c r="D109" s="155"/>
      <c r="E109" s="155"/>
      <c r="F109" s="155"/>
      <c r="G109" s="155" t="s">
        <v>199</v>
      </c>
      <c r="H109" s="155" t="s">
        <v>50</v>
      </c>
      <c r="I109" s="176">
        <v>2.5</v>
      </c>
      <c r="J109" s="176">
        <v>2.5</v>
      </c>
      <c r="K109" s="156" t="s">
        <v>47</v>
      </c>
      <c r="L109" s="157" t="s">
        <v>153</v>
      </c>
      <c r="M109" s="157" t="s">
        <v>153</v>
      </c>
      <c r="N109" s="187">
        <f t="shared" si="21"/>
        <v>0</v>
      </c>
    </row>
    <row r="110" spans="2:18" s="58" customFormat="1" x14ac:dyDescent="0.25">
      <c r="B110" s="155" t="s">
        <v>5</v>
      </c>
      <c r="C110" s="155" t="str">
        <f t="shared" ref="C110" si="26">IF(D110="","All",D110&amp;" "&amp;E110)</f>
        <v>All</v>
      </c>
      <c r="D110" s="155"/>
      <c r="E110" s="155"/>
      <c r="F110" s="155"/>
      <c r="G110" s="155" t="s">
        <v>200</v>
      </c>
      <c r="H110" s="155" t="s">
        <v>50</v>
      </c>
      <c r="I110" s="176">
        <v>7.03</v>
      </c>
      <c r="J110" s="176">
        <v>5.69</v>
      </c>
      <c r="K110" s="156" t="s">
        <v>47</v>
      </c>
      <c r="L110" s="157" t="s">
        <v>153</v>
      </c>
      <c r="M110" s="157" t="s">
        <v>153</v>
      </c>
      <c r="N110" s="187">
        <f t="shared" si="21"/>
        <v>-0.19061166429587484</v>
      </c>
    </row>
    <row r="111" spans="2:18" s="58" customFormat="1" x14ac:dyDescent="0.25">
      <c r="B111" s="155" t="s">
        <v>5</v>
      </c>
      <c r="C111" s="155" t="str">
        <f t="shared" si="22"/>
        <v>Residential without CL</v>
      </c>
      <c r="D111" s="155" t="s">
        <v>6</v>
      </c>
      <c r="E111" s="155" t="s">
        <v>146</v>
      </c>
      <c r="F111" s="155" t="s">
        <v>22</v>
      </c>
      <c r="G111" s="155" t="s">
        <v>79</v>
      </c>
      <c r="H111" s="155" t="s">
        <v>50</v>
      </c>
      <c r="I111" s="277">
        <v>0.1</v>
      </c>
      <c r="J111" s="277">
        <v>9.9000000000000005E-2</v>
      </c>
      <c r="K111" s="156" t="s">
        <v>30</v>
      </c>
      <c r="L111" s="157" t="s">
        <v>153</v>
      </c>
      <c r="M111" s="157" t="s">
        <v>153</v>
      </c>
      <c r="N111" s="187">
        <f t="shared" si="21"/>
        <v>-1.0000000000000009E-3</v>
      </c>
    </row>
    <row r="112" spans="2:18" s="58" customFormat="1" x14ac:dyDescent="0.25">
      <c r="B112" s="155" t="s">
        <v>5</v>
      </c>
      <c r="C112" s="155" t="str">
        <f>IF(D112="","All",D112&amp;" "&amp;E112)</f>
        <v>Residential with CL</v>
      </c>
      <c r="D112" s="155" t="s">
        <v>6</v>
      </c>
      <c r="E112" s="155" t="s">
        <v>147</v>
      </c>
      <c r="F112" s="155" t="s">
        <v>16</v>
      </c>
      <c r="G112" s="155" t="s">
        <v>79</v>
      </c>
      <c r="H112" s="155" t="s">
        <v>50</v>
      </c>
      <c r="I112" s="277">
        <v>0.1</v>
      </c>
      <c r="J112" s="277">
        <v>9.9000000000000005E-2</v>
      </c>
      <c r="K112" s="156" t="s">
        <v>30</v>
      </c>
      <c r="L112" s="157" t="s">
        <v>153</v>
      </c>
      <c r="M112" s="157" t="s">
        <v>153</v>
      </c>
      <c r="N112" s="187">
        <f t="shared" si="21"/>
        <v>-1.0000000000000009E-3</v>
      </c>
    </row>
    <row r="113" spans="2:18" s="58" customFormat="1" x14ac:dyDescent="0.25">
      <c r="B113" s="155" t="s">
        <v>5</v>
      </c>
      <c r="C113" s="155" t="str">
        <f>IF(D113="","All",D113&amp;" "&amp;E113)</f>
        <v>Small business without CL</v>
      </c>
      <c r="D113" s="155" t="s">
        <v>15</v>
      </c>
      <c r="E113" s="155" t="s">
        <v>146</v>
      </c>
      <c r="F113" s="155" t="s">
        <v>22</v>
      </c>
      <c r="G113" s="155" t="s">
        <v>79</v>
      </c>
      <c r="H113" s="155" t="s">
        <v>50</v>
      </c>
      <c r="I113" s="277">
        <v>0.1</v>
      </c>
      <c r="J113" s="277">
        <v>9.9000000000000005E-2</v>
      </c>
      <c r="K113" s="156" t="s">
        <v>30</v>
      </c>
      <c r="L113" s="157" t="s">
        <v>153</v>
      </c>
      <c r="M113" s="157" t="s">
        <v>153</v>
      </c>
      <c r="N113" s="187">
        <f t="shared" si="21"/>
        <v>-1.0000000000000009E-3</v>
      </c>
    </row>
    <row r="114" spans="2:18" s="58" customFormat="1" x14ac:dyDescent="0.25">
      <c r="B114" s="155" t="s">
        <v>5</v>
      </c>
      <c r="C114" s="155" t="s">
        <v>160</v>
      </c>
      <c r="D114" s="155" t="s">
        <v>6</v>
      </c>
      <c r="E114" s="155"/>
      <c r="F114" s="155"/>
      <c r="G114" s="155" t="s">
        <v>201</v>
      </c>
      <c r="H114" s="155" t="s">
        <v>49</v>
      </c>
      <c r="I114" s="176">
        <v>133</v>
      </c>
      <c r="J114" s="176">
        <v>133</v>
      </c>
      <c r="K114" s="156" t="s">
        <v>74</v>
      </c>
      <c r="L114" s="157" t="s">
        <v>211</v>
      </c>
      <c r="M114" s="157" t="s">
        <v>241</v>
      </c>
      <c r="N114" s="187">
        <f t="shared" si="21"/>
        <v>0</v>
      </c>
    </row>
    <row r="115" spans="2:18" s="58" customFormat="1" x14ac:dyDescent="0.25">
      <c r="B115" s="155" t="s">
        <v>5</v>
      </c>
      <c r="C115" s="155" t="s">
        <v>161</v>
      </c>
      <c r="D115" s="155" t="s">
        <v>6</v>
      </c>
      <c r="E115" s="155"/>
      <c r="F115" s="155"/>
      <c r="G115" s="155" t="s">
        <v>201</v>
      </c>
      <c r="H115" s="155" t="s">
        <v>49</v>
      </c>
      <c r="I115" s="176">
        <v>133</v>
      </c>
      <c r="J115" s="176">
        <v>133</v>
      </c>
      <c r="K115" s="156" t="s">
        <v>74</v>
      </c>
      <c r="L115" s="157" t="s">
        <v>211</v>
      </c>
      <c r="M115" s="157" t="s">
        <v>241</v>
      </c>
      <c r="N115" s="187">
        <f t="shared" si="21"/>
        <v>0</v>
      </c>
    </row>
    <row r="116" spans="2:18" s="58" customFormat="1" ht="15" customHeight="1" x14ac:dyDescent="0.25">
      <c r="B116" s="155" t="s">
        <v>5</v>
      </c>
      <c r="C116" s="155" t="s">
        <v>162</v>
      </c>
      <c r="D116" s="155" t="s">
        <v>15</v>
      </c>
      <c r="E116" s="155"/>
      <c r="F116" s="155"/>
      <c r="G116" s="155" t="s">
        <v>201</v>
      </c>
      <c r="H116" s="155" t="s">
        <v>49</v>
      </c>
      <c r="I116" s="176">
        <v>153</v>
      </c>
      <c r="J116" s="176">
        <v>145</v>
      </c>
      <c r="K116" s="156" t="s">
        <v>74</v>
      </c>
      <c r="L116" s="232" t="s">
        <v>216</v>
      </c>
      <c r="M116" s="232" t="s">
        <v>244</v>
      </c>
      <c r="N116" s="187">
        <f t="shared" si="21"/>
        <v>-5.2287581699346442E-2</v>
      </c>
    </row>
    <row r="117" spans="2:18" s="58" customFormat="1" x14ac:dyDescent="0.25">
      <c r="B117" s="155" t="s">
        <v>5</v>
      </c>
      <c r="C117" s="155" t="s">
        <v>160</v>
      </c>
      <c r="D117" s="155" t="s">
        <v>6</v>
      </c>
      <c r="E117" s="155"/>
      <c r="F117" s="155"/>
      <c r="G117" s="155" t="s">
        <v>202</v>
      </c>
      <c r="H117" s="155" t="s">
        <v>49</v>
      </c>
      <c r="I117" s="176">
        <v>24.28</v>
      </c>
      <c r="J117" s="176">
        <v>26.606073920377881</v>
      </c>
      <c r="K117" s="156" t="s">
        <v>74</v>
      </c>
      <c r="L117" s="157" t="s">
        <v>212</v>
      </c>
      <c r="M117" s="157" t="s">
        <v>246</v>
      </c>
      <c r="N117" s="187">
        <f t="shared" si="21"/>
        <v>9.5802056028742921E-2</v>
      </c>
    </row>
    <row r="118" spans="2:18" s="58" customFormat="1" x14ac:dyDescent="0.25">
      <c r="B118" s="155" t="s">
        <v>5</v>
      </c>
      <c r="C118" s="155" t="s">
        <v>161</v>
      </c>
      <c r="D118" s="155" t="s">
        <v>6</v>
      </c>
      <c r="E118" s="155"/>
      <c r="F118" s="155"/>
      <c r="G118" s="155" t="s">
        <v>202</v>
      </c>
      <c r="H118" s="155" t="s">
        <v>49</v>
      </c>
      <c r="I118" s="176">
        <v>24.28</v>
      </c>
      <c r="J118" s="176">
        <v>26.606073920377881</v>
      </c>
      <c r="K118" s="156" t="s">
        <v>74</v>
      </c>
      <c r="L118" s="157" t="s">
        <v>212</v>
      </c>
      <c r="M118" s="157" t="s">
        <v>246</v>
      </c>
      <c r="N118" s="187">
        <f t="shared" si="21"/>
        <v>9.5802056028742921E-2</v>
      </c>
    </row>
    <row r="119" spans="2:18" s="58" customFormat="1" x14ac:dyDescent="0.25">
      <c r="B119" s="155" t="s">
        <v>5</v>
      </c>
      <c r="C119" s="155" t="s">
        <v>162</v>
      </c>
      <c r="D119" s="155" t="s">
        <v>15</v>
      </c>
      <c r="E119" s="155"/>
      <c r="F119" s="155"/>
      <c r="G119" s="155" t="s">
        <v>202</v>
      </c>
      <c r="H119" s="155" t="s">
        <v>49</v>
      </c>
      <c r="I119" s="176">
        <v>5.98</v>
      </c>
      <c r="J119" s="176">
        <v>19.696649821046325</v>
      </c>
      <c r="K119" s="156" t="s">
        <v>74</v>
      </c>
      <c r="L119" s="157" t="s">
        <v>212</v>
      </c>
      <c r="M119" s="157" t="s">
        <v>246</v>
      </c>
      <c r="N119" s="187">
        <f t="shared" si="21"/>
        <v>2.2937541506766426</v>
      </c>
    </row>
    <row r="120" spans="2:18" s="224" customFormat="1" x14ac:dyDescent="0.25">
      <c r="B120" s="220" t="s">
        <v>5</v>
      </c>
      <c r="C120" s="220" t="str">
        <f t="shared" ref="C120" si="27">IF(D120="","All",D120&amp;" "&amp;E120)</f>
        <v>All</v>
      </c>
      <c r="D120" s="220"/>
      <c r="E120" s="220"/>
      <c r="F120" s="220"/>
      <c r="G120" s="220" t="s">
        <v>203</v>
      </c>
      <c r="H120" s="220" t="s">
        <v>49</v>
      </c>
      <c r="I120" s="226">
        <v>25.714884256834605</v>
      </c>
      <c r="J120" s="226">
        <v>16.059999999999999</v>
      </c>
      <c r="K120" s="221" t="s">
        <v>74</v>
      </c>
      <c r="L120" s="222" t="s">
        <v>213</v>
      </c>
      <c r="M120" s="222" t="s">
        <v>245</v>
      </c>
      <c r="N120" s="223">
        <f t="shared" si="21"/>
        <v>-0.37545898167006109</v>
      </c>
    </row>
    <row r="121" spans="2:18" s="58" customFormat="1" x14ac:dyDescent="0.25">
      <c r="B121" s="155" t="s">
        <v>2</v>
      </c>
      <c r="C121" s="155" t="str">
        <f t="shared" si="22"/>
        <v>Residential without CL</v>
      </c>
      <c r="D121" s="155" t="s">
        <v>6</v>
      </c>
      <c r="E121" s="155" t="s">
        <v>146</v>
      </c>
      <c r="F121" s="155" t="s">
        <v>22</v>
      </c>
      <c r="G121" s="155" t="s">
        <v>27</v>
      </c>
      <c r="H121" s="155"/>
      <c r="I121" s="183">
        <v>3900</v>
      </c>
      <c r="J121" s="183">
        <v>3900</v>
      </c>
      <c r="K121" s="156" t="s">
        <v>28</v>
      </c>
      <c r="L121" s="157" t="s">
        <v>197</v>
      </c>
      <c r="M121" s="157" t="s">
        <v>197</v>
      </c>
      <c r="N121" s="187"/>
      <c r="Q121" s="264"/>
      <c r="R121" s="265"/>
    </row>
    <row r="122" spans="2:18" s="58" customFormat="1" x14ac:dyDescent="0.25">
      <c r="B122" s="155" t="s">
        <v>4</v>
      </c>
      <c r="C122" s="155" t="str">
        <f t="shared" si="22"/>
        <v>Residential without CL</v>
      </c>
      <c r="D122" s="155" t="s">
        <v>6</v>
      </c>
      <c r="E122" s="155" t="s">
        <v>146</v>
      </c>
      <c r="F122" s="155" t="s">
        <v>22</v>
      </c>
      <c r="G122" s="155" t="s">
        <v>27</v>
      </c>
      <c r="H122" s="155"/>
      <c r="I122" s="183">
        <v>4900</v>
      </c>
      <c r="J122" s="183">
        <v>4900</v>
      </c>
      <c r="K122" s="156" t="s">
        <v>28</v>
      </c>
      <c r="L122" s="157" t="s">
        <v>197</v>
      </c>
      <c r="M122" s="157" t="s">
        <v>197</v>
      </c>
      <c r="N122" s="187"/>
      <c r="Q122" s="264"/>
      <c r="R122" s="265"/>
    </row>
    <row r="123" spans="2:18" s="58" customFormat="1" x14ac:dyDescent="0.25">
      <c r="B123" s="155" t="s">
        <v>0</v>
      </c>
      <c r="C123" s="155" t="str">
        <f t="shared" si="22"/>
        <v>Residential without CL</v>
      </c>
      <c r="D123" s="155" t="s">
        <v>6</v>
      </c>
      <c r="E123" s="155" t="s">
        <v>146</v>
      </c>
      <c r="F123" s="155" t="s">
        <v>22</v>
      </c>
      <c r="G123" s="155" t="s">
        <v>27</v>
      </c>
      <c r="H123" s="155"/>
      <c r="I123" s="183">
        <v>4600</v>
      </c>
      <c r="J123" s="183">
        <v>4600</v>
      </c>
      <c r="K123" s="156" t="s">
        <v>28</v>
      </c>
      <c r="L123" s="157" t="s">
        <v>197</v>
      </c>
      <c r="M123" s="157" t="s">
        <v>197</v>
      </c>
      <c r="N123" s="187"/>
      <c r="Q123" s="264"/>
      <c r="R123" s="265"/>
    </row>
    <row r="124" spans="2:18" s="58" customFormat="1" x14ac:dyDescent="0.25">
      <c r="B124" s="155" t="s">
        <v>3</v>
      </c>
      <c r="C124" s="155" t="str">
        <f t="shared" si="22"/>
        <v>Residential without CL</v>
      </c>
      <c r="D124" s="155" t="s">
        <v>6</v>
      </c>
      <c r="E124" s="155" t="s">
        <v>146</v>
      </c>
      <c r="F124" s="155" t="s">
        <v>22</v>
      </c>
      <c r="G124" s="155" t="s">
        <v>27</v>
      </c>
      <c r="H124" s="155"/>
      <c r="I124" s="183">
        <v>4600</v>
      </c>
      <c r="J124" s="183">
        <v>4600</v>
      </c>
      <c r="K124" s="156" t="s">
        <v>28</v>
      </c>
      <c r="L124" s="157" t="s">
        <v>197</v>
      </c>
      <c r="M124" s="157" t="s">
        <v>197</v>
      </c>
      <c r="N124" s="187"/>
      <c r="Q124" s="264"/>
      <c r="R124" s="265"/>
    </row>
    <row r="125" spans="2:18" s="58" customFormat="1" x14ac:dyDescent="0.25">
      <c r="B125" s="155" t="s">
        <v>5</v>
      </c>
      <c r="C125" s="155" t="str">
        <f t="shared" si="22"/>
        <v>Residential without CL</v>
      </c>
      <c r="D125" s="155" t="s">
        <v>6</v>
      </c>
      <c r="E125" s="155" t="s">
        <v>146</v>
      </c>
      <c r="F125" s="155" t="s">
        <v>22</v>
      </c>
      <c r="G125" s="155" t="s">
        <v>27</v>
      </c>
      <c r="H125" s="155"/>
      <c r="I125" s="183">
        <v>4000</v>
      </c>
      <c r="J125" s="183">
        <v>4000</v>
      </c>
      <c r="K125" s="156" t="s">
        <v>28</v>
      </c>
      <c r="L125" s="157" t="s">
        <v>197</v>
      </c>
      <c r="M125" s="157" t="s">
        <v>197</v>
      </c>
      <c r="N125" s="187"/>
    </row>
    <row r="126" spans="2:18" s="58" customFormat="1" x14ac:dyDescent="0.25">
      <c r="B126" s="155" t="s">
        <v>2</v>
      </c>
      <c r="C126" s="155" t="str">
        <f t="shared" si="22"/>
        <v>Residential with CL</v>
      </c>
      <c r="D126" s="155" t="s">
        <v>6</v>
      </c>
      <c r="E126" s="155" t="s">
        <v>147</v>
      </c>
      <c r="F126" s="155" t="s">
        <v>22</v>
      </c>
      <c r="G126" s="155" t="s">
        <v>27</v>
      </c>
      <c r="H126" s="155"/>
      <c r="I126" s="183">
        <v>4800</v>
      </c>
      <c r="J126" s="183">
        <v>4800</v>
      </c>
      <c r="K126" s="156" t="s">
        <v>28</v>
      </c>
      <c r="L126" s="157" t="s">
        <v>197</v>
      </c>
      <c r="M126" s="157" t="s">
        <v>197</v>
      </c>
      <c r="N126" s="187"/>
    </row>
    <row r="127" spans="2:18" s="58" customFormat="1" x14ac:dyDescent="0.25">
      <c r="B127" s="155" t="s">
        <v>4</v>
      </c>
      <c r="C127" s="155" t="str">
        <f t="shared" si="22"/>
        <v>Residential with CL</v>
      </c>
      <c r="D127" s="155" t="s">
        <v>6</v>
      </c>
      <c r="E127" s="155" t="s">
        <v>147</v>
      </c>
      <c r="F127" s="155" t="s">
        <v>22</v>
      </c>
      <c r="G127" s="155" t="s">
        <v>27</v>
      </c>
      <c r="H127" s="155"/>
      <c r="I127" s="183">
        <v>5200</v>
      </c>
      <c r="J127" s="183">
        <v>5200</v>
      </c>
      <c r="K127" s="156" t="s">
        <v>28</v>
      </c>
      <c r="L127" s="157" t="s">
        <v>197</v>
      </c>
      <c r="M127" s="157" t="s">
        <v>197</v>
      </c>
      <c r="N127" s="187"/>
    </row>
    <row r="128" spans="2:18" s="58" customFormat="1" x14ac:dyDescent="0.25">
      <c r="B128" s="155" t="s">
        <v>0</v>
      </c>
      <c r="C128" s="155" t="str">
        <f t="shared" si="22"/>
        <v>Residential with CL</v>
      </c>
      <c r="D128" s="155" t="s">
        <v>6</v>
      </c>
      <c r="E128" s="155" t="s">
        <v>147</v>
      </c>
      <c r="F128" s="155" t="s">
        <v>22</v>
      </c>
      <c r="G128" s="155" t="s">
        <v>27</v>
      </c>
      <c r="H128" s="155"/>
      <c r="I128" s="183">
        <v>4400</v>
      </c>
      <c r="J128" s="183">
        <v>4400</v>
      </c>
      <c r="K128" s="156" t="s">
        <v>28</v>
      </c>
      <c r="L128" s="157" t="s">
        <v>197</v>
      </c>
      <c r="M128" s="157" t="s">
        <v>197</v>
      </c>
      <c r="N128" s="187"/>
    </row>
    <row r="129" spans="2:14" s="58" customFormat="1" x14ac:dyDescent="0.25">
      <c r="B129" s="155" t="s">
        <v>3</v>
      </c>
      <c r="C129" s="155" t="str">
        <f t="shared" si="22"/>
        <v>Residential with CL</v>
      </c>
      <c r="D129" s="155" t="s">
        <v>6</v>
      </c>
      <c r="E129" s="155" t="s">
        <v>147</v>
      </c>
      <c r="F129" s="155" t="s">
        <v>22</v>
      </c>
      <c r="G129" s="155" t="s">
        <v>27</v>
      </c>
      <c r="H129" s="155"/>
      <c r="I129" s="183">
        <v>4600</v>
      </c>
      <c r="J129" s="183">
        <v>4600</v>
      </c>
      <c r="K129" s="156" t="s">
        <v>28</v>
      </c>
      <c r="L129" s="157" t="s">
        <v>197</v>
      </c>
      <c r="M129" s="157" t="s">
        <v>197</v>
      </c>
      <c r="N129" s="187"/>
    </row>
    <row r="130" spans="2:14" s="58" customFormat="1" x14ac:dyDescent="0.25">
      <c r="B130" s="155" t="s">
        <v>5</v>
      </c>
      <c r="C130" s="155" t="str">
        <f t="shared" si="22"/>
        <v>Residential with CL</v>
      </c>
      <c r="D130" s="155" t="s">
        <v>6</v>
      </c>
      <c r="E130" s="155" t="s">
        <v>147</v>
      </c>
      <c r="F130" s="155" t="s">
        <v>22</v>
      </c>
      <c r="G130" s="155" t="s">
        <v>27</v>
      </c>
      <c r="H130" s="155"/>
      <c r="I130" s="183">
        <v>4200</v>
      </c>
      <c r="J130" s="183">
        <v>4200</v>
      </c>
      <c r="K130" s="156" t="s">
        <v>28</v>
      </c>
      <c r="L130" s="157" t="s">
        <v>197</v>
      </c>
      <c r="M130" s="157" t="s">
        <v>197</v>
      </c>
      <c r="N130" s="187"/>
    </row>
    <row r="131" spans="2:14" s="58" customFormat="1" x14ac:dyDescent="0.25">
      <c r="B131" s="155" t="s">
        <v>2</v>
      </c>
      <c r="C131" s="155" t="str">
        <f t="shared" si="22"/>
        <v>Residential with CL</v>
      </c>
      <c r="D131" s="155" t="s">
        <v>6</v>
      </c>
      <c r="E131" s="155" t="s">
        <v>147</v>
      </c>
      <c r="F131" s="155" t="s">
        <v>18</v>
      </c>
      <c r="G131" s="155" t="s">
        <v>27</v>
      </c>
      <c r="H131" s="155"/>
      <c r="I131" s="183">
        <v>2000</v>
      </c>
      <c r="J131" s="183">
        <v>2000</v>
      </c>
      <c r="K131" s="156" t="s">
        <v>28</v>
      </c>
      <c r="L131" s="157" t="s">
        <v>197</v>
      </c>
      <c r="M131" s="157" t="s">
        <v>197</v>
      </c>
      <c r="N131" s="187"/>
    </row>
    <row r="132" spans="2:14" s="58" customFormat="1" x14ac:dyDescent="0.25">
      <c r="B132" s="155" t="s">
        <v>4</v>
      </c>
      <c r="C132" s="155" t="str">
        <f t="shared" si="22"/>
        <v>Residential with CL</v>
      </c>
      <c r="D132" s="155" t="s">
        <v>6</v>
      </c>
      <c r="E132" s="155" t="s">
        <v>147</v>
      </c>
      <c r="F132" s="155" t="s">
        <v>18</v>
      </c>
      <c r="G132" s="155" t="s">
        <v>27</v>
      </c>
      <c r="H132" s="155"/>
      <c r="I132" s="183">
        <v>2200</v>
      </c>
      <c r="J132" s="183">
        <v>2200</v>
      </c>
      <c r="K132" s="156" t="s">
        <v>28</v>
      </c>
      <c r="L132" s="157" t="s">
        <v>197</v>
      </c>
      <c r="M132" s="157" t="s">
        <v>197</v>
      </c>
      <c r="N132" s="187"/>
    </row>
    <row r="133" spans="2:14" s="58" customFormat="1" x14ac:dyDescent="0.25">
      <c r="B133" s="155" t="s">
        <v>0</v>
      </c>
      <c r="C133" s="155" t="str">
        <f t="shared" si="22"/>
        <v>Residential with CL</v>
      </c>
      <c r="D133" s="155" t="s">
        <v>6</v>
      </c>
      <c r="E133" s="155" t="s">
        <v>147</v>
      </c>
      <c r="F133" s="155" t="s">
        <v>18</v>
      </c>
      <c r="G133" s="155" t="s">
        <v>27</v>
      </c>
      <c r="H133" s="155"/>
      <c r="I133" s="183">
        <v>1900</v>
      </c>
      <c r="J133" s="183">
        <v>1900</v>
      </c>
      <c r="K133" s="156" t="s">
        <v>28</v>
      </c>
      <c r="L133" s="157" t="s">
        <v>197</v>
      </c>
      <c r="M133" s="157" t="s">
        <v>197</v>
      </c>
      <c r="N133" s="187"/>
    </row>
    <row r="134" spans="2:14" s="58" customFormat="1" x14ac:dyDescent="0.25">
      <c r="B134" s="155" t="s">
        <v>3</v>
      </c>
      <c r="C134" s="155" t="str">
        <f t="shared" si="22"/>
        <v>Residential with CL</v>
      </c>
      <c r="D134" s="155" t="s">
        <v>6</v>
      </c>
      <c r="E134" s="155" t="s">
        <v>147</v>
      </c>
      <c r="F134" s="155" t="s">
        <v>18</v>
      </c>
      <c r="G134" s="155" t="s">
        <v>27</v>
      </c>
      <c r="H134" s="155"/>
      <c r="I134" s="183">
        <v>2000</v>
      </c>
      <c r="J134" s="183">
        <v>2000</v>
      </c>
      <c r="K134" s="156" t="s">
        <v>28</v>
      </c>
      <c r="L134" s="157" t="s">
        <v>197</v>
      </c>
      <c r="M134" s="157" t="s">
        <v>197</v>
      </c>
      <c r="N134" s="187"/>
    </row>
    <row r="135" spans="2:14" s="58" customFormat="1" x14ac:dyDescent="0.25">
      <c r="B135" s="155" t="s">
        <v>5</v>
      </c>
      <c r="C135" s="155" t="str">
        <f t="shared" si="22"/>
        <v>Residential with CL</v>
      </c>
      <c r="D135" s="155" t="s">
        <v>6</v>
      </c>
      <c r="E135" s="155" t="s">
        <v>147</v>
      </c>
      <c r="F135" s="155" t="s">
        <v>18</v>
      </c>
      <c r="G135" s="155" t="s">
        <v>27</v>
      </c>
      <c r="H135" s="155"/>
      <c r="I135" s="183">
        <v>1800</v>
      </c>
      <c r="J135" s="183">
        <v>1800</v>
      </c>
      <c r="K135" s="156" t="s">
        <v>28</v>
      </c>
      <c r="L135" s="157" t="s">
        <v>197</v>
      </c>
      <c r="M135" s="157" t="s">
        <v>197</v>
      </c>
      <c r="N135" s="187"/>
    </row>
    <row r="136" spans="2:14" s="58" customFormat="1" x14ac:dyDescent="0.25">
      <c r="B136" s="155" t="s">
        <v>2</v>
      </c>
      <c r="C136" s="155" t="str">
        <f t="shared" si="22"/>
        <v>Residential with CL</v>
      </c>
      <c r="D136" s="155" t="s">
        <v>6</v>
      </c>
      <c r="E136" s="155" t="s">
        <v>147</v>
      </c>
      <c r="F136" s="155" t="s">
        <v>18</v>
      </c>
      <c r="G136" s="155" t="s">
        <v>62</v>
      </c>
      <c r="H136" s="155"/>
      <c r="I136" s="186">
        <v>0.67</v>
      </c>
      <c r="J136" s="186">
        <v>0.67</v>
      </c>
      <c r="K136" s="156" t="s">
        <v>30</v>
      </c>
      <c r="L136" s="157" t="s">
        <v>197</v>
      </c>
      <c r="M136" s="157" t="s">
        <v>197</v>
      </c>
      <c r="N136" s="187"/>
    </row>
    <row r="137" spans="2:14" s="159" customFormat="1" x14ac:dyDescent="0.25">
      <c r="B137" s="155" t="s">
        <v>4</v>
      </c>
      <c r="C137" s="155" t="str">
        <f t="shared" si="22"/>
        <v>Residential with CL</v>
      </c>
      <c r="D137" s="155" t="s">
        <v>6</v>
      </c>
      <c r="E137" s="155" t="s">
        <v>147</v>
      </c>
      <c r="F137" s="155" t="s">
        <v>18</v>
      </c>
      <c r="G137" s="155" t="s">
        <v>62</v>
      </c>
      <c r="H137" s="155"/>
      <c r="I137" s="186">
        <v>0.67</v>
      </c>
      <c r="J137" s="186">
        <v>0.67</v>
      </c>
      <c r="K137" s="156" t="s">
        <v>30</v>
      </c>
      <c r="L137" s="157" t="s">
        <v>197</v>
      </c>
      <c r="M137" s="157" t="s">
        <v>197</v>
      </c>
      <c r="N137" s="187"/>
    </row>
    <row r="138" spans="2:14" s="159" customFormat="1" x14ac:dyDescent="0.25">
      <c r="B138" s="155" t="s">
        <v>0</v>
      </c>
      <c r="C138" s="155" t="str">
        <f t="shared" si="22"/>
        <v>Residential with CL</v>
      </c>
      <c r="D138" s="155" t="s">
        <v>6</v>
      </c>
      <c r="E138" s="155" t="s">
        <v>147</v>
      </c>
      <c r="F138" s="155" t="s">
        <v>18</v>
      </c>
      <c r="G138" s="155" t="s">
        <v>62</v>
      </c>
      <c r="H138" s="155"/>
      <c r="I138" s="186">
        <v>0.28999999999999998</v>
      </c>
      <c r="J138" s="186">
        <v>0.28999999999999998</v>
      </c>
      <c r="K138" s="156" t="s">
        <v>30</v>
      </c>
      <c r="L138" s="157" t="s">
        <v>197</v>
      </c>
      <c r="M138" s="157" t="s">
        <v>197</v>
      </c>
      <c r="N138" s="187"/>
    </row>
    <row r="139" spans="2:14" s="159" customFormat="1" x14ac:dyDescent="0.25">
      <c r="B139" s="155" t="s">
        <v>3</v>
      </c>
      <c r="C139" s="155" t="str">
        <f t="shared" si="22"/>
        <v>Residential with CL</v>
      </c>
      <c r="D139" s="155" t="s">
        <v>6</v>
      </c>
      <c r="E139" s="155" t="s">
        <v>147</v>
      </c>
      <c r="F139" s="155" t="s">
        <v>18</v>
      </c>
      <c r="G139" s="155" t="s">
        <v>62</v>
      </c>
      <c r="H139" s="155"/>
      <c r="I139" s="186">
        <v>0.77</v>
      </c>
      <c r="J139" s="186">
        <v>0.77</v>
      </c>
      <c r="K139" s="156" t="s">
        <v>30</v>
      </c>
      <c r="L139" s="157" t="s">
        <v>197</v>
      </c>
      <c r="M139" s="157" t="s">
        <v>197</v>
      </c>
      <c r="N139" s="187"/>
    </row>
    <row r="140" spans="2:14" s="159" customFormat="1" x14ac:dyDescent="0.25">
      <c r="B140" s="155" t="s">
        <v>5</v>
      </c>
      <c r="C140" s="155" t="str">
        <f t="shared" si="22"/>
        <v>Residential with CL</v>
      </c>
      <c r="D140" s="155" t="s">
        <v>6</v>
      </c>
      <c r="E140" s="155" t="s">
        <v>147</v>
      </c>
      <c r="F140" s="155" t="s">
        <v>18</v>
      </c>
      <c r="G140" s="155" t="s">
        <v>62</v>
      </c>
      <c r="H140" s="155"/>
      <c r="I140" s="186">
        <v>1</v>
      </c>
      <c r="J140" s="186">
        <v>1</v>
      </c>
      <c r="K140" s="156" t="s">
        <v>30</v>
      </c>
      <c r="L140" s="157" t="s">
        <v>197</v>
      </c>
      <c r="M140" s="157" t="s">
        <v>197</v>
      </c>
      <c r="N140" s="187"/>
    </row>
    <row r="141" spans="2:14" s="58" customFormat="1" x14ac:dyDescent="0.25">
      <c r="B141" s="155" t="s">
        <v>2</v>
      </c>
      <c r="C141" s="155" t="str">
        <f t="shared" si="22"/>
        <v>Small business without CL</v>
      </c>
      <c r="D141" s="155" t="s">
        <v>15</v>
      </c>
      <c r="E141" s="155" t="s">
        <v>146</v>
      </c>
      <c r="F141" s="155" t="s">
        <v>22</v>
      </c>
      <c r="G141" s="155" t="s">
        <v>27</v>
      </c>
      <c r="H141" s="155"/>
      <c r="I141" s="183">
        <v>10000</v>
      </c>
      <c r="J141" s="183">
        <v>10000</v>
      </c>
      <c r="K141" s="156" t="s">
        <v>28</v>
      </c>
      <c r="L141" s="157" t="s">
        <v>197</v>
      </c>
      <c r="M141" s="157" t="s">
        <v>197</v>
      </c>
      <c r="N141" s="187"/>
    </row>
    <row r="142" spans="2:14" s="58" customFormat="1" x14ac:dyDescent="0.25">
      <c r="B142" s="155" t="s">
        <v>4</v>
      </c>
      <c r="C142" s="155" t="str">
        <f t="shared" si="22"/>
        <v>Small business without CL</v>
      </c>
      <c r="D142" s="155" t="s">
        <v>15</v>
      </c>
      <c r="E142" s="155" t="s">
        <v>146</v>
      </c>
      <c r="F142" s="155" t="s">
        <v>22</v>
      </c>
      <c r="G142" s="155" t="s">
        <v>27</v>
      </c>
      <c r="H142" s="155"/>
      <c r="I142" s="183">
        <v>10000</v>
      </c>
      <c r="J142" s="183">
        <v>10000</v>
      </c>
      <c r="K142" s="156" t="s">
        <v>28</v>
      </c>
      <c r="L142" s="157" t="s">
        <v>197</v>
      </c>
      <c r="M142" s="157" t="s">
        <v>197</v>
      </c>
      <c r="N142" s="187"/>
    </row>
    <row r="143" spans="2:14" s="58" customFormat="1" x14ac:dyDescent="0.25">
      <c r="B143" s="155" t="s">
        <v>0</v>
      </c>
      <c r="C143" s="155" t="str">
        <f t="shared" si="22"/>
        <v>Small business without CL</v>
      </c>
      <c r="D143" s="155" t="s">
        <v>15</v>
      </c>
      <c r="E143" s="155" t="s">
        <v>146</v>
      </c>
      <c r="F143" s="155" t="s">
        <v>22</v>
      </c>
      <c r="G143" s="155" t="s">
        <v>27</v>
      </c>
      <c r="H143" s="155"/>
      <c r="I143" s="183">
        <v>10000</v>
      </c>
      <c r="J143" s="183">
        <v>10000</v>
      </c>
      <c r="K143" s="156" t="s">
        <v>28</v>
      </c>
      <c r="L143" s="157" t="s">
        <v>197</v>
      </c>
      <c r="M143" s="157" t="s">
        <v>197</v>
      </c>
      <c r="N143" s="187"/>
    </row>
    <row r="144" spans="2:14" s="58" customFormat="1" x14ac:dyDescent="0.25">
      <c r="B144" s="155" t="s">
        <v>3</v>
      </c>
      <c r="C144" s="155" t="str">
        <f t="shared" si="22"/>
        <v>Small business without CL</v>
      </c>
      <c r="D144" s="155" t="s">
        <v>15</v>
      </c>
      <c r="E144" s="155" t="s">
        <v>146</v>
      </c>
      <c r="F144" s="155" t="s">
        <v>22</v>
      </c>
      <c r="G144" s="155" t="s">
        <v>27</v>
      </c>
      <c r="H144" s="155"/>
      <c r="I144" s="183">
        <v>10000</v>
      </c>
      <c r="J144" s="183">
        <v>10000</v>
      </c>
      <c r="K144" s="156" t="s">
        <v>28</v>
      </c>
      <c r="L144" s="157" t="s">
        <v>197</v>
      </c>
      <c r="M144" s="157" t="s">
        <v>197</v>
      </c>
      <c r="N144" s="187"/>
    </row>
    <row r="145" spans="2:14" s="58" customFormat="1" x14ac:dyDescent="0.25">
      <c r="B145" s="155" t="s">
        <v>5</v>
      </c>
      <c r="C145" s="155" t="str">
        <f t="shared" si="22"/>
        <v>Small business without CL</v>
      </c>
      <c r="D145" s="155" t="s">
        <v>15</v>
      </c>
      <c r="E145" s="155" t="s">
        <v>146</v>
      </c>
      <c r="F145" s="155" t="s">
        <v>22</v>
      </c>
      <c r="G145" s="155" t="s">
        <v>27</v>
      </c>
      <c r="H145" s="155"/>
      <c r="I145" s="183">
        <v>10000</v>
      </c>
      <c r="J145" s="183">
        <v>10000</v>
      </c>
      <c r="K145" s="156" t="s">
        <v>28</v>
      </c>
      <c r="L145" s="157" t="s">
        <v>197</v>
      </c>
      <c r="M145" s="157" t="s">
        <v>197</v>
      </c>
      <c r="N145" s="187"/>
    </row>
    <row r="146" spans="2:14" s="58" customFormat="1" x14ac:dyDescent="0.25">
      <c r="B146" s="155" t="s">
        <v>4</v>
      </c>
      <c r="C146" s="155" t="str">
        <f t="shared" si="22"/>
        <v>Residential without CL</v>
      </c>
      <c r="D146" s="155" t="s">
        <v>6</v>
      </c>
      <c r="E146" s="155" t="s">
        <v>146</v>
      </c>
      <c r="F146" s="155" t="s">
        <v>22</v>
      </c>
      <c r="G146" s="155" t="s">
        <v>27</v>
      </c>
      <c r="H146" s="155"/>
      <c r="I146" s="183">
        <v>4000</v>
      </c>
      <c r="J146" s="183">
        <v>4000</v>
      </c>
      <c r="K146" s="156" t="s">
        <v>28</v>
      </c>
      <c r="L146" s="157" t="s">
        <v>197</v>
      </c>
      <c r="M146" s="157" t="s">
        <v>197</v>
      </c>
      <c r="N146" s="187"/>
    </row>
    <row r="147" spans="2:14" s="58" customFormat="1" x14ac:dyDescent="0.25">
      <c r="B147" s="155" t="s">
        <v>4</v>
      </c>
      <c r="C147" s="155" t="str">
        <f t="shared" si="22"/>
        <v>Residential with CL</v>
      </c>
      <c r="D147" s="155" t="s">
        <v>6</v>
      </c>
      <c r="E147" s="155" t="s">
        <v>147</v>
      </c>
      <c r="F147" s="155" t="s">
        <v>22</v>
      </c>
      <c r="G147" s="155" t="s">
        <v>27</v>
      </c>
      <c r="H147" s="155"/>
      <c r="I147" s="183">
        <v>4000</v>
      </c>
      <c r="J147" s="183">
        <v>4000</v>
      </c>
      <c r="K147" s="156" t="s">
        <v>28</v>
      </c>
      <c r="L147" s="157" t="s">
        <v>197</v>
      </c>
      <c r="M147" s="157" t="s">
        <v>197</v>
      </c>
      <c r="N147" s="187"/>
    </row>
    <row r="148" spans="2:14" s="58" customFormat="1" x14ac:dyDescent="0.25">
      <c r="B148" s="155" t="s">
        <v>5</v>
      </c>
      <c r="C148" s="155" t="str">
        <f t="shared" si="22"/>
        <v>Residential without CL</v>
      </c>
      <c r="D148" s="155" t="s">
        <v>6</v>
      </c>
      <c r="E148" s="155" t="s">
        <v>146</v>
      </c>
      <c r="F148" s="155" t="s">
        <v>22</v>
      </c>
      <c r="G148" s="155" t="s">
        <v>27</v>
      </c>
      <c r="H148" s="155"/>
      <c r="I148" s="183">
        <v>4000</v>
      </c>
      <c r="J148" s="183">
        <v>4000</v>
      </c>
      <c r="K148" s="156" t="s">
        <v>28</v>
      </c>
      <c r="L148" s="157" t="s">
        <v>197</v>
      </c>
      <c r="M148" s="157" t="s">
        <v>197</v>
      </c>
      <c r="N148" s="187"/>
    </row>
    <row r="149" spans="2:14" s="58" customFormat="1" x14ac:dyDescent="0.25">
      <c r="B149" s="155" t="s">
        <v>5</v>
      </c>
      <c r="C149" s="155" t="str">
        <f t="shared" si="22"/>
        <v>Residential with CL</v>
      </c>
      <c r="D149" s="155" t="s">
        <v>6</v>
      </c>
      <c r="E149" s="155" t="s">
        <v>147</v>
      </c>
      <c r="F149" s="155" t="s">
        <v>22</v>
      </c>
      <c r="G149" s="155" t="s">
        <v>27</v>
      </c>
      <c r="H149" s="155"/>
      <c r="I149" s="183">
        <v>4000</v>
      </c>
      <c r="J149" s="183">
        <v>4000</v>
      </c>
      <c r="K149" s="156" t="s">
        <v>28</v>
      </c>
      <c r="L149" s="157" t="s">
        <v>197</v>
      </c>
      <c r="M149" s="157" t="s">
        <v>197</v>
      </c>
      <c r="N149" s="187"/>
    </row>
    <row r="150" spans="2:14" s="58" customFormat="1" x14ac:dyDescent="0.25">
      <c r="B150" s="155" t="s">
        <v>2</v>
      </c>
      <c r="C150" s="155" t="str">
        <f t="shared" si="22"/>
        <v>Residential without CL</v>
      </c>
      <c r="D150" s="155" t="s">
        <v>6</v>
      </c>
      <c r="E150" s="155" t="s">
        <v>146</v>
      </c>
      <c r="F150" s="155"/>
      <c r="G150" s="155" t="s">
        <v>73</v>
      </c>
      <c r="H150" s="155"/>
      <c r="I150" s="184">
        <v>1512</v>
      </c>
      <c r="J150" s="184"/>
      <c r="K150" s="156" t="s">
        <v>74</v>
      </c>
      <c r="L150" s="157" t="s">
        <v>197</v>
      </c>
      <c r="M150" s="157" t="s">
        <v>65</v>
      </c>
      <c r="N150" s="187"/>
    </row>
    <row r="151" spans="2:14" s="58" customFormat="1" x14ac:dyDescent="0.25">
      <c r="B151" s="155" t="s">
        <v>4</v>
      </c>
      <c r="C151" s="155" t="str">
        <f t="shared" si="22"/>
        <v>Residential without CL</v>
      </c>
      <c r="D151" s="155" t="s">
        <v>6</v>
      </c>
      <c r="E151" s="155" t="s">
        <v>146</v>
      </c>
      <c r="F151" s="155"/>
      <c r="G151" s="155" t="s">
        <v>73</v>
      </c>
      <c r="H151" s="155"/>
      <c r="I151" s="184">
        <v>1836</v>
      </c>
      <c r="J151" s="184"/>
      <c r="K151" s="156" t="s">
        <v>74</v>
      </c>
      <c r="L151" s="157" t="s">
        <v>197</v>
      </c>
      <c r="M151" s="157" t="s">
        <v>65</v>
      </c>
      <c r="N151" s="187"/>
    </row>
    <row r="152" spans="2:14" s="58" customFormat="1" x14ac:dyDescent="0.25">
      <c r="B152" s="155" t="s">
        <v>0</v>
      </c>
      <c r="C152" s="155" t="str">
        <f t="shared" si="22"/>
        <v>Residential without CL</v>
      </c>
      <c r="D152" s="155" t="s">
        <v>6</v>
      </c>
      <c r="E152" s="155" t="s">
        <v>146</v>
      </c>
      <c r="F152" s="155"/>
      <c r="G152" s="155" t="s">
        <v>73</v>
      </c>
      <c r="H152" s="155"/>
      <c r="I152" s="184">
        <v>1620</v>
      </c>
      <c r="J152" s="184"/>
      <c r="K152" s="156" t="s">
        <v>74</v>
      </c>
      <c r="L152" s="157" t="s">
        <v>197</v>
      </c>
      <c r="M152" s="157" t="s">
        <v>65</v>
      </c>
      <c r="N152" s="187"/>
    </row>
    <row r="153" spans="2:14" s="58" customFormat="1" x14ac:dyDescent="0.25">
      <c r="B153" s="155" t="s">
        <v>3</v>
      </c>
      <c r="C153" s="155" t="str">
        <f t="shared" si="22"/>
        <v>Residential without CL</v>
      </c>
      <c r="D153" s="155" t="s">
        <v>6</v>
      </c>
      <c r="E153" s="155" t="s">
        <v>146</v>
      </c>
      <c r="F153" s="155"/>
      <c r="G153" s="155" t="s">
        <v>73</v>
      </c>
      <c r="H153" s="155"/>
      <c r="I153" s="184">
        <v>2092</v>
      </c>
      <c r="J153" s="184"/>
      <c r="K153" s="156" t="s">
        <v>74</v>
      </c>
      <c r="L153" s="157" t="s">
        <v>197</v>
      </c>
      <c r="M153" s="157" t="s">
        <v>65</v>
      </c>
      <c r="N153" s="187"/>
    </row>
    <row r="154" spans="2:14" s="58" customFormat="1" x14ac:dyDescent="0.25">
      <c r="B154" s="155" t="s">
        <v>5</v>
      </c>
      <c r="C154" s="155" t="str">
        <f t="shared" si="22"/>
        <v>Residential without CL</v>
      </c>
      <c r="D154" s="155" t="s">
        <v>6</v>
      </c>
      <c r="E154" s="155" t="s">
        <v>146</v>
      </c>
      <c r="F154" s="155"/>
      <c r="G154" s="155" t="s">
        <v>73</v>
      </c>
      <c r="H154" s="155"/>
      <c r="I154" s="184">
        <v>1840</v>
      </c>
      <c r="J154" s="184"/>
      <c r="K154" s="156" t="s">
        <v>74</v>
      </c>
      <c r="L154" s="157" t="s">
        <v>197</v>
      </c>
      <c r="M154" s="157" t="s">
        <v>65</v>
      </c>
      <c r="N154" s="187"/>
    </row>
    <row r="155" spans="2:14" s="58" customFormat="1" x14ac:dyDescent="0.25">
      <c r="B155" s="155" t="s">
        <v>2</v>
      </c>
      <c r="C155" s="155" t="str">
        <f t="shared" si="22"/>
        <v>Residential with CL</v>
      </c>
      <c r="D155" s="155" t="s">
        <v>6</v>
      </c>
      <c r="E155" s="155" t="s">
        <v>147</v>
      </c>
      <c r="F155" s="155"/>
      <c r="G155" s="155" t="s">
        <v>73</v>
      </c>
      <c r="H155" s="155"/>
      <c r="I155" s="184">
        <v>2122</v>
      </c>
      <c r="J155" s="184"/>
      <c r="K155" s="156" t="s">
        <v>74</v>
      </c>
      <c r="L155" s="157" t="s">
        <v>197</v>
      </c>
      <c r="M155" s="157" t="s">
        <v>65</v>
      </c>
      <c r="N155" s="187"/>
    </row>
    <row r="156" spans="2:14" s="58" customFormat="1" x14ac:dyDescent="0.25">
      <c r="B156" s="155" t="s">
        <v>4</v>
      </c>
      <c r="C156" s="155" t="str">
        <f t="shared" si="22"/>
        <v>Residential with CL</v>
      </c>
      <c r="D156" s="155" t="s">
        <v>6</v>
      </c>
      <c r="E156" s="155" t="s">
        <v>147</v>
      </c>
      <c r="F156" s="155"/>
      <c r="G156" s="155" t="s">
        <v>73</v>
      </c>
      <c r="H156" s="155"/>
      <c r="I156" s="184">
        <v>2383</v>
      </c>
      <c r="J156" s="184"/>
      <c r="K156" s="156" t="s">
        <v>74</v>
      </c>
      <c r="L156" s="157" t="s">
        <v>197</v>
      </c>
      <c r="M156" s="157" t="s">
        <v>65</v>
      </c>
      <c r="N156" s="187"/>
    </row>
    <row r="157" spans="2:14" s="58" customFormat="1" x14ac:dyDescent="0.25">
      <c r="B157" s="155" t="s">
        <v>0</v>
      </c>
      <c r="C157" s="155" t="str">
        <f t="shared" si="22"/>
        <v>Residential with CL</v>
      </c>
      <c r="D157" s="155" t="s">
        <v>6</v>
      </c>
      <c r="E157" s="155" t="s">
        <v>147</v>
      </c>
      <c r="F157" s="155"/>
      <c r="G157" s="155" t="s">
        <v>73</v>
      </c>
      <c r="H157" s="155"/>
      <c r="I157" s="184">
        <v>1961</v>
      </c>
      <c r="J157" s="184"/>
      <c r="K157" s="156" t="s">
        <v>74</v>
      </c>
      <c r="L157" s="157" t="s">
        <v>197</v>
      </c>
      <c r="M157" s="157" t="s">
        <v>65</v>
      </c>
      <c r="N157" s="187"/>
    </row>
    <row r="158" spans="2:14" s="58" customFormat="1" x14ac:dyDescent="0.25">
      <c r="B158" s="155" t="s">
        <v>3</v>
      </c>
      <c r="C158" s="155" t="str">
        <f t="shared" si="22"/>
        <v>Residential with CL</v>
      </c>
      <c r="D158" s="155" t="s">
        <v>6</v>
      </c>
      <c r="E158" s="155" t="s">
        <v>147</v>
      </c>
      <c r="F158" s="155"/>
      <c r="G158" s="155" t="s">
        <v>73</v>
      </c>
      <c r="H158" s="155"/>
      <c r="I158" s="184">
        <v>2490</v>
      </c>
      <c r="J158" s="184"/>
      <c r="K158" s="156" t="s">
        <v>74</v>
      </c>
      <c r="L158" s="157" t="s">
        <v>197</v>
      </c>
      <c r="M158" s="157" t="s">
        <v>65</v>
      </c>
      <c r="N158" s="187"/>
    </row>
    <row r="159" spans="2:14" s="58" customFormat="1" x14ac:dyDescent="0.25">
      <c r="B159" s="155" t="s">
        <v>5</v>
      </c>
      <c r="C159" s="155" t="str">
        <f t="shared" si="22"/>
        <v>Residential with CL</v>
      </c>
      <c r="D159" s="155" t="s">
        <v>6</v>
      </c>
      <c r="E159" s="155" t="s">
        <v>147</v>
      </c>
      <c r="F159" s="155"/>
      <c r="G159" s="155" t="s">
        <v>73</v>
      </c>
      <c r="H159" s="155"/>
      <c r="I159" s="184">
        <v>2275</v>
      </c>
      <c r="J159" s="184"/>
      <c r="K159" s="156" t="s">
        <v>74</v>
      </c>
      <c r="L159" s="157" t="s">
        <v>197</v>
      </c>
      <c r="M159" s="157" t="s">
        <v>65</v>
      </c>
      <c r="N159" s="187"/>
    </row>
    <row r="160" spans="2:14" s="58" customFormat="1" x14ac:dyDescent="0.25">
      <c r="B160" s="155" t="s">
        <v>2</v>
      </c>
      <c r="C160" s="155" t="str">
        <f t="shared" si="22"/>
        <v>Small business without CL</v>
      </c>
      <c r="D160" s="155" t="s">
        <v>15</v>
      </c>
      <c r="E160" s="155" t="s">
        <v>146</v>
      </c>
      <c r="F160" s="155"/>
      <c r="G160" s="155" t="s">
        <v>73</v>
      </c>
      <c r="H160" s="155"/>
      <c r="I160" s="184">
        <v>4360</v>
      </c>
      <c r="J160" s="184"/>
      <c r="K160" s="156" t="s">
        <v>74</v>
      </c>
      <c r="L160" s="157" t="s">
        <v>197</v>
      </c>
      <c r="M160" s="157" t="s">
        <v>65</v>
      </c>
      <c r="N160" s="187"/>
    </row>
    <row r="161" spans="2:14" s="58" customFormat="1" x14ac:dyDescent="0.25">
      <c r="B161" s="155" t="s">
        <v>4</v>
      </c>
      <c r="C161" s="155" t="str">
        <f t="shared" si="22"/>
        <v>Small business without CL</v>
      </c>
      <c r="D161" s="155" t="s">
        <v>15</v>
      </c>
      <c r="E161" s="155" t="s">
        <v>146</v>
      </c>
      <c r="F161" s="155"/>
      <c r="G161" s="155" t="s">
        <v>73</v>
      </c>
      <c r="H161" s="155"/>
      <c r="I161" s="184">
        <v>3782</v>
      </c>
      <c r="J161" s="184"/>
      <c r="K161" s="156" t="s">
        <v>74</v>
      </c>
      <c r="L161" s="157" t="s">
        <v>197</v>
      </c>
      <c r="M161" s="157" t="s">
        <v>65</v>
      </c>
      <c r="N161" s="187"/>
    </row>
    <row r="162" spans="2:14" s="58" customFormat="1" x14ac:dyDescent="0.25">
      <c r="B162" s="155" t="s">
        <v>0</v>
      </c>
      <c r="C162" s="155" t="str">
        <f t="shared" si="22"/>
        <v>Small business without CL</v>
      </c>
      <c r="D162" s="155" t="s">
        <v>15</v>
      </c>
      <c r="E162" s="155" t="s">
        <v>146</v>
      </c>
      <c r="F162" s="155"/>
      <c r="G162" s="155" t="s">
        <v>73</v>
      </c>
      <c r="H162" s="155"/>
      <c r="I162" s="184">
        <v>3446</v>
      </c>
      <c r="J162" s="184"/>
      <c r="K162" s="156" t="s">
        <v>74</v>
      </c>
      <c r="L162" s="157" t="s">
        <v>197</v>
      </c>
      <c r="M162" s="157" t="s">
        <v>65</v>
      </c>
      <c r="N162" s="187"/>
    </row>
    <row r="163" spans="2:14" s="58" customFormat="1" x14ac:dyDescent="0.25">
      <c r="B163" s="155" t="s">
        <v>3</v>
      </c>
      <c r="C163" s="155" t="str">
        <f t="shared" si="22"/>
        <v>Small business without CL</v>
      </c>
      <c r="D163" s="155" t="s">
        <v>15</v>
      </c>
      <c r="E163" s="155" t="s">
        <v>146</v>
      </c>
      <c r="F163" s="155"/>
      <c r="G163" s="155" t="s">
        <v>73</v>
      </c>
      <c r="H163" s="155"/>
      <c r="I163" s="184">
        <v>4901</v>
      </c>
      <c r="J163" s="184"/>
      <c r="K163" s="156" t="s">
        <v>74</v>
      </c>
      <c r="L163" s="157" t="s">
        <v>197</v>
      </c>
      <c r="M163" s="157" t="s">
        <v>65</v>
      </c>
      <c r="N163" s="187"/>
    </row>
    <row r="164" spans="2:14" s="58" customFormat="1" x14ac:dyDescent="0.25">
      <c r="B164" s="155" t="s">
        <v>5</v>
      </c>
      <c r="C164" s="155" t="str">
        <f t="shared" si="22"/>
        <v>Small business without CL</v>
      </c>
      <c r="D164" s="155" t="s">
        <v>15</v>
      </c>
      <c r="E164" s="155" t="s">
        <v>146</v>
      </c>
      <c r="F164" s="155"/>
      <c r="G164" s="155" t="s">
        <v>73</v>
      </c>
      <c r="H164" s="155"/>
      <c r="I164" s="184">
        <v>4539</v>
      </c>
      <c r="J164" s="184"/>
      <c r="K164" s="156" t="s">
        <v>74</v>
      </c>
      <c r="L164" s="157" t="s">
        <v>197</v>
      </c>
      <c r="M164" s="157" t="s">
        <v>65</v>
      </c>
      <c r="N164" s="187"/>
    </row>
    <row r="165" spans="2:14" x14ac:dyDescent="0.25">
      <c r="B165" s="279" t="s">
        <v>2</v>
      </c>
      <c r="C165" s="155" t="str">
        <f t="shared" ref="C165:C179" si="28">IF(D165="","All",D165&amp;" "&amp;E165)</f>
        <v>Residential without CL</v>
      </c>
      <c r="D165" s="155" t="s">
        <v>6</v>
      </c>
      <c r="E165" s="155" t="s">
        <v>146</v>
      </c>
      <c r="F165" s="155"/>
      <c r="G165" s="155" t="s">
        <v>206</v>
      </c>
      <c r="H165" s="155"/>
      <c r="I165" s="280">
        <v>0.1</v>
      </c>
      <c r="J165" s="285">
        <v>0.1</v>
      </c>
      <c r="K165" s="156" t="s">
        <v>30</v>
      </c>
      <c r="L165" s="157" t="s">
        <v>197</v>
      </c>
      <c r="M165" s="157" t="s">
        <v>197</v>
      </c>
      <c r="N165" s="187"/>
    </row>
    <row r="166" spans="2:14" x14ac:dyDescent="0.25">
      <c r="B166" s="279" t="s">
        <v>2</v>
      </c>
      <c r="C166" s="155" t="str">
        <f t="shared" si="28"/>
        <v>Residential with CL</v>
      </c>
      <c r="D166" s="155" t="s">
        <v>6</v>
      </c>
      <c r="E166" s="155" t="s">
        <v>147</v>
      </c>
      <c r="F166" s="155"/>
      <c r="G166" s="155" t="s">
        <v>206</v>
      </c>
      <c r="H166" s="155"/>
      <c r="I166" s="280">
        <v>0.1</v>
      </c>
      <c r="J166" s="285">
        <v>0.1</v>
      </c>
      <c r="K166" s="156" t="s">
        <v>30</v>
      </c>
      <c r="L166" s="157" t="s">
        <v>197</v>
      </c>
      <c r="M166" s="157" t="s">
        <v>197</v>
      </c>
      <c r="N166" s="187"/>
    </row>
    <row r="167" spans="2:14" x14ac:dyDescent="0.25">
      <c r="B167" s="279" t="s">
        <v>2</v>
      </c>
      <c r="C167" s="155" t="str">
        <f t="shared" si="28"/>
        <v>Small business without CL</v>
      </c>
      <c r="D167" s="155" t="s">
        <v>15</v>
      </c>
      <c r="E167" s="155" t="s">
        <v>146</v>
      </c>
      <c r="F167" s="155"/>
      <c r="G167" s="155" t="s">
        <v>206</v>
      </c>
      <c r="H167" s="155"/>
      <c r="I167" s="280">
        <v>0.25</v>
      </c>
      <c r="J167" s="285">
        <v>0.2</v>
      </c>
      <c r="K167" s="156" t="s">
        <v>30</v>
      </c>
      <c r="L167" s="157" t="s">
        <v>197</v>
      </c>
      <c r="M167" s="157" t="s">
        <v>197</v>
      </c>
      <c r="N167" s="187"/>
    </row>
    <row r="168" spans="2:14" x14ac:dyDescent="0.25">
      <c r="B168" s="279" t="s">
        <v>4</v>
      </c>
      <c r="C168" s="155" t="str">
        <f t="shared" si="28"/>
        <v>Residential without CL</v>
      </c>
      <c r="D168" s="155" t="s">
        <v>6</v>
      </c>
      <c r="E168" s="155" t="s">
        <v>146</v>
      </c>
      <c r="F168" s="155"/>
      <c r="G168" s="155" t="s">
        <v>206</v>
      </c>
      <c r="H168" s="155"/>
      <c r="I168" s="280">
        <v>0.1</v>
      </c>
      <c r="J168" s="285">
        <v>0.1</v>
      </c>
      <c r="K168" s="156" t="s">
        <v>30</v>
      </c>
      <c r="L168" s="157" t="s">
        <v>197</v>
      </c>
      <c r="M168" s="157" t="s">
        <v>197</v>
      </c>
      <c r="N168" s="187"/>
    </row>
    <row r="169" spans="2:14" x14ac:dyDescent="0.25">
      <c r="B169" s="279" t="s">
        <v>4</v>
      </c>
      <c r="C169" s="155" t="str">
        <f t="shared" si="28"/>
        <v>Residential with CL</v>
      </c>
      <c r="D169" s="155" t="s">
        <v>6</v>
      </c>
      <c r="E169" s="155" t="s">
        <v>147</v>
      </c>
      <c r="F169" s="155"/>
      <c r="G169" s="155" t="s">
        <v>206</v>
      </c>
      <c r="H169" s="155"/>
      <c r="I169" s="280">
        <v>0.1</v>
      </c>
      <c r="J169" s="285">
        <v>0.1</v>
      </c>
      <c r="K169" s="156" t="s">
        <v>30</v>
      </c>
      <c r="L169" s="157" t="s">
        <v>197</v>
      </c>
      <c r="M169" s="157" t="s">
        <v>197</v>
      </c>
      <c r="N169" s="187"/>
    </row>
    <row r="170" spans="2:14" x14ac:dyDescent="0.25">
      <c r="B170" s="279" t="s">
        <v>4</v>
      </c>
      <c r="C170" s="155" t="str">
        <f t="shared" si="28"/>
        <v>Small business without CL</v>
      </c>
      <c r="D170" s="155" t="s">
        <v>15</v>
      </c>
      <c r="E170" s="155" t="s">
        <v>146</v>
      </c>
      <c r="F170" s="155"/>
      <c r="G170" s="155" t="s">
        <v>206</v>
      </c>
      <c r="H170" s="155"/>
      <c r="I170" s="280">
        <v>0.16600000000000001</v>
      </c>
      <c r="J170" s="285">
        <v>0.16</v>
      </c>
      <c r="K170" s="156" t="s">
        <v>30</v>
      </c>
      <c r="L170" s="157" t="s">
        <v>197</v>
      </c>
      <c r="M170" s="157" t="s">
        <v>197</v>
      </c>
      <c r="N170" s="187"/>
    </row>
    <row r="171" spans="2:14" x14ac:dyDescent="0.25">
      <c r="B171" s="279" t="s">
        <v>3</v>
      </c>
      <c r="C171" s="155" t="str">
        <f t="shared" si="28"/>
        <v>Residential without CL</v>
      </c>
      <c r="D171" s="155" t="s">
        <v>6</v>
      </c>
      <c r="E171" s="155" t="s">
        <v>146</v>
      </c>
      <c r="F171" s="155"/>
      <c r="G171" s="155" t="s">
        <v>206</v>
      </c>
      <c r="H171" s="155"/>
      <c r="I171" s="280">
        <v>0.1</v>
      </c>
      <c r="J171" s="285">
        <v>0.1</v>
      </c>
      <c r="K171" s="156" t="s">
        <v>30</v>
      </c>
      <c r="L171" s="157" t="s">
        <v>197</v>
      </c>
      <c r="M171" s="157" t="s">
        <v>197</v>
      </c>
      <c r="N171" s="187"/>
    </row>
    <row r="172" spans="2:14" x14ac:dyDescent="0.25">
      <c r="B172" s="279" t="s">
        <v>3</v>
      </c>
      <c r="C172" s="155" t="str">
        <f t="shared" si="28"/>
        <v>Residential with CL</v>
      </c>
      <c r="D172" s="155" t="s">
        <v>6</v>
      </c>
      <c r="E172" s="155" t="s">
        <v>147</v>
      </c>
      <c r="F172" s="155"/>
      <c r="G172" s="155" t="s">
        <v>206</v>
      </c>
      <c r="H172" s="155"/>
      <c r="I172" s="280">
        <v>0.1</v>
      </c>
      <c r="J172" s="285">
        <v>0.1</v>
      </c>
      <c r="K172" s="156" t="s">
        <v>30</v>
      </c>
      <c r="L172" s="157" t="s">
        <v>197</v>
      </c>
      <c r="M172" s="157" t="s">
        <v>197</v>
      </c>
      <c r="N172" s="187"/>
    </row>
    <row r="173" spans="2:14" x14ac:dyDescent="0.25">
      <c r="B173" s="279" t="s">
        <v>3</v>
      </c>
      <c r="C173" s="155" t="str">
        <f t="shared" si="28"/>
        <v>Small business without CL</v>
      </c>
      <c r="D173" s="155" t="s">
        <v>15</v>
      </c>
      <c r="E173" s="155" t="s">
        <v>146</v>
      </c>
      <c r="F173" s="155"/>
      <c r="G173" s="155" t="s">
        <v>206</v>
      </c>
      <c r="H173" s="155"/>
      <c r="I173" s="280">
        <v>0.20300000000000001</v>
      </c>
      <c r="J173" s="285">
        <v>0.17499999999999999</v>
      </c>
      <c r="K173" s="156" t="s">
        <v>30</v>
      </c>
      <c r="L173" s="157" t="s">
        <v>197</v>
      </c>
      <c r="M173" s="157" t="s">
        <v>197</v>
      </c>
      <c r="N173" s="187"/>
    </row>
    <row r="174" spans="2:14" x14ac:dyDescent="0.25">
      <c r="B174" s="279" t="s">
        <v>0</v>
      </c>
      <c r="C174" s="155" t="str">
        <f t="shared" si="28"/>
        <v>Residential without CL</v>
      </c>
      <c r="D174" s="155" t="s">
        <v>6</v>
      </c>
      <c r="E174" s="155" t="s">
        <v>146</v>
      </c>
      <c r="F174" s="155"/>
      <c r="G174" s="155" t="s">
        <v>206</v>
      </c>
      <c r="H174" s="155"/>
      <c r="I174" s="280">
        <v>8.4000000000000005E-2</v>
      </c>
      <c r="J174" s="285">
        <v>8.4000000000000005E-2</v>
      </c>
      <c r="K174" s="156" t="s">
        <v>30</v>
      </c>
      <c r="L174" s="157" t="s">
        <v>197</v>
      </c>
      <c r="M174" s="157" t="s">
        <v>197</v>
      </c>
      <c r="N174" s="187"/>
    </row>
    <row r="175" spans="2:14" x14ac:dyDescent="0.25">
      <c r="B175" s="279" t="s">
        <v>0</v>
      </c>
      <c r="C175" s="155" t="str">
        <f t="shared" si="28"/>
        <v>Residential with CL</v>
      </c>
      <c r="D175" s="155" t="s">
        <v>6</v>
      </c>
      <c r="E175" s="155" t="s">
        <v>147</v>
      </c>
      <c r="F175" s="155"/>
      <c r="G175" s="155" t="s">
        <v>206</v>
      </c>
      <c r="H175" s="155"/>
      <c r="I175" s="280">
        <v>0.1</v>
      </c>
      <c r="J175" s="285">
        <v>0.1</v>
      </c>
      <c r="K175" s="156" t="s">
        <v>30</v>
      </c>
      <c r="L175" s="157" t="s">
        <v>197</v>
      </c>
      <c r="M175" s="157" t="s">
        <v>197</v>
      </c>
      <c r="N175" s="187"/>
    </row>
    <row r="176" spans="2:14" x14ac:dyDescent="0.25">
      <c r="B176" s="279" t="s">
        <v>0</v>
      </c>
      <c r="C176" s="155" t="str">
        <f t="shared" si="28"/>
        <v>Small business without CL</v>
      </c>
      <c r="D176" s="155" t="s">
        <v>15</v>
      </c>
      <c r="E176" s="155" t="s">
        <v>146</v>
      </c>
      <c r="F176" s="155"/>
      <c r="G176" s="155" t="s">
        <v>206</v>
      </c>
      <c r="H176" s="155"/>
      <c r="I176" s="280">
        <v>0.17</v>
      </c>
      <c r="J176" s="285">
        <v>0.16</v>
      </c>
      <c r="K176" s="156" t="s">
        <v>30</v>
      </c>
      <c r="L176" s="157" t="s">
        <v>197</v>
      </c>
      <c r="M176" s="157" t="s">
        <v>197</v>
      </c>
      <c r="N176" s="187"/>
    </row>
    <row r="177" spans="2:39" x14ac:dyDescent="0.25">
      <c r="B177" s="279" t="s">
        <v>5</v>
      </c>
      <c r="C177" s="155" t="str">
        <f t="shared" si="28"/>
        <v>Residential without CL</v>
      </c>
      <c r="D177" s="155" t="s">
        <v>6</v>
      </c>
      <c r="E177" s="155" t="s">
        <v>146</v>
      </c>
      <c r="F177" s="155"/>
      <c r="G177" s="155" t="s">
        <v>206</v>
      </c>
      <c r="H177" s="155"/>
      <c r="I177" s="280">
        <v>0.06</v>
      </c>
      <c r="J177" s="285">
        <v>0.06</v>
      </c>
      <c r="K177" s="156" t="s">
        <v>30</v>
      </c>
      <c r="L177" s="157" t="s">
        <v>197</v>
      </c>
      <c r="M177" s="157" t="s">
        <v>197</v>
      </c>
      <c r="N177" s="187"/>
    </row>
    <row r="178" spans="2:39" x14ac:dyDescent="0.25">
      <c r="B178" s="279" t="s">
        <v>5</v>
      </c>
      <c r="C178" s="155" t="str">
        <f t="shared" si="28"/>
        <v>Residential with CL</v>
      </c>
      <c r="D178" s="155" t="s">
        <v>6</v>
      </c>
      <c r="E178" s="155" t="s">
        <v>147</v>
      </c>
      <c r="F178" s="155"/>
      <c r="G178" s="155" t="s">
        <v>206</v>
      </c>
      <c r="H178" s="155"/>
      <c r="I178" s="280">
        <v>0.06</v>
      </c>
      <c r="J178" s="285">
        <v>0.06</v>
      </c>
      <c r="K178" s="156" t="s">
        <v>30</v>
      </c>
      <c r="L178" s="157" t="s">
        <v>197</v>
      </c>
      <c r="M178" s="157" t="s">
        <v>197</v>
      </c>
      <c r="N178" s="187"/>
    </row>
    <row r="179" spans="2:39" x14ac:dyDescent="0.25">
      <c r="B179" s="279" t="s">
        <v>5</v>
      </c>
      <c r="C179" s="155" t="str">
        <f t="shared" si="28"/>
        <v>Small business without CL</v>
      </c>
      <c r="D179" s="155" t="s">
        <v>15</v>
      </c>
      <c r="E179" s="155" t="s">
        <v>146</v>
      </c>
      <c r="F179" s="155"/>
      <c r="G179" s="155" t="s">
        <v>206</v>
      </c>
      <c r="H179" s="155"/>
      <c r="I179" s="280">
        <v>0.15</v>
      </c>
      <c r="J179" s="285">
        <v>0.15</v>
      </c>
      <c r="K179" s="156" t="s">
        <v>30</v>
      </c>
      <c r="L179" s="157" t="s">
        <v>197</v>
      </c>
      <c r="M179" s="157" t="s">
        <v>197</v>
      </c>
      <c r="N179" s="187"/>
    </row>
    <row r="180" spans="2:39" x14ac:dyDescent="0.25">
      <c r="B180" s="279" t="s">
        <v>2</v>
      </c>
      <c r="C180" s="155" t="s">
        <v>284</v>
      </c>
      <c r="D180" s="155"/>
      <c r="E180" s="155"/>
      <c r="F180" s="155"/>
      <c r="G180" s="155" t="s">
        <v>248</v>
      </c>
      <c r="H180" s="155" t="s">
        <v>50</v>
      </c>
      <c r="I180" s="280"/>
      <c r="J180" s="176">
        <f>'NSW Roadmap costs'!D10</f>
        <v>2.508777659835062</v>
      </c>
      <c r="K180" s="156" t="s">
        <v>47</v>
      </c>
      <c r="L180" s="157"/>
      <c r="M180" s="157"/>
      <c r="N180" s="187"/>
    </row>
    <row r="181" spans="2:39" x14ac:dyDescent="0.25">
      <c r="B181" s="279" t="s">
        <v>4</v>
      </c>
      <c r="C181" s="155" t="s">
        <v>284</v>
      </c>
      <c r="D181" s="155"/>
      <c r="E181" s="155"/>
      <c r="F181" s="155"/>
      <c r="G181" s="155" t="s">
        <v>248</v>
      </c>
      <c r="H181" s="155" t="s">
        <v>50</v>
      </c>
      <c r="I181" s="280"/>
      <c r="J181" s="176">
        <f>'NSW Roadmap costs'!E10</f>
        <v>2.9237629814663486</v>
      </c>
      <c r="K181" s="156" t="s">
        <v>47</v>
      </c>
      <c r="L181" s="157"/>
      <c r="M181" s="157"/>
      <c r="N181" s="187"/>
    </row>
    <row r="182" spans="2:39" x14ac:dyDescent="0.25">
      <c r="B182" s="279" t="s">
        <v>3</v>
      </c>
      <c r="C182" s="155" t="s">
        <v>284</v>
      </c>
      <c r="D182" s="155"/>
      <c r="E182" s="155"/>
      <c r="F182" s="155"/>
      <c r="G182" s="155" t="s">
        <v>248</v>
      </c>
      <c r="H182" s="155" t="s">
        <v>50</v>
      </c>
      <c r="I182" s="280"/>
      <c r="J182" s="176">
        <f>'NSW Roadmap costs'!F10</f>
        <v>2.2351618343908117</v>
      </c>
      <c r="K182" s="156" t="s">
        <v>47</v>
      </c>
      <c r="L182" s="157"/>
      <c r="M182" s="157"/>
      <c r="N182" s="187"/>
    </row>
    <row r="183" spans="2:39" x14ac:dyDescent="0.25">
      <c r="B183"/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</row>
    <row r="184" spans="2:39" x14ac:dyDescent="0.25">
      <c r="I184" s="22"/>
      <c r="J184" s="22"/>
      <c r="K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</row>
    <row r="185" spans="2:39" x14ac:dyDescent="0.25">
      <c r="B185"/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</row>
    <row r="186" spans="2:39" x14ac:dyDescent="0.25">
      <c r="I186" s="22"/>
      <c r="J186" s="22"/>
      <c r="K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</row>
    <row r="187" spans="2:39" x14ac:dyDescent="0.25"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</row>
    <row r="188" spans="2:39" x14ac:dyDescent="0.25">
      <c r="C188" s="155"/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</row>
    <row r="189" spans="2:39" x14ac:dyDescent="0.25"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</row>
    <row r="190" spans="2:39" x14ac:dyDescent="0.25">
      <c r="I190" s="22"/>
      <c r="J190" s="22"/>
      <c r="K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</row>
    <row r="191" spans="2:39" x14ac:dyDescent="0.25">
      <c r="B191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</row>
    <row r="192" spans="2:39" x14ac:dyDescent="0.25">
      <c r="I192" s="22"/>
      <c r="J192" s="22"/>
      <c r="K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</row>
    <row r="193" spans="9:39" x14ac:dyDescent="0.25">
      <c r="I193" s="22"/>
      <c r="J193" s="22"/>
      <c r="K193" s="22"/>
      <c r="N193" s="22" t="str">
        <f>IFERROR(IF(K193="%",J193-I193,J193/I193-1),"")</f>
        <v/>
      </c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</row>
    <row r="194" spans="9:39" x14ac:dyDescent="0.25">
      <c r="I194" s="22"/>
      <c r="J194" s="22"/>
      <c r="K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</row>
    <row r="195" spans="9:39" x14ac:dyDescent="0.25">
      <c r="I195" s="22"/>
      <c r="J195" s="22"/>
      <c r="K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</row>
    <row r="196" spans="9:39" x14ac:dyDescent="0.25">
      <c r="I196" s="22"/>
      <c r="J196" s="22"/>
      <c r="K196" s="22"/>
      <c r="M196" s="27"/>
      <c r="N196" s="111"/>
    </row>
    <row r="197" spans="9:39" x14ac:dyDescent="0.25">
      <c r="I197" s="22"/>
      <c r="J197" s="22"/>
      <c r="K197" s="22"/>
      <c r="M197" s="27"/>
      <c r="N197" s="19"/>
    </row>
    <row r="198" spans="9:39" x14ac:dyDescent="0.25">
      <c r="I198" s="22"/>
      <c r="J198" s="22"/>
      <c r="K198" s="22"/>
      <c r="M198" s="27"/>
      <c r="N198" s="19"/>
    </row>
    <row r="199" spans="9:39" x14ac:dyDescent="0.25">
      <c r="I199" s="22"/>
      <c r="J199" s="22"/>
      <c r="K199" s="22"/>
      <c r="M199" s="27"/>
      <c r="N199" s="19"/>
    </row>
    <row r="200" spans="9:39" x14ac:dyDescent="0.25">
      <c r="I200" s="22"/>
      <c r="J200" s="22"/>
      <c r="K200" s="22"/>
      <c r="M200" s="27"/>
      <c r="N200" s="19"/>
    </row>
    <row r="201" spans="9:39" x14ac:dyDescent="0.25">
      <c r="I201" s="22"/>
      <c r="J201" s="22"/>
      <c r="K201" s="22"/>
      <c r="M201" s="27"/>
      <c r="N201" s="19"/>
    </row>
    <row r="202" spans="9:39" x14ac:dyDescent="0.25">
      <c r="I202" s="22"/>
      <c r="J202" s="22"/>
      <c r="K202" s="22"/>
      <c r="M202" s="27"/>
      <c r="N202" s="19"/>
    </row>
    <row r="203" spans="9:39" x14ac:dyDescent="0.25">
      <c r="I203" s="20"/>
      <c r="J203" s="236"/>
      <c r="K203" s="27"/>
      <c r="L203" s="27"/>
      <c r="M203" s="27"/>
      <c r="N203" s="19"/>
    </row>
    <row r="204" spans="9:39" x14ac:dyDescent="0.25">
      <c r="I204" s="20"/>
      <c r="J204" s="20"/>
      <c r="K204" s="13"/>
      <c r="L204" s="27"/>
      <c r="M204" s="27"/>
      <c r="N204" s="19"/>
    </row>
    <row r="205" spans="9:39" x14ac:dyDescent="0.25">
      <c r="I205" s="20"/>
      <c r="J205" s="20"/>
      <c r="K205" s="13"/>
      <c r="L205" s="27"/>
      <c r="M205" s="27"/>
      <c r="N205" s="19"/>
    </row>
    <row r="206" spans="9:39" x14ac:dyDescent="0.25">
      <c r="I206" s="20"/>
      <c r="J206" s="20"/>
      <c r="K206" s="13"/>
      <c r="L206" s="27"/>
      <c r="M206" s="27"/>
      <c r="N206" s="19" t="str">
        <f t="shared" ref="N206:N214" si="29">IF(OR(I206="",J206="",I206=0),"",J206/I206-1)</f>
        <v/>
      </c>
    </row>
    <row r="207" spans="9:39" x14ac:dyDescent="0.25">
      <c r="I207" s="20"/>
      <c r="J207" s="20"/>
      <c r="K207" s="13"/>
      <c r="L207" s="27"/>
      <c r="M207" s="27"/>
      <c r="N207" s="19" t="str">
        <f t="shared" si="29"/>
        <v/>
      </c>
    </row>
    <row r="208" spans="9:39" x14ac:dyDescent="0.25">
      <c r="I208" s="20"/>
      <c r="J208" s="20"/>
      <c r="K208" s="13"/>
      <c r="L208" s="27"/>
      <c r="M208" s="27"/>
      <c r="N208" s="19" t="str">
        <f t="shared" si="29"/>
        <v/>
      </c>
    </row>
    <row r="209" spans="9:14" x14ac:dyDescent="0.25">
      <c r="I209" s="20"/>
      <c r="J209" s="20"/>
      <c r="K209" s="13"/>
      <c r="L209" s="27"/>
      <c r="M209" s="27"/>
      <c r="N209" s="19" t="str">
        <f t="shared" si="29"/>
        <v/>
      </c>
    </row>
    <row r="210" spans="9:14" x14ac:dyDescent="0.25">
      <c r="I210" s="20"/>
      <c r="J210" s="20"/>
      <c r="K210" s="13"/>
      <c r="L210" s="27"/>
      <c r="M210" s="27"/>
      <c r="N210" s="19" t="str">
        <f t="shared" si="29"/>
        <v/>
      </c>
    </row>
    <row r="211" spans="9:14" x14ac:dyDescent="0.25">
      <c r="I211" s="20"/>
      <c r="J211" s="20"/>
      <c r="K211" s="13"/>
      <c r="L211" s="27"/>
      <c r="M211" s="27"/>
      <c r="N211" s="19" t="str">
        <f t="shared" si="29"/>
        <v/>
      </c>
    </row>
    <row r="212" spans="9:14" x14ac:dyDescent="0.25">
      <c r="I212" s="20"/>
      <c r="J212" s="20"/>
      <c r="K212" s="13"/>
      <c r="L212" s="27"/>
      <c r="M212" s="27"/>
      <c r="N212" s="19" t="str">
        <f t="shared" si="29"/>
        <v/>
      </c>
    </row>
    <row r="213" spans="9:14" x14ac:dyDescent="0.25">
      <c r="I213" s="20"/>
      <c r="J213" s="20"/>
      <c r="K213" s="13"/>
      <c r="L213" s="27"/>
      <c r="M213" s="27"/>
      <c r="N213" s="19" t="str">
        <f t="shared" si="29"/>
        <v/>
      </c>
    </row>
    <row r="214" spans="9:14" x14ac:dyDescent="0.25">
      <c r="I214" s="20"/>
      <c r="J214" s="20"/>
      <c r="K214" s="13"/>
      <c r="L214" s="27"/>
      <c r="M214" s="27"/>
      <c r="N214" s="19" t="str">
        <f t="shared" si="29"/>
        <v/>
      </c>
    </row>
    <row r="215" spans="9:14" x14ac:dyDescent="0.25">
      <c r="I215" s="20"/>
      <c r="J215" s="20"/>
      <c r="K215" s="13"/>
      <c r="L215" s="27"/>
      <c r="M215" s="27"/>
      <c r="N215" s="19" t="str">
        <f t="shared" ref="N215:N246" si="30">IF(OR(I215="",J215="",I215=0),"",J215/I215-1)</f>
        <v/>
      </c>
    </row>
    <row r="216" spans="9:14" x14ac:dyDescent="0.25">
      <c r="I216" s="20"/>
      <c r="J216" s="20"/>
      <c r="K216" s="13"/>
      <c r="L216" s="27"/>
      <c r="M216" s="27"/>
      <c r="N216" s="19" t="str">
        <f t="shared" si="30"/>
        <v/>
      </c>
    </row>
    <row r="217" spans="9:14" x14ac:dyDescent="0.25">
      <c r="I217" s="20"/>
      <c r="J217" s="20"/>
      <c r="K217" s="13"/>
      <c r="L217" s="27"/>
      <c r="M217" s="27"/>
      <c r="N217" s="19" t="str">
        <f t="shared" si="30"/>
        <v/>
      </c>
    </row>
    <row r="218" spans="9:14" x14ac:dyDescent="0.25">
      <c r="I218" s="20"/>
      <c r="J218" s="20"/>
      <c r="K218" s="13"/>
      <c r="L218" s="27"/>
      <c r="M218" s="27"/>
      <c r="N218" s="19" t="str">
        <f t="shared" si="30"/>
        <v/>
      </c>
    </row>
    <row r="219" spans="9:14" x14ac:dyDescent="0.25">
      <c r="I219" s="20"/>
      <c r="J219" s="20"/>
      <c r="K219" s="13"/>
      <c r="L219" s="27"/>
      <c r="M219" s="27"/>
      <c r="N219" s="19" t="str">
        <f t="shared" si="30"/>
        <v/>
      </c>
    </row>
    <row r="220" spans="9:14" x14ac:dyDescent="0.25">
      <c r="I220" s="20"/>
      <c r="J220" s="20"/>
      <c r="K220" s="13"/>
      <c r="L220" s="27"/>
      <c r="M220" s="27"/>
      <c r="N220" s="19" t="str">
        <f t="shared" si="30"/>
        <v/>
      </c>
    </row>
    <row r="221" spans="9:14" x14ac:dyDescent="0.25">
      <c r="I221" s="20"/>
      <c r="J221" s="20"/>
      <c r="K221" s="13"/>
      <c r="L221" s="27"/>
      <c r="M221" s="27"/>
      <c r="N221" s="19" t="str">
        <f t="shared" si="30"/>
        <v/>
      </c>
    </row>
    <row r="222" spans="9:14" x14ac:dyDescent="0.25">
      <c r="I222" s="20"/>
      <c r="J222" s="20"/>
      <c r="K222" s="13"/>
      <c r="L222" s="27"/>
      <c r="M222" s="27"/>
      <c r="N222" s="19" t="str">
        <f t="shared" si="30"/>
        <v/>
      </c>
    </row>
    <row r="223" spans="9:14" x14ac:dyDescent="0.25">
      <c r="I223" s="20"/>
      <c r="J223" s="20"/>
      <c r="K223" s="13"/>
      <c r="L223" s="27"/>
      <c r="M223" s="27"/>
      <c r="N223" s="19" t="str">
        <f t="shared" si="30"/>
        <v/>
      </c>
    </row>
    <row r="224" spans="9:14" x14ac:dyDescent="0.25">
      <c r="I224" s="20"/>
      <c r="J224" s="20"/>
      <c r="K224" s="13"/>
      <c r="L224" s="27"/>
      <c r="M224" s="27"/>
      <c r="N224" s="19" t="str">
        <f t="shared" si="30"/>
        <v/>
      </c>
    </row>
    <row r="225" spans="9:14" x14ac:dyDescent="0.25">
      <c r="I225" s="20"/>
      <c r="J225" s="20"/>
      <c r="K225" s="13"/>
      <c r="L225" s="27"/>
      <c r="M225" s="27"/>
      <c r="N225" s="19" t="str">
        <f t="shared" si="30"/>
        <v/>
      </c>
    </row>
    <row r="226" spans="9:14" x14ac:dyDescent="0.25">
      <c r="I226" s="20"/>
      <c r="J226" s="20"/>
      <c r="K226" s="13"/>
      <c r="L226" s="27"/>
      <c r="M226" s="27"/>
      <c r="N226" s="19" t="str">
        <f t="shared" si="30"/>
        <v/>
      </c>
    </row>
    <row r="227" spans="9:14" x14ac:dyDescent="0.25">
      <c r="I227" s="20"/>
      <c r="J227" s="20"/>
      <c r="K227" s="13"/>
      <c r="L227" s="27"/>
      <c r="M227" s="27"/>
      <c r="N227" s="19" t="str">
        <f t="shared" si="30"/>
        <v/>
      </c>
    </row>
    <row r="228" spans="9:14" x14ac:dyDescent="0.25">
      <c r="I228" s="20"/>
      <c r="J228" s="20"/>
      <c r="K228" s="13"/>
      <c r="L228" s="27"/>
      <c r="M228" s="27"/>
      <c r="N228" s="19" t="str">
        <f t="shared" si="30"/>
        <v/>
      </c>
    </row>
    <row r="229" spans="9:14" x14ac:dyDescent="0.25">
      <c r="I229" s="20"/>
      <c r="J229" s="20"/>
      <c r="K229" s="13"/>
      <c r="L229" s="27"/>
      <c r="M229" s="27"/>
      <c r="N229" s="19" t="str">
        <f t="shared" si="30"/>
        <v/>
      </c>
    </row>
    <row r="230" spans="9:14" x14ac:dyDescent="0.25">
      <c r="I230" s="20"/>
      <c r="J230" s="20"/>
      <c r="K230" s="13"/>
      <c r="L230" s="27"/>
      <c r="M230" s="27"/>
      <c r="N230" s="19" t="str">
        <f t="shared" si="30"/>
        <v/>
      </c>
    </row>
    <row r="231" spans="9:14" x14ac:dyDescent="0.25">
      <c r="I231" s="20"/>
      <c r="J231" s="20"/>
      <c r="K231" s="13"/>
      <c r="L231" s="27"/>
      <c r="M231" s="27"/>
      <c r="N231" s="19" t="str">
        <f t="shared" si="30"/>
        <v/>
      </c>
    </row>
    <row r="232" spans="9:14" x14ac:dyDescent="0.25">
      <c r="I232" s="20"/>
      <c r="J232" s="20"/>
      <c r="K232" s="13"/>
      <c r="L232" s="27"/>
      <c r="M232" s="27"/>
      <c r="N232" s="19" t="str">
        <f t="shared" si="30"/>
        <v/>
      </c>
    </row>
    <row r="233" spans="9:14" x14ac:dyDescent="0.25">
      <c r="I233" s="20"/>
      <c r="J233" s="20"/>
      <c r="K233" s="13"/>
      <c r="L233" s="27"/>
      <c r="M233" s="27"/>
      <c r="N233" s="19" t="str">
        <f t="shared" si="30"/>
        <v/>
      </c>
    </row>
    <row r="234" spans="9:14" x14ac:dyDescent="0.25">
      <c r="I234" s="20"/>
      <c r="J234" s="20"/>
      <c r="K234" s="13"/>
      <c r="L234" s="27"/>
      <c r="M234" s="27"/>
      <c r="N234" s="19" t="str">
        <f t="shared" si="30"/>
        <v/>
      </c>
    </row>
    <row r="235" spans="9:14" x14ac:dyDescent="0.25">
      <c r="I235" s="20"/>
      <c r="J235" s="20"/>
      <c r="K235" s="13"/>
      <c r="L235" s="27"/>
      <c r="M235" s="27"/>
      <c r="N235" s="19" t="str">
        <f t="shared" si="30"/>
        <v/>
      </c>
    </row>
    <row r="236" spans="9:14" x14ac:dyDescent="0.25">
      <c r="I236" s="20"/>
      <c r="J236" s="20"/>
      <c r="K236" s="13"/>
      <c r="L236" s="27"/>
      <c r="M236" s="27"/>
      <c r="N236" s="19" t="str">
        <f t="shared" si="30"/>
        <v/>
      </c>
    </row>
    <row r="237" spans="9:14" x14ac:dyDescent="0.25">
      <c r="I237" s="20"/>
      <c r="J237" s="20"/>
      <c r="K237" s="13"/>
      <c r="L237" s="27"/>
      <c r="M237" s="27"/>
      <c r="N237" s="19" t="str">
        <f t="shared" si="30"/>
        <v/>
      </c>
    </row>
    <row r="238" spans="9:14" x14ac:dyDescent="0.25">
      <c r="I238" s="20"/>
      <c r="J238" s="20"/>
      <c r="K238" s="13"/>
      <c r="L238" s="27"/>
      <c r="M238" s="27"/>
      <c r="N238" s="19" t="str">
        <f t="shared" si="30"/>
        <v/>
      </c>
    </row>
    <row r="239" spans="9:14" x14ac:dyDescent="0.25">
      <c r="I239" s="20"/>
      <c r="J239" s="20"/>
      <c r="K239" s="13"/>
      <c r="L239" s="27"/>
      <c r="M239" s="27"/>
      <c r="N239" s="19" t="str">
        <f t="shared" si="30"/>
        <v/>
      </c>
    </row>
    <row r="240" spans="9:14" x14ac:dyDescent="0.25">
      <c r="I240" s="20"/>
      <c r="J240" s="20"/>
      <c r="K240" s="13"/>
      <c r="L240" s="27"/>
      <c r="M240" s="27"/>
      <c r="N240" s="19" t="str">
        <f t="shared" si="30"/>
        <v/>
      </c>
    </row>
    <row r="241" spans="9:14" x14ac:dyDescent="0.25">
      <c r="I241" s="20"/>
      <c r="J241" s="20"/>
      <c r="K241" s="13"/>
      <c r="L241" s="27"/>
      <c r="M241" s="27"/>
      <c r="N241" s="19" t="str">
        <f t="shared" si="30"/>
        <v/>
      </c>
    </row>
    <row r="242" spans="9:14" x14ac:dyDescent="0.25">
      <c r="I242" s="20"/>
      <c r="J242" s="20"/>
      <c r="K242" s="13"/>
      <c r="L242" s="27"/>
      <c r="M242" s="27"/>
      <c r="N242" s="19" t="str">
        <f t="shared" si="30"/>
        <v/>
      </c>
    </row>
    <row r="243" spans="9:14" x14ac:dyDescent="0.25">
      <c r="I243" s="20"/>
      <c r="J243" s="20"/>
      <c r="K243" s="13"/>
      <c r="L243" s="27"/>
      <c r="M243" s="27"/>
      <c r="N243" s="19" t="str">
        <f t="shared" si="30"/>
        <v/>
      </c>
    </row>
    <row r="244" spans="9:14" x14ac:dyDescent="0.25">
      <c r="I244" s="20"/>
      <c r="J244" s="20"/>
      <c r="K244" s="13"/>
      <c r="L244" s="27"/>
      <c r="M244" s="27"/>
      <c r="N244" s="19" t="str">
        <f t="shared" si="30"/>
        <v/>
      </c>
    </row>
    <row r="245" spans="9:14" x14ac:dyDescent="0.25">
      <c r="I245" s="20"/>
      <c r="J245" s="20"/>
      <c r="K245" s="13"/>
      <c r="L245" s="27"/>
      <c r="M245" s="27"/>
      <c r="N245" s="19" t="str">
        <f t="shared" si="30"/>
        <v/>
      </c>
    </row>
    <row r="246" spans="9:14" x14ac:dyDescent="0.25">
      <c r="I246" s="20"/>
      <c r="J246" s="20"/>
      <c r="K246" s="13"/>
      <c r="L246" s="27"/>
      <c r="M246" s="27"/>
      <c r="N246" s="19" t="str">
        <f t="shared" si="30"/>
        <v/>
      </c>
    </row>
    <row r="247" spans="9:14" x14ac:dyDescent="0.25">
      <c r="I247" s="20"/>
      <c r="J247" s="20"/>
      <c r="K247" s="13"/>
      <c r="L247" s="27"/>
      <c r="M247" s="27"/>
      <c r="N247" s="19" t="str">
        <f t="shared" ref="N247:N257" si="31">IF(OR(I247="",J247=""),"",J247/I247-1)</f>
        <v/>
      </c>
    </row>
    <row r="248" spans="9:14" x14ac:dyDescent="0.25">
      <c r="I248" s="20"/>
      <c r="J248" s="20"/>
      <c r="K248" s="13"/>
      <c r="L248" s="27"/>
      <c r="M248" s="27"/>
      <c r="N248" s="19" t="str">
        <f t="shared" si="31"/>
        <v/>
      </c>
    </row>
    <row r="249" spans="9:14" x14ac:dyDescent="0.25">
      <c r="I249" s="20"/>
      <c r="J249" s="20"/>
      <c r="K249" s="13"/>
      <c r="L249" s="27"/>
      <c r="M249" s="27"/>
      <c r="N249" s="19" t="str">
        <f t="shared" si="31"/>
        <v/>
      </c>
    </row>
    <row r="250" spans="9:14" x14ac:dyDescent="0.25">
      <c r="I250" s="20"/>
      <c r="J250" s="20"/>
      <c r="K250" s="13"/>
      <c r="L250" s="27"/>
      <c r="M250" s="27"/>
      <c r="N250" s="19" t="str">
        <f t="shared" si="31"/>
        <v/>
      </c>
    </row>
    <row r="251" spans="9:14" x14ac:dyDescent="0.25">
      <c r="I251" s="20"/>
      <c r="J251" s="20"/>
      <c r="K251" s="13"/>
      <c r="L251" s="27"/>
      <c r="M251" s="27"/>
      <c r="N251" s="19" t="str">
        <f t="shared" si="31"/>
        <v/>
      </c>
    </row>
    <row r="252" spans="9:14" x14ac:dyDescent="0.25">
      <c r="I252" s="20"/>
      <c r="J252" s="20"/>
      <c r="K252" s="13"/>
      <c r="L252" s="27"/>
      <c r="M252" s="27"/>
      <c r="N252" s="19" t="str">
        <f t="shared" si="31"/>
        <v/>
      </c>
    </row>
    <row r="253" spans="9:14" x14ac:dyDescent="0.25">
      <c r="I253" s="20"/>
      <c r="J253" s="20"/>
      <c r="K253" s="13"/>
      <c r="L253" s="27"/>
      <c r="M253" s="27"/>
      <c r="N253" s="19" t="str">
        <f t="shared" si="31"/>
        <v/>
      </c>
    </row>
    <row r="254" spans="9:14" x14ac:dyDescent="0.25">
      <c r="I254" s="20"/>
      <c r="J254" s="20"/>
      <c r="K254" s="13"/>
      <c r="L254" s="27"/>
      <c r="M254" s="27"/>
      <c r="N254" s="19" t="str">
        <f t="shared" si="31"/>
        <v/>
      </c>
    </row>
    <row r="255" spans="9:14" x14ac:dyDescent="0.25">
      <c r="I255" s="20"/>
      <c r="J255" s="20"/>
      <c r="K255" s="13"/>
      <c r="L255" s="27"/>
      <c r="M255" s="27"/>
      <c r="N255" s="19" t="str">
        <f t="shared" si="31"/>
        <v/>
      </c>
    </row>
    <row r="256" spans="9:14" x14ac:dyDescent="0.25">
      <c r="I256" s="20"/>
      <c r="J256" s="20"/>
      <c r="K256" s="13"/>
      <c r="L256" s="27"/>
      <c r="M256" s="27"/>
      <c r="N256" s="19" t="str">
        <f t="shared" si="31"/>
        <v/>
      </c>
    </row>
    <row r="257" spans="9:14" x14ac:dyDescent="0.25">
      <c r="I257" s="20"/>
      <c r="J257" s="20"/>
      <c r="K257" s="13"/>
      <c r="L257" s="27"/>
      <c r="M257" s="27"/>
      <c r="N257" s="19" t="str">
        <f t="shared" si="31"/>
        <v/>
      </c>
    </row>
    <row r="258" spans="9:14" x14ac:dyDescent="0.25">
      <c r="I258" s="20"/>
      <c r="J258" s="20"/>
      <c r="K258" s="13"/>
      <c r="L258" s="27"/>
      <c r="M258" s="27"/>
      <c r="N258" s="19" t="str">
        <f t="shared" ref="N258:N273" si="32">IF(OR(I258="",J258=""),"",J258/I258-1)</f>
        <v/>
      </c>
    </row>
    <row r="259" spans="9:14" x14ac:dyDescent="0.25">
      <c r="I259" s="20"/>
      <c r="J259" s="20"/>
      <c r="K259" s="13"/>
      <c r="L259" s="27"/>
      <c r="M259" s="27"/>
      <c r="N259" s="19" t="str">
        <f t="shared" si="32"/>
        <v/>
      </c>
    </row>
    <row r="260" spans="9:14" x14ac:dyDescent="0.25">
      <c r="I260" s="20"/>
      <c r="J260" s="20"/>
      <c r="K260" s="13"/>
      <c r="L260" s="27"/>
      <c r="M260" s="27"/>
      <c r="N260" s="19" t="str">
        <f t="shared" si="32"/>
        <v/>
      </c>
    </row>
    <row r="261" spans="9:14" x14ac:dyDescent="0.25">
      <c r="I261" s="20"/>
      <c r="J261" s="20"/>
      <c r="K261" s="13"/>
      <c r="L261" s="27"/>
      <c r="M261" s="27"/>
      <c r="N261" s="19" t="str">
        <f t="shared" si="32"/>
        <v/>
      </c>
    </row>
    <row r="262" spans="9:14" x14ac:dyDescent="0.25">
      <c r="I262" s="20"/>
      <c r="J262" s="20"/>
      <c r="K262" s="13"/>
      <c r="L262" s="27"/>
      <c r="M262" s="27"/>
      <c r="N262" s="19" t="str">
        <f t="shared" si="32"/>
        <v/>
      </c>
    </row>
    <row r="263" spans="9:14" x14ac:dyDescent="0.25">
      <c r="I263" s="20"/>
      <c r="J263" s="20"/>
      <c r="K263" s="13"/>
      <c r="L263" s="27"/>
      <c r="M263" s="27"/>
      <c r="N263" s="19" t="str">
        <f t="shared" si="32"/>
        <v/>
      </c>
    </row>
    <row r="264" spans="9:14" x14ac:dyDescent="0.25">
      <c r="I264" s="20"/>
      <c r="J264" s="20"/>
      <c r="K264" s="13"/>
      <c r="L264" s="27"/>
      <c r="M264" s="27"/>
      <c r="N264" s="19" t="str">
        <f t="shared" si="32"/>
        <v/>
      </c>
    </row>
    <row r="265" spans="9:14" x14ac:dyDescent="0.25">
      <c r="I265" s="20"/>
      <c r="J265" s="20"/>
      <c r="K265" s="13"/>
      <c r="L265" s="27"/>
      <c r="M265" s="27"/>
      <c r="N265" s="19" t="str">
        <f t="shared" si="32"/>
        <v/>
      </c>
    </row>
    <row r="266" spans="9:14" x14ac:dyDescent="0.25">
      <c r="I266" s="20"/>
      <c r="J266" s="20"/>
      <c r="K266" s="13"/>
      <c r="L266" s="27"/>
      <c r="M266" s="27"/>
      <c r="N266" s="19" t="str">
        <f t="shared" si="32"/>
        <v/>
      </c>
    </row>
    <row r="267" spans="9:14" x14ac:dyDescent="0.25">
      <c r="I267" s="20"/>
      <c r="J267" s="20"/>
      <c r="K267" s="13"/>
      <c r="L267" s="27"/>
      <c r="M267" s="27"/>
      <c r="N267" s="19" t="str">
        <f t="shared" si="32"/>
        <v/>
      </c>
    </row>
    <row r="268" spans="9:14" x14ac:dyDescent="0.25">
      <c r="I268" s="20"/>
      <c r="J268" s="20"/>
      <c r="K268" s="13"/>
      <c r="L268" s="27"/>
      <c r="M268" s="27"/>
      <c r="N268" s="19" t="str">
        <f t="shared" si="32"/>
        <v/>
      </c>
    </row>
    <row r="269" spans="9:14" x14ac:dyDescent="0.25">
      <c r="I269" s="20"/>
      <c r="J269" s="20"/>
      <c r="K269" s="13"/>
      <c r="L269" s="27"/>
      <c r="M269" s="27"/>
      <c r="N269" s="19" t="str">
        <f t="shared" si="32"/>
        <v/>
      </c>
    </row>
    <row r="270" spans="9:14" x14ac:dyDescent="0.25">
      <c r="I270" s="20"/>
      <c r="J270" s="20"/>
      <c r="K270" s="13"/>
      <c r="L270" s="27"/>
      <c r="M270" s="27"/>
      <c r="N270" s="19" t="str">
        <f t="shared" si="32"/>
        <v/>
      </c>
    </row>
    <row r="271" spans="9:14" x14ac:dyDescent="0.25">
      <c r="I271" s="20"/>
      <c r="J271" s="20"/>
      <c r="K271" s="13"/>
      <c r="L271" s="27"/>
      <c r="M271" s="27"/>
      <c r="N271" s="19" t="str">
        <f t="shared" si="32"/>
        <v/>
      </c>
    </row>
    <row r="272" spans="9:14" x14ac:dyDescent="0.25">
      <c r="I272" s="20"/>
      <c r="J272" s="20"/>
      <c r="K272" s="13"/>
      <c r="L272" s="27"/>
      <c r="M272" s="27"/>
      <c r="N272" s="19" t="str">
        <f t="shared" si="32"/>
        <v/>
      </c>
    </row>
    <row r="273" spans="9:14" x14ac:dyDescent="0.25">
      <c r="I273" s="20"/>
      <c r="J273" s="20"/>
      <c r="K273" s="13"/>
      <c r="L273" s="27"/>
      <c r="M273" s="27"/>
      <c r="N273" s="19" t="str">
        <f t="shared" si="32"/>
        <v/>
      </c>
    </row>
    <row r="307" spans="7:10" x14ac:dyDescent="0.25">
      <c r="G307" s="155"/>
      <c r="I307" s="278"/>
      <c r="J307" s="278"/>
    </row>
    <row r="308" spans="7:10" x14ac:dyDescent="0.25">
      <c r="G308" s="155"/>
      <c r="I308" s="278"/>
      <c r="J308" s="278"/>
    </row>
    <row r="309" spans="7:10" x14ac:dyDescent="0.25">
      <c r="G309" s="155"/>
      <c r="I309" s="278"/>
      <c r="J309" s="278"/>
    </row>
    <row r="310" spans="7:10" x14ac:dyDescent="0.25">
      <c r="G310" s="155"/>
      <c r="I310" s="278"/>
      <c r="J310" s="278"/>
    </row>
    <row r="311" spans="7:10" x14ac:dyDescent="0.25">
      <c r="G311" s="155"/>
      <c r="I311" s="278"/>
      <c r="J311" s="278"/>
    </row>
    <row r="312" spans="7:10" x14ac:dyDescent="0.25">
      <c r="G312" s="155"/>
      <c r="I312" s="278"/>
      <c r="J312" s="278"/>
    </row>
    <row r="313" spans="7:10" x14ac:dyDescent="0.25">
      <c r="G313" s="155"/>
      <c r="I313" s="278"/>
      <c r="J313" s="278"/>
    </row>
    <row r="314" spans="7:10" x14ac:dyDescent="0.25">
      <c r="G314" s="155"/>
      <c r="I314" s="278"/>
      <c r="J314" s="278"/>
    </row>
    <row r="315" spans="7:10" x14ac:dyDescent="0.25">
      <c r="G315" s="155"/>
      <c r="I315" s="278"/>
      <c r="J315" s="278"/>
    </row>
    <row r="316" spans="7:10" x14ac:dyDescent="0.25">
      <c r="G316" s="155"/>
      <c r="I316" s="278"/>
      <c r="J316" s="278"/>
    </row>
    <row r="317" spans="7:10" x14ac:dyDescent="0.25">
      <c r="G317" s="155"/>
      <c r="I317" s="278"/>
      <c r="J317" s="278"/>
    </row>
    <row r="318" spans="7:10" x14ac:dyDescent="0.25">
      <c r="G318" s="155"/>
      <c r="I318" s="278"/>
      <c r="J318" s="278"/>
    </row>
    <row r="319" spans="7:10" x14ac:dyDescent="0.25">
      <c r="G319" s="155"/>
      <c r="I319" s="278"/>
      <c r="J319" s="278"/>
    </row>
    <row r="320" spans="7:10" x14ac:dyDescent="0.25">
      <c r="G320" s="155"/>
      <c r="I320" s="278"/>
      <c r="J320" s="278"/>
    </row>
    <row r="321" spans="7:10" x14ac:dyDescent="0.25">
      <c r="G321" s="155"/>
      <c r="I321" s="278"/>
      <c r="J321" s="278"/>
    </row>
  </sheetData>
  <autoFilter ref="B3:N273" xr:uid="{00000000-0009-0000-0000-000017000000}"/>
  <mergeCells count="1">
    <mergeCell ref="A1:B1"/>
  </mergeCells>
  <phoneticPr fontId="60" type="noConversion"/>
  <conditionalFormatting sqref="K17:K20 K111:K113 B111:H113 B121:H164 B114:B120 B91:B97 B69:B75 B45:B51 C165:C179 B4:H7 N45:N58 J121:K164 B52:H55 B39:H44 B37:G38 B65:H68 B87:H90 B85:G86 K85:K90 B108:H109 B106:G107 J108:K109 K106:K107 B17:H20 M98:M103 M76:M82 M111:M113 M52:M58 M28:N33 B180:E180 K4:K7 K28:K34 K76:K79 K98:K100 H182 B182 H180 B8:G16 B28:H34 B56:G64 M4:N20 J8:K16 B36:H36 K36:K44 M36:N44 M34 N34:N35 M60:M68 N60:N82 M59:N59 K52:K68 B76:H84 N84:N103 M84:M90 J80:K84 M83:N83 B98:H105 M105:M109 J101:K105 M104:N104 M121:M182 N105:N182 D182:E182 C181:C182 J165:J182">
    <cfRule type="expression" dxfId="260" priority="473">
      <formula>MOD(ROW(),2)=0</formula>
    </cfRule>
  </conditionalFormatting>
  <conditionalFormatting sqref="J17:J20 J41:J44">
    <cfRule type="expression" dxfId="259" priority="436">
      <formula>MOD(ROW(),2)=0</formula>
    </cfRule>
  </conditionalFormatting>
  <conditionalFormatting sqref="B110:H110 J110:K110 M110">
    <cfRule type="expression" dxfId="258" priority="430">
      <formula>MOD(ROW(),2)=0</formula>
    </cfRule>
  </conditionalFormatting>
  <conditionalFormatting sqref="B21:H21 J21 M21:N21 M22">
    <cfRule type="expression" dxfId="257" priority="428">
      <formula>MOD(ROW(),2)=0</formula>
    </cfRule>
  </conditionalFormatting>
  <conditionalFormatting sqref="J71">
    <cfRule type="expression" dxfId="256" priority="359">
      <formula>MOD(ROW(),2)=0</formula>
    </cfRule>
  </conditionalFormatting>
  <conditionalFormatting sqref="B26 E26:H26 N26">
    <cfRule type="expression" dxfId="255" priority="426">
      <formula>MOD(ROW(),2)=0</formula>
    </cfRule>
  </conditionalFormatting>
  <conditionalFormatting sqref="B27:H27 J27 M27:N27">
    <cfRule type="expression" dxfId="254" priority="424">
      <formula>MOD(ROW(),2)=0</formula>
    </cfRule>
  </conditionalFormatting>
  <conditionalFormatting sqref="J92">
    <cfRule type="expression" dxfId="253" priority="355">
      <formula>MOD(ROW(),2)=0</formula>
    </cfRule>
  </conditionalFormatting>
  <conditionalFormatting sqref="K21 K26:K27">
    <cfRule type="expression" dxfId="252" priority="422">
      <formula>MOD(ROW(),2)=0</formula>
    </cfRule>
  </conditionalFormatting>
  <conditionalFormatting sqref="B22:H22 J22 N22">
    <cfRule type="expression" dxfId="251" priority="421">
      <formula>MOD(ROW(),2)=0</formula>
    </cfRule>
  </conditionalFormatting>
  <conditionalFormatting sqref="K22">
    <cfRule type="expression" dxfId="250" priority="419">
      <formula>MOD(ROW(),2)=0</formula>
    </cfRule>
  </conditionalFormatting>
  <conditionalFormatting sqref="B23:H23 J23 N23">
    <cfRule type="expression" dxfId="249" priority="418">
      <formula>MOD(ROW(),2)=0</formula>
    </cfRule>
  </conditionalFormatting>
  <conditionalFormatting sqref="J116">
    <cfRule type="expression" dxfId="248" priority="349">
      <formula>MOD(ROW(),2)=0</formula>
    </cfRule>
  </conditionalFormatting>
  <conditionalFormatting sqref="K23">
    <cfRule type="expression" dxfId="247" priority="416">
      <formula>MOD(ROW(),2)=0</formula>
    </cfRule>
  </conditionalFormatting>
  <conditionalFormatting sqref="C45 J45 E45:H45">
    <cfRule type="expression" dxfId="246" priority="415">
      <formula>MOD(ROW(),2)=0</formula>
    </cfRule>
  </conditionalFormatting>
  <conditionalFormatting sqref="D47">
    <cfRule type="expression" dxfId="245" priority="346">
      <formula>MOD(ROW(),2)=0</formula>
    </cfRule>
  </conditionalFormatting>
  <conditionalFormatting sqref="C51:H51">
    <cfRule type="expression" dxfId="244" priority="411">
      <formula>MOD(ROW(),2)=0</formula>
    </cfRule>
  </conditionalFormatting>
  <conditionalFormatting sqref="D91">
    <cfRule type="expression" dxfId="243" priority="342">
      <formula>MOD(ROW(),2)=0</formula>
    </cfRule>
  </conditionalFormatting>
  <conditionalFormatting sqref="K45 K51">
    <cfRule type="expression" dxfId="242" priority="409">
      <formula>MOD(ROW(),2)=0</formula>
    </cfRule>
  </conditionalFormatting>
  <conditionalFormatting sqref="C46 J46 E46:H46">
    <cfRule type="expression" dxfId="241" priority="408">
      <formula>MOD(ROW(),2)=0</formula>
    </cfRule>
  </conditionalFormatting>
  <conditionalFormatting sqref="D114">
    <cfRule type="expression" dxfId="240" priority="339">
      <formula>MOD(ROW(),2)=0</formula>
    </cfRule>
  </conditionalFormatting>
  <conditionalFormatting sqref="K46">
    <cfRule type="expression" dxfId="239" priority="406">
      <formula>MOD(ROW(),2)=0</formula>
    </cfRule>
  </conditionalFormatting>
  <conditionalFormatting sqref="C47 J47 E47:H47">
    <cfRule type="expression" dxfId="238" priority="405">
      <formula>MOD(ROW(),2)=0</formula>
    </cfRule>
  </conditionalFormatting>
  <conditionalFormatting sqref="B25 E25:H25 N25">
    <cfRule type="expression" dxfId="237" priority="336">
      <formula>MOD(ROW(),2)=0</formula>
    </cfRule>
  </conditionalFormatting>
  <conditionalFormatting sqref="K47">
    <cfRule type="expression" dxfId="236" priority="403">
      <formula>MOD(ROW(),2)=0</formula>
    </cfRule>
  </conditionalFormatting>
  <conditionalFormatting sqref="C69 E69:H69">
    <cfRule type="expression" dxfId="235" priority="402">
      <formula>MOD(ROW(),2)=0</formula>
    </cfRule>
  </conditionalFormatting>
  <conditionalFormatting sqref="B24 N24 E24:H24 J24:J25">
    <cfRule type="expression" dxfId="234" priority="333">
      <formula>MOD(ROW(),2)=0</formula>
    </cfRule>
  </conditionalFormatting>
  <conditionalFormatting sqref="C75:H75">
    <cfRule type="expression" dxfId="233" priority="398">
      <formula>MOD(ROW(),2)=0</formula>
    </cfRule>
  </conditionalFormatting>
  <conditionalFormatting sqref="C25:D25">
    <cfRule type="expression" dxfId="232" priority="329">
      <formula>MOD(ROW(),2)=0</formula>
    </cfRule>
  </conditionalFormatting>
  <conditionalFormatting sqref="K69 K75">
    <cfRule type="expression" dxfId="231" priority="396">
      <formula>MOD(ROW(),2)=0</formula>
    </cfRule>
  </conditionalFormatting>
  <conditionalFormatting sqref="C70 E70:H70">
    <cfRule type="expression" dxfId="230" priority="395">
      <formula>MOD(ROW(),2)=0</formula>
    </cfRule>
  </conditionalFormatting>
  <conditionalFormatting sqref="K70">
    <cfRule type="expression" dxfId="229" priority="393">
      <formula>MOD(ROW(),2)=0</formula>
    </cfRule>
  </conditionalFormatting>
  <conditionalFormatting sqref="C71 E71:H71">
    <cfRule type="expression" dxfId="228" priority="392">
      <formula>MOD(ROW(),2)=0</formula>
    </cfRule>
  </conditionalFormatting>
  <conditionalFormatting sqref="K71">
    <cfRule type="expression" dxfId="227" priority="390">
      <formula>MOD(ROW(),2)=0</formula>
    </cfRule>
  </conditionalFormatting>
  <conditionalFormatting sqref="C91 E91:H91">
    <cfRule type="expression" dxfId="226" priority="389">
      <formula>MOD(ROW(),2)=0</formula>
    </cfRule>
  </conditionalFormatting>
  <conditionalFormatting sqref="C97:H97">
    <cfRule type="expression" dxfId="225" priority="385">
      <formula>MOD(ROW(),2)=0</formula>
    </cfRule>
  </conditionalFormatting>
  <conditionalFormatting sqref="C50:D50">
    <cfRule type="expression" dxfId="224" priority="316">
      <formula>MOD(ROW(),2)=0</formula>
    </cfRule>
  </conditionalFormatting>
  <conditionalFormatting sqref="K91 K97">
    <cfRule type="expression" dxfId="223" priority="383">
      <formula>MOD(ROW(),2)=0</formula>
    </cfRule>
  </conditionalFormatting>
  <conditionalFormatting sqref="C92 E92:H92">
    <cfRule type="expression" dxfId="222" priority="382">
      <formula>MOD(ROW(),2)=0</formula>
    </cfRule>
  </conditionalFormatting>
  <conditionalFormatting sqref="K74">
    <cfRule type="expression" dxfId="221" priority="313">
      <formula>MOD(ROW(),2)=0</formula>
    </cfRule>
  </conditionalFormatting>
  <conditionalFormatting sqref="K92">
    <cfRule type="expression" dxfId="220" priority="380">
      <formula>MOD(ROW(),2)=0</formula>
    </cfRule>
  </conditionalFormatting>
  <conditionalFormatting sqref="C93 E93:H93">
    <cfRule type="expression" dxfId="219" priority="379">
      <formula>MOD(ROW(),2)=0</formula>
    </cfRule>
  </conditionalFormatting>
  <conditionalFormatting sqref="K73">
    <cfRule type="expression" dxfId="218" priority="310">
      <formula>MOD(ROW(),2)=0</formula>
    </cfRule>
  </conditionalFormatting>
  <conditionalFormatting sqref="K93">
    <cfRule type="expression" dxfId="217" priority="377">
      <formula>MOD(ROW(),2)=0</formula>
    </cfRule>
  </conditionalFormatting>
  <conditionalFormatting sqref="C114 E114:H114">
    <cfRule type="expression" dxfId="216" priority="376">
      <formula>MOD(ROW(),2)=0</formula>
    </cfRule>
  </conditionalFormatting>
  <conditionalFormatting sqref="K72">
    <cfRule type="expression" dxfId="215" priority="307">
      <formula>MOD(ROW(),2)=0</formula>
    </cfRule>
  </conditionalFormatting>
  <conditionalFormatting sqref="C120:H120">
    <cfRule type="expression" dxfId="214" priority="372">
      <formula>MOD(ROW(),2)=0</formula>
    </cfRule>
  </conditionalFormatting>
  <conditionalFormatting sqref="E96:H96">
    <cfRule type="expression" dxfId="213" priority="303">
      <formula>MOD(ROW(),2)=0</formula>
    </cfRule>
  </conditionalFormatting>
  <conditionalFormatting sqref="K114 K120">
    <cfRule type="expression" dxfId="212" priority="370">
      <formula>MOD(ROW(),2)=0</formula>
    </cfRule>
  </conditionalFormatting>
  <conditionalFormatting sqref="C115 E115:H115">
    <cfRule type="expression" dxfId="211" priority="369">
      <formula>MOD(ROW(),2)=0</formula>
    </cfRule>
  </conditionalFormatting>
  <conditionalFormatting sqref="E95:H95">
    <cfRule type="expression" dxfId="210" priority="300">
      <formula>MOD(ROW(),2)=0</formula>
    </cfRule>
  </conditionalFormatting>
  <conditionalFormatting sqref="K115">
    <cfRule type="expression" dxfId="209" priority="367">
      <formula>MOD(ROW(),2)=0</formula>
    </cfRule>
  </conditionalFormatting>
  <conditionalFormatting sqref="C116 E116:H116">
    <cfRule type="expression" dxfId="208" priority="366">
      <formula>MOD(ROW(),2)=0</formula>
    </cfRule>
  </conditionalFormatting>
  <conditionalFormatting sqref="E94:H94">
    <cfRule type="expression" dxfId="207" priority="297">
      <formula>MOD(ROW(),2)=0</formula>
    </cfRule>
  </conditionalFormatting>
  <conditionalFormatting sqref="K116">
    <cfRule type="expression" dxfId="206" priority="364">
      <formula>MOD(ROW(),2)=0</formula>
    </cfRule>
  </conditionalFormatting>
  <conditionalFormatting sqref="J69">
    <cfRule type="expression" dxfId="205" priority="363">
      <formula>MOD(ROW(),2)=0</formula>
    </cfRule>
  </conditionalFormatting>
  <conditionalFormatting sqref="J70">
    <cfRule type="expression" dxfId="204" priority="360">
      <formula>MOD(ROW(),2)=0</formula>
    </cfRule>
  </conditionalFormatting>
  <conditionalFormatting sqref="J91">
    <cfRule type="expression" dxfId="203" priority="358">
      <formula>MOD(ROW(),2)=0</formula>
    </cfRule>
  </conditionalFormatting>
  <conditionalFormatting sqref="J93">
    <cfRule type="expression" dxfId="202" priority="354">
      <formula>MOD(ROW(),2)=0</formula>
    </cfRule>
  </conditionalFormatting>
  <conditionalFormatting sqref="J114">
    <cfRule type="expression" dxfId="201" priority="353">
      <formula>MOD(ROW(),2)=0</formula>
    </cfRule>
  </conditionalFormatting>
  <conditionalFormatting sqref="J115">
    <cfRule type="expression" dxfId="200" priority="350">
      <formula>MOD(ROW(),2)=0</formula>
    </cfRule>
  </conditionalFormatting>
  <conditionalFormatting sqref="D45">
    <cfRule type="expression" dxfId="199" priority="348">
      <formula>MOD(ROW(),2)=0</formula>
    </cfRule>
  </conditionalFormatting>
  <conditionalFormatting sqref="D46">
    <cfRule type="expression" dxfId="198" priority="347">
      <formula>MOD(ROW(),2)=0</formula>
    </cfRule>
  </conditionalFormatting>
  <conditionalFormatting sqref="D69">
    <cfRule type="expression" dxfId="197" priority="345">
      <formula>MOD(ROW(),2)=0</formula>
    </cfRule>
  </conditionalFormatting>
  <conditionalFormatting sqref="D70">
    <cfRule type="expression" dxfId="196" priority="344">
      <formula>MOD(ROW(),2)=0</formula>
    </cfRule>
  </conditionalFormatting>
  <conditionalFormatting sqref="D71">
    <cfRule type="expression" dxfId="195" priority="343">
      <formula>MOD(ROW(),2)=0</formula>
    </cfRule>
  </conditionalFormatting>
  <conditionalFormatting sqref="D116">
    <cfRule type="expression" dxfId="194" priority="337">
      <formula>MOD(ROW(),2)=0</formula>
    </cfRule>
  </conditionalFormatting>
  <conditionalFormatting sqref="D92">
    <cfRule type="expression" dxfId="193" priority="341">
      <formula>MOD(ROW(),2)=0</formula>
    </cfRule>
  </conditionalFormatting>
  <conditionalFormatting sqref="D93">
    <cfRule type="expression" dxfId="192" priority="340">
      <formula>MOD(ROW(),2)=0</formula>
    </cfRule>
  </conditionalFormatting>
  <conditionalFormatting sqref="D115">
    <cfRule type="expression" dxfId="191" priority="338">
      <formula>MOD(ROW(),2)=0</formula>
    </cfRule>
  </conditionalFormatting>
  <conditionalFormatting sqref="K25">
    <cfRule type="expression" dxfId="190" priority="334">
      <formula>MOD(ROW(),2)=0</formula>
    </cfRule>
  </conditionalFormatting>
  <conditionalFormatting sqref="B165:B179 D165:H179 K165:K179 F180:G182">
    <cfRule type="expression" dxfId="189" priority="264">
      <formula>MOD(ROW(),2)=0</formula>
    </cfRule>
  </conditionalFormatting>
  <conditionalFormatting sqref="K24">
    <cfRule type="expression" dxfId="188" priority="331">
      <formula>MOD(ROW(),2)=0</formula>
    </cfRule>
  </conditionalFormatting>
  <conditionalFormatting sqref="C24:D24">
    <cfRule type="expression" dxfId="187" priority="330">
      <formula>MOD(ROW(),2)=0</formula>
    </cfRule>
  </conditionalFormatting>
  <conditionalFormatting sqref="C26:D26">
    <cfRule type="expression" dxfId="186" priority="328">
      <formula>MOD(ROW(),2)=0</formula>
    </cfRule>
  </conditionalFormatting>
  <conditionalFormatting sqref="E50:H50">
    <cfRule type="expression" dxfId="185" priority="327">
      <formula>MOD(ROW(),2)=0</formula>
    </cfRule>
  </conditionalFormatting>
  <conditionalFormatting sqref="K50">
    <cfRule type="expression" dxfId="184" priority="325">
      <formula>MOD(ROW(),2)=0</formula>
    </cfRule>
  </conditionalFormatting>
  <conditionalFormatting sqref="E49:H49">
    <cfRule type="expression" dxfId="183" priority="324">
      <formula>MOD(ROW(),2)=0</formula>
    </cfRule>
  </conditionalFormatting>
  <conditionalFormatting sqref="K49">
    <cfRule type="expression" dxfId="182" priority="322">
      <formula>MOD(ROW(),2)=0</formula>
    </cfRule>
  </conditionalFormatting>
  <conditionalFormatting sqref="E48:H48">
    <cfRule type="expression" dxfId="181" priority="321">
      <formula>MOD(ROW(),2)=0</formula>
    </cfRule>
  </conditionalFormatting>
  <conditionalFormatting sqref="J111:J113">
    <cfRule type="expression" dxfId="180" priority="224">
      <formula>MOD(ROW(),2)=0</formula>
    </cfRule>
  </conditionalFormatting>
  <conditionalFormatting sqref="K48">
    <cfRule type="expression" dxfId="179" priority="319">
      <formula>MOD(ROW(),2)=0</formula>
    </cfRule>
  </conditionalFormatting>
  <conditionalFormatting sqref="C48:D48">
    <cfRule type="expression" dxfId="178" priority="318">
      <formula>MOD(ROW(),2)=0</formula>
    </cfRule>
  </conditionalFormatting>
  <conditionalFormatting sqref="C49:D49">
    <cfRule type="expression" dxfId="177" priority="317">
      <formula>MOD(ROW(),2)=0</formula>
    </cfRule>
  </conditionalFormatting>
  <conditionalFormatting sqref="E74:H74">
    <cfRule type="expression" dxfId="176" priority="315">
      <formula>MOD(ROW(),2)=0</formula>
    </cfRule>
  </conditionalFormatting>
  <conditionalFormatting sqref="E73:H73">
    <cfRule type="expression" dxfId="175" priority="312">
      <formula>MOD(ROW(),2)=0</formula>
    </cfRule>
  </conditionalFormatting>
  <conditionalFormatting sqref="E72:H72">
    <cfRule type="expression" dxfId="174" priority="309">
      <formula>MOD(ROW(),2)=0</formula>
    </cfRule>
  </conditionalFormatting>
  <conditionalFormatting sqref="C72:D72">
    <cfRule type="expression" dxfId="173" priority="306">
      <formula>MOD(ROW(),2)=0</formula>
    </cfRule>
  </conditionalFormatting>
  <conditionalFormatting sqref="C73:D73">
    <cfRule type="expression" dxfId="172" priority="305">
      <formula>MOD(ROW(),2)=0</formula>
    </cfRule>
  </conditionalFormatting>
  <conditionalFormatting sqref="C74:D74">
    <cfRule type="expression" dxfId="171" priority="304">
      <formula>MOD(ROW(),2)=0</formula>
    </cfRule>
  </conditionalFormatting>
  <conditionalFormatting sqref="H37:H38">
    <cfRule type="expression" dxfId="170" priority="234">
      <formula>MOD(ROW(),2)=0</formula>
    </cfRule>
  </conditionalFormatting>
  <conditionalFormatting sqref="K96">
    <cfRule type="expression" dxfId="169" priority="301">
      <formula>MOD(ROW(),2)=0</formula>
    </cfRule>
  </conditionalFormatting>
  <conditionalFormatting sqref="H106:H107">
    <cfRule type="expression" dxfId="168" priority="231">
      <formula>MOD(ROW(),2)=0</formula>
    </cfRule>
  </conditionalFormatting>
  <conditionalFormatting sqref="K95">
    <cfRule type="expression" dxfId="167" priority="298">
      <formula>MOD(ROW(),2)=0</formula>
    </cfRule>
  </conditionalFormatting>
  <conditionalFormatting sqref="H63:H64 H56:H60">
    <cfRule type="expression" dxfId="166" priority="228">
      <formula>MOD(ROW(),2)=0</formula>
    </cfRule>
  </conditionalFormatting>
  <conditionalFormatting sqref="K94">
    <cfRule type="expression" dxfId="165" priority="295">
      <formula>MOD(ROW(),2)=0</formula>
    </cfRule>
  </conditionalFormatting>
  <conditionalFormatting sqref="C94:D94">
    <cfRule type="expression" dxfId="164" priority="294">
      <formula>MOD(ROW(),2)=0</formula>
    </cfRule>
  </conditionalFormatting>
  <conditionalFormatting sqref="C95:D95">
    <cfRule type="expression" dxfId="163" priority="293">
      <formula>MOD(ROW(),2)=0</formula>
    </cfRule>
  </conditionalFormatting>
  <conditionalFormatting sqref="C96:D96">
    <cfRule type="expression" dxfId="162" priority="292">
      <formula>MOD(ROW(),2)=0</formula>
    </cfRule>
  </conditionalFormatting>
  <conditionalFormatting sqref="E119:H119">
    <cfRule type="expression" dxfId="161" priority="291">
      <formula>MOD(ROW(),2)=0</formula>
    </cfRule>
  </conditionalFormatting>
  <conditionalFormatting sqref="I17:I20 I41:I44">
    <cfRule type="expression" dxfId="160" priority="222">
      <formula>MOD(ROW(),2)=0</formula>
    </cfRule>
  </conditionalFormatting>
  <conditionalFormatting sqref="K119">
    <cfRule type="expression" dxfId="159" priority="289">
      <formula>MOD(ROW(),2)=0</formula>
    </cfRule>
  </conditionalFormatting>
  <conditionalFormatting sqref="E118:H118">
    <cfRule type="expression" dxfId="158" priority="288">
      <formula>MOD(ROW(),2)=0</formula>
    </cfRule>
  </conditionalFormatting>
  <conditionalFormatting sqref="I26">
    <cfRule type="expression" dxfId="157" priority="219">
      <formula>MOD(ROW(),2)=0</formula>
    </cfRule>
  </conditionalFormatting>
  <conditionalFormatting sqref="K118">
    <cfRule type="expression" dxfId="156" priority="286">
      <formula>MOD(ROW(),2)=0</formula>
    </cfRule>
  </conditionalFormatting>
  <conditionalFormatting sqref="E117:H117">
    <cfRule type="expression" dxfId="155" priority="285">
      <formula>MOD(ROW(),2)=0</formula>
    </cfRule>
  </conditionalFormatting>
  <conditionalFormatting sqref="I23">
    <cfRule type="expression" dxfId="154" priority="216">
      <formula>MOD(ROW(),2)=0</formula>
    </cfRule>
  </conditionalFormatting>
  <conditionalFormatting sqref="K117">
    <cfRule type="expression" dxfId="153" priority="283">
      <formula>MOD(ROW(),2)=0</formula>
    </cfRule>
  </conditionalFormatting>
  <conditionalFormatting sqref="C117:D117">
    <cfRule type="expression" dxfId="152" priority="282">
      <formula>MOD(ROW(),2)=0</formula>
    </cfRule>
  </conditionalFormatting>
  <conditionalFormatting sqref="C118:D118">
    <cfRule type="expression" dxfId="151" priority="281">
      <formula>MOD(ROW(),2)=0</formula>
    </cfRule>
  </conditionalFormatting>
  <conditionalFormatting sqref="C119:D119">
    <cfRule type="expression" dxfId="150" priority="280">
      <formula>MOD(ROW(),2)=0</formula>
    </cfRule>
  </conditionalFormatting>
  <conditionalFormatting sqref="I48">
    <cfRule type="expression" dxfId="149" priority="201">
      <formula>MOD(ROW(),2)=0</formula>
    </cfRule>
  </conditionalFormatting>
  <conditionalFormatting sqref="I74">
    <cfRule type="expression" dxfId="148" priority="200">
      <formula>MOD(ROW(),2)=0</formula>
    </cfRule>
  </conditionalFormatting>
  <conditionalFormatting sqref="I72">
    <cfRule type="expression" dxfId="147" priority="199">
      <formula>MOD(ROW(),2)=0</formula>
    </cfRule>
  </conditionalFormatting>
  <conditionalFormatting sqref="I96">
    <cfRule type="expression" dxfId="146" priority="198">
      <formula>MOD(ROW(),2)=0</formula>
    </cfRule>
  </conditionalFormatting>
  <conditionalFormatting sqref="I94">
    <cfRule type="expression" dxfId="145" priority="197">
      <formula>MOD(ROW(),2)=0</formula>
    </cfRule>
  </conditionalFormatting>
  <conditionalFormatting sqref="I117">
    <cfRule type="expression" dxfId="144" priority="195">
      <formula>MOD(ROW(),2)=0</formula>
    </cfRule>
  </conditionalFormatting>
  <conditionalFormatting sqref="M117:M119">
    <cfRule type="expression" dxfId="143" priority="239">
      <formula>MOD(ROW(),2)=0</formula>
    </cfRule>
  </conditionalFormatting>
  <conditionalFormatting sqref="M47">
    <cfRule type="expression" dxfId="142" priority="248">
      <formula>MOD(ROW(),2)=0</formula>
    </cfRule>
  </conditionalFormatting>
  <conditionalFormatting sqref="H15:H16 H8:H12">
    <cfRule type="expression" dxfId="141" priority="230">
      <formula>MOD(ROW(),2)=0</formula>
    </cfRule>
  </conditionalFormatting>
  <conditionalFormatting sqref="I110">
    <cfRule type="expression" dxfId="140" priority="221">
      <formula>MOD(ROW(),2)=0</formula>
    </cfRule>
  </conditionalFormatting>
  <conditionalFormatting sqref="I45">
    <cfRule type="expression" dxfId="139" priority="215">
      <formula>MOD(ROW(),2)=0</formula>
    </cfRule>
  </conditionalFormatting>
  <conditionalFormatting sqref="I46">
    <cfRule type="expression" dxfId="138" priority="214">
      <formula>MOD(ROW(),2)=0</formula>
    </cfRule>
  </conditionalFormatting>
  <conditionalFormatting sqref="I47">
    <cfRule type="expression" dxfId="137" priority="213">
      <formula>MOD(ROW(),2)=0</formula>
    </cfRule>
  </conditionalFormatting>
  <conditionalFormatting sqref="H85:H86">
    <cfRule type="expression" dxfId="136" priority="232">
      <formula>MOD(ROW(),2)=0</formula>
    </cfRule>
  </conditionalFormatting>
  <conditionalFormatting sqref="H13:H14">
    <cfRule type="expression" dxfId="135" priority="229">
      <formula>MOD(ROW(),2)=0</formula>
    </cfRule>
  </conditionalFormatting>
  <conditionalFormatting sqref="H61:H62">
    <cfRule type="expression" dxfId="134" priority="227">
      <formula>MOD(ROW(),2)=0</formula>
    </cfRule>
  </conditionalFormatting>
  <conditionalFormatting sqref="J87:J90">
    <cfRule type="expression" dxfId="133" priority="226">
      <formula>MOD(ROW(),2)=0</formula>
    </cfRule>
  </conditionalFormatting>
  <conditionalFormatting sqref="J65:J68">
    <cfRule type="expression" dxfId="132" priority="225">
      <formula>MOD(ROW(),2)=0</formula>
    </cfRule>
  </conditionalFormatting>
  <conditionalFormatting sqref="I121:I164 I28:I34 I76:I84 I98:I105 I39:I40 I63:I64 I108:I109 I4:I16 I36 I52:I60">
    <cfRule type="expression" dxfId="131" priority="223">
      <formula>MOD(ROW(),2)=0</formula>
    </cfRule>
  </conditionalFormatting>
  <conditionalFormatting sqref="I21">
    <cfRule type="expression" dxfId="130" priority="220">
      <formula>MOD(ROW(),2)=0</formula>
    </cfRule>
  </conditionalFormatting>
  <conditionalFormatting sqref="I27">
    <cfRule type="expression" dxfId="129" priority="218">
      <formula>MOD(ROW(),2)=0</formula>
    </cfRule>
  </conditionalFormatting>
  <conditionalFormatting sqref="I22">
    <cfRule type="expression" dxfId="128" priority="217">
      <formula>MOD(ROW(),2)=0</formula>
    </cfRule>
  </conditionalFormatting>
  <conditionalFormatting sqref="I69">
    <cfRule type="expression" dxfId="127" priority="212">
      <formula>MOD(ROW(),2)=0</formula>
    </cfRule>
  </conditionalFormatting>
  <conditionalFormatting sqref="I70">
    <cfRule type="expression" dxfId="126" priority="211">
      <formula>MOD(ROW(),2)=0</formula>
    </cfRule>
  </conditionalFormatting>
  <conditionalFormatting sqref="I71">
    <cfRule type="expression" dxfId="125" priority="210">
      <formula>MOD(ROW(),2)=0</formula>
    </cfRule>
  </conditionalFormatting>
  <conditionalFormatting sqref="I91">
    <cfRule type="expression" dxfId="124" priority="209">
      <formula>MOD(ROW(),2)=0</formula>
    </cfRule>
  </conditionalFormatting>
  <conditionalFormatting sqref="I92">
    <cfRule type="expression" dxfId="123" priority="208">
      <formula>MOD(ROW(),2)=0</formula>
    </cfRule>
  </conditionalFormatting>
  <conditionalFormatting sqref="I93">
    <cfRule type="expression" dxfId="122" priority="207">
      <formula>MOD(ROW(),2)=0</formula>
    </cfRule>
  </conditionalFormatting>
  <conditionalFormatting sqref="I114">
    <cfRule type="expression" dxfId="121" priority="206">
      <formula>MOD(ROW(),2)=0</formula>
    </cfRule>
  </conditionalFormatting>
  <conditionalFormatting sqref="I115">
    <cfRule type="expression" dxfId="120" priority="205">
      <formula>MOD(ROW(),2)=0</formula>
    </cfRule>
  </conditionalFormatting>
  <conditionalFormatting sqref="I116">
    <cfRule type="expression" dxfId="119" priority="204">
      <formula>MOD(ROW(),2)=0</formula>
    </cfRule>
  </conditionalFormatting>
  <conditionalFormatting sqref="I24">
    <cfRule type="expression" dxfId="118" priority="203">
      <formula>MOD(ROW(),2)=0</formula>
    </cfRule>
  </conditionalFormatting>
  <conditionalFormatting sqref="I50">
    <cfRule type="expression" dxfId="117" priority="202">
      <formula>MOD(ROW(),2)=0</formula>
    </cfRule>
  </conditionalFormatting>
  <conditionalFormatting sqref="I119">
    <cfRule type="expression" dxfId="116" priority="196">
      <formula>MOD(ROW(),2)=0</formula>
    </cfRule>
  </conditionalFormatting>
  <conditionalFormatting sqref="I25">
    <cfRule type="expression" dxfId="115" priority="194">
      <formula>MOD(ROW(),2)=0</formula>
    </cfRule>
  </conditionalFormatting>
  <conditionalFormatting sqref="I49">
    <cfRule type="expression" dxfId="114" priority="193">
      <formula>MOD(ROW(),2)=0</formula>
    </cfRule>
  </conditionalFormatting>
  <conditionalFormatting sqref="I73">
    <cfRule type="expression" dxfId="113" priority="192">
      <formula>MOD(ROW(),2)=0</formula>
    </cfRule>
  </conditionalFormatting>
  <conditionalFormatting sqref="I95">
    <cfRule type="expression" dxfId="112" priority="191">
      <formula>MOD(ROW(),2)=0</formula>
    </cfRule>
  </conditionalFormatting>
  <conditionalFormatting sqref="I118">
    <cfRule type="expression" dxfId="111" priority="190">
      <formula>MOD(ROW(),2)=0</formula>
    </cfRule>
  </conditionalFormatting>
  <conditionalFormatting sqref="I51">
    <cfRule type="expression" dxfId="110" priority="189">
      <formula>MOD(ROW(),2)=0</formula>
    </cfRule>
  </conditionalFormatting>
  <conditionalFormatting sqref="I75">
    <cfRule type="expression" dxfId="109" priority="188">
      <formula>MOD(ROW(),2)=0</formula>
    </cfRule>
  </conditionalFormatting>
  <conditionalFormatting sqref="I97">
    <cfRule type="expression" dxfId="108" priority="187">
      <formula>MOD(ROW(),2)=0</formula>
    </cfRule>
  </conditionalFormatting>
  <conditionalFormatting sqref="I120">
    <cfRule type="expression" dxfId="107" priority="186">
      <formula>MOD(ROW(),2)=0</formula>
    </cfRule>
  </conditionalFormatting>
  <conditionalFormatting sqref="I165:I182">
    <cfRule type="expression" dxfId="106" priority="185">
      <formula>MOD(ROW(),2)=0</formula>
    </cfRule>
  </conditionalFormatting>
  <conditionalFormatting sqref="I37:I38">
    <cfRule type="expression" dxfId="105" priority="184">
      <formula>MOD(ROW(),2)=0</formula>
    </cfRule>
  </conditionalFormatting>
  <conditionalFormatting sqref="I61:I62">
    <cfRule type="expression" dxfId="104" priority="183">
      <formula>MOD(ROW(),2)=0</formula>
    </cfRule>
  </conditionalFormatting>
  <conditionalFormatting sqref="I85:I86">
    <cfRule type="expression" dxfId="103" priority="182">
      <formula>MOD(ROW(),2)=0</formula>
    </cfRule>
  </conditionalFormatting>
  <conditionalFormatting sqref="I106:I107">
    <cfRule type="expression" dxfId="102" priority="181">
      <formula>MOD(ROW(),2)=0</formula>
    </cfRule>
  </conditionalFormatting>
  <conditionalFormatting sqref="I87:I90">
    <cfRule type="expression" dxfId="101" priority="180">
      <formula>MOD(ROW(),2)=0</formula>
    </cfRule>
  </conditionalFormatting>
  <conditionalFormatting sqref="I65:I68">
    <cfRule type="expression" dxfId="100" priority="179">
      <formula>MOD(ROW(),2)=0</formula>
    </cfRule>
  </conditionalFormatting>
  <conditionalFormatting sqref="I111:I113">
    <cfRule type="expression" dxfId="99" priority="178">
      <formula>MOD(ROW(),2)=0</formula>
    </cfRule>
  </conditionalFormatting>
  <conditionalFormatting sqref="L111:L113 L28:L34 L4:L20 L36:L44 L52:L68 L76:L90 L98:L109 L121:L182">
    <cfRule type="expression" dxfId="98" priority="177">
      <formula>MOD(ROW(),2)=0</formula>
    </cfRule>
  </conditionalFormatting>
  <conditionalFormatting sqref="L110">
    <cfRule type="expression" dxfId="97" priority="176">
      <formula>MOD(ROW(),2)=0</formula>
    </cfRule>
  </conditionalFormatting>
  <conditionalFormatting sqref="L21:L22">
    <cfRule type="expression" dxfId="96" priority="175">
      <formula>MOD(ROW(),2)=0</formula>
    </cfRule>
  </conditionalFormatting>
  <conditionalFormatting sqref="L27">
    <cfRule type="expression" dxfId="95" priority="174">
      <formula>MOD(ROW(),2)=0</formula>
    </cfRule>
  </conditionalFormatting>
  <conditionalFormatting sqref="L23">
    <cfRule type="expression" dxfId="94" priority="173">
      <formula>MOD(ROW(),2)=0</formula>
    </cfRule>
  </conditionalFormatting>
  <conditionalFormatting sqref="L24:L26">
    <cfRule type="expression" dxfId="93" priority="172">
      <formula>MOD(ROW(),2)=0</formula>
    </cfRule>
  </conditionalFormatting>
  <conditionalFormatting sqref="L45:L46">
    <cfRule type="expression" dxfId="92" priority="167">
      <formula>MOD(ROW(),2)=0</formula>
    </cfRule>
  </conditionalFormatting>
  <conditionalFormatting sqref="L51">
    <cfRule type="expression" dxfId="91" priority="166">
      <formula>MOD(ROW(),2)=0</formula>
    </cfRule>
  </conditionalFormatting>
  <conditionalFormatting sqref="L47">
    <cfRule type="expression" dxfId="90" priority="165">
      <formula>MOD(ROW(),2)=0</formula>
    </cfRule>
  </conditionalFormatting>
  <conditionalFormatting sqref="L48:L50">
    <cfRule type="expression" dxfId="89" priority="164">
      <formula>MOD(ROW(),2)=0</formula>
    </cfRule>
  </conditionalFormatting>
  <conditionalFormatting sqref="L91:L92">
    <cfRule type="expression" dxfId="88" priority="171">
      <formula>MOD(ROW(),2)=0</formula>
    </cfRule>
  </conditionalFormatting>
  <conditionalFormatting sqref="L97">
    <cfRule type="expression" dxfId="87" priority="170">
      <formula>MOD(ROW(),2)=0</formula>
    </cfRule>
  </conditionalFormatting>
  <conditionalFormatting sqref="L93">
    <cfRule type="expression" dxfId="86" priority="169">
      <formula>MOD(ROW(),2)=0</formula>
    </cfRule>
  </conditionalFormatting>
  <conditionalFormatting sqref="L94:L96">
    <cfRule type="expression" dxfId="85" priority="168">
      <formula>MOD(ROW(),2)=0</formula>
    </cfRule>
  </conditionalFormatting>
  <conditionalFormatting sqref="L69:L70">
    <cfRule type="expression" dxfId="84" priority="163">
      <formula>MOD(ROW(),2)=0</formula>
    </cfRule>
  </conditionalFormatting>
  <conditionalFormatting sqref="L75">
    <cfRule type="expression" dxfId="83" priority="162">
      <formula>MOD(ROW(),2)=0</formula>
    </cfRule>
  </conditionalFormatting>
  <conditionalFormatting sqref="L71">
    <cfRule type="expression" dxfId="82" priority="161">
      <formula>MOD(ROW(),2)=0</formula>
    </cfRule>
  </conditionalFormatting>
  <conditionalFormatting sqref="L72:L74">
    <cfRule type="expression" dxfId="81" priority="160">
      <formula>MOD(ROW(),2)=0</formula>
    </cfRule>
  </conditionalFormatting>
  <conditionalFormatting sqref="L114:L115">
    <cfRule type="expression" dxfId="80" priority="159">
      <formula>MOD(ROW(),2)=0</formula>
    </cfRule>
  </conditionalFormatting>
  <conditionalFormatting sqref="L120">
    <cfRule type="expression" dxfId="79" priority="158">
      <formula>MOD(ROW(),2)=0</formula>
    </cfRule>
  </conditionalFormatting>
  <conditionalFormatting sqref="L116">
    <cfRule type="expression" dxfId="78" priority="157">
      <formula>MOD(ROW(),2)=0</formula>
    </cfRule>
  </conditionalFormatting>
  <conditionalFormatting sqref="L117:L119">
    <cfRule type="expression" dxfId="77" priority="156">
      <formula>MOD(ROW(),2)=0</formula>
    </cfRule>
  </conditionalFormatting>
  <conditionalFormatting sqref="M45">
    <cfRule type="expression" dxfId="76" priority="155">
      <formula>MOD(ROW(),2)=0</formula>
    </cfRule>
  </conditionalFormatting>
  <conditionalFormatting sqref="M46">
    <cfRule type="expression" dxfId="75" priority="154">
      <formula>MOD(ROW(),2)=0</formula>
    </cfRule>
  </conditionalFormatting>
  <conditionalFormatting sqref="M69">
    <cfRule type="expression" dxfId="74" priority="153">
      <formula>MOD(ROW(),2)=0</formula>
    </cfRule>
  </conditionalFormatting>
  <conditionalFormatting sqref="M70">
    <cfRule type="expression" dxfId="73" priority="152">
      <formula>MOD(ROW(),2)=0</formula>
    </cfRule>
  </conditionalFormatting>
  <conditionalFormatting sqref="M91">
    <cfRule type="expression" dxfId="72" priority="151">
      <formula>MOD(ROW(),2)=0</formula>
    </cfRule>
  </conditionalFormatting>
  <conditionalFormatting sqref="M92">
    <cfRule type="expression" dxfId="71" priority="150">
      <formula>MOD(ROW(),2)=0</formula>
    </cfRule>
  </conditionalFormatting>
  <conditionalFormatting sqref="M114">
    <cfRule type="expression" dxfId="70" priority="149">
      <formula>MOD(ROW(),2)=0</formula>
    </cfRule>
  </conditionalFormatting>
  <conditionalFormatting sqref="M115">
    <cfRule type="expression" dxfId="69" priority="148">
      <formula>MOD(ROW(),2)=0</formula>
    </cfRule>
  </conditionalFormatting>
  <conditionalFormatting sqref="M71">
    <cfRule type="expression" dxfId="68" priority="147">
      <formula>MOD(ROW(),2)=0</formula>
    </cfRule>
  </conditionalFormatting>
  <conditionalFormatting sqref="M93">
    <cfRule type="expression" dxfId="67" priority="146">
      <formula>MOD(ROW(),2)=0</formula>
    </cfRule>
  </conditionalFormatting>
  <conditionalFormatting sqref="M116">
    <cfRule type="expression" dxfId="66" priority="145">
      <formula>MOD(ROW(),2)=0</formula>
    </cfRule>
  </conditionalFormatting>
  <conditionalFormatting sqref="M23">
    <cfRule type="expression" dxfId="65" priority="144">
      <formula>MOD(ROW(),2)=0</formula>
    </cfRule>
  </conditionalFormatting>
  <conditionalFormatting sqref="M51">
    <cfRule type="expression" dxfId="64" priority="143">
      <formula>MOD(ROW(),2)=0</formula>
    </cfRule>
  </conditionalFormatting>
  <conditionalFormatting sqref="M75">
    <cfRule type="expression" dxfId="63" priority="142">
      <formula>MOD(ROW(),2)=0</formula>
    </cfRule>
  </conditionalFormatting>
  <conditionalFormatting sqref="M97">
    <cfRule type="expression" dxfId="62" priority="141">
      <formula>MOD(ROW(),2)=0</formula>
    </cfRule>
  </conditionalFormatting>
  <conditionalFormatting sqref="M120">
    <cfRule type="expression" dxfId="61" priority="140">
      <formula>MOD(ROW(),2)=0</formula>
    </cfRule>
  </conditionalFormatting>
  <conditionalFormatting sqref="J51">
    <cfRule type="expression" dxfId="60" priority="139">
      <formula>MOD(ROW(),2)=0</formula>
    </cfRule>
  </conditionalFormatting>
  <conditionalFormatting sqref="J75">
    <cfRule type="expression" dxfId="59" priority="138">
      <formula>MOD(ROW(),2)=0</formula>
    </cfRule>
  </conditionalFormatting>
  <conditionalFormatting sqref="J97">
    <cfRule type="expression" dxfId="58" priority="137">
      <formula>MOD(ROW(),2)=0</formula>
    </cfRule>
  </conditionalFormatting>
  <conditionalFormatting sqref="J120">
    <cfRule type="expression" dxfId="57" priority="136">
      <formula>MOD(ROW(),2)=0</formula>
    </cfRule>
  </conditionalFormatting>
  <conditionalFormatting sqref="M96">
    <cfRule type="expression" dxfId="56" priority="130">
      <formula>MOD(ROW(),2)=0</formula>
    </cfRule>
  </conditionalFormatting>
  <conditionalFormatting sqref="M95">
    <cfRule type="expression" dxfId="55" priority="129">
      <formula>MOD(ROW(),2)=0</formula>
    </cfRule>
  </conditionalFormatting>
  <conditionalFormatting sqref="M94">
    <cfRule type="expression" dxfId="54" priority="128">
      <formula>MOD(ROW(),2)=0</formula>
    </cfRule>
  </conditionalFormatting>
  <conditionalFormatting sqref="M74">
    <cfRule type="expression" dxfId="53" priority="127">
      <formula>MOD(ROW(),2)=0</formula>
    </cfRule>
  </conditionalFormatting>
  <conditionalFormatting sqref="M73">
    <cfRule type="expression" dxfId="52" priority="126">
      <formula>MOD(ROW(),2)=0</formula>
    </cfRule>
  </conditionalFormatting>
  <conditionalFormatting sqref="M72">
    <cfRule type="expression" dxfId="51" priority="125">
      <formula>MOD(ROW(),2)=0</formula>
    </cfRule>
  </conditionalFormatting>
  <conditionalFormatting sqref="M50">
    <cfRule type="expression" dxfId="50" priority="124">
      <formula>MOD(ROW(),2)=0</formula>
    </cfRule>
  </conditionalFormatting>
  <conditionalFormatting sqref="M49">
    <cfRule type="expression" dxfId="49" priority="123">
      <formula>MOD(ROW(),2)=0</formula>
    </cfRule>
  </conditionalFormatting>
  <conditionalFormatting sqref="M48">
    <cfRule type="expression" dxfId="48" priority="122">
      <formula>MOD(ROW(),2)=0</formula>
    </cfRule>
  </conditionalFormatting>
  <conditionalFormatting sqref="M26">
    <cfRule type="expression" dxfId="47" priority="121">
      <formula>MOD(ROW(),2)=0</formula>
    </cfRule>
  </conditionalFormatting>
  <conditionalFormatting sqref="M25">
    <cfRule type="expression" dxfId="46" priority="120">
      <formula>MOD(ROW(),2)=0</formula>
    </cfRule>
  </conditionalFormatting>
  <conditionalFormatting sqref="M24">
    <cfRule type="expression" dxfId="45" priority="119">
      <formula>MOD(ROW(),2)=0</formula>
    </cfRule>
  </conditionalFormatting>
  <conditionalFormatting sqref="J4:J7">
    <cfRule type="expression" dxfId="44" priority="115">
      <formula>MOD(ROW(),2)=0</formula>
    </cfRule>
  </conditionalFormatting>
  <conditionalFormatting sqref="J5:J7">
    <cfRule type="expression" dxfId="43" priority="114">
      <formula>MOD(ROW(),2)=0</formula>
    </cfRule>
  </conditionalFormatting>
  <conditionalFormatting sqref="J28:J31">
    <cfRule type="expression" dxfId="42" priority="113">
      <formula>MOD(ROW(),2)=0</formula>
    </cfRule>
  </conditionalFormatting>
  <conditionalFormatting sqref="J28:J31">
    <cfRule type="expression" dxfId="41" priority="112">
      <formula>MOD(ROW(),2)=0</formula>
    </cfRule>
  </conditionalFormatting>
  <conditionalFormatting sqref="J52:J55">
    <cfRule type="expression" dxfId="40" priority="111">
      <formula>MOD(ROW(),2)=0</formula>
    </cfRule>
  </conditionalFormatting>
  <conditionalFormatting sqref="J52:J55">
    <cfRule type="expression" dxfId="39" priority="110">
      <formula>MOD(ROW(),2)=0</formula>
    </cfRule>
  </conditionalFormatting>
  <conditionalFormatting sqref="J76 J79">
    <cfRule type="expression" dxfId="38" priority="109">
      <formula>MOD(ROW(),2)=0</formula>
    </cfRule>
  </conditionalFormatting>
  <conditionalFormatting sqref="J76 J79">
    <cfRule type="expression" dxfId="37" priority="108">
      <formula>MOD(ROW(),2)=0</formula>
    </cfRule>
  </conditionalFormatting>
  <conditionalFormatting sqref="J98:J100">
    <cfRule type="expression" dxfId="36" priority="107">
      <formula>MOD(ROW(),2)=0</formula>
    </cfRule>
  </conditionalFormatting>
  <conditionalFormatting sqref="J98:J100">
    <cfRule type="expression" dxfId="35" priority="106">
      <formula>MOD(ROW(),2)=0</formula>
    </cfRule>
  </conditionalFormatting>
  <conditionalFormatting sqref="J33:J34 J36 J39:J40">
    <cfRule type="expression" dxfId="34" priority="105">
      <formula>MOD(ROW(),2)=0</formula>
    </cfRule>
  </conditionalFormatting>
  <conditionalFormatting sqref="J63:J64 J57:J60">
    <cfRule type="expression" dxfId="33" priority="104">
      <formula>MOD(ROW(),2)=0</formula>
    </cfRule>
  </conditionalFormatting>
  <conditionalFormatting sqref="J32">
    <cfRule type="expression" dxfId="32" priority="101">
      <formula>MOD(ROW(),2)=0</formula>
    </cfRule>
  </conditionalFormatting>
  <conditionalFormatting sqref="J56">
    <cfRule type="expression" dxfId="31" priority="100">
      <formula>MOD(ROW(),2)=0</formula>
    </cfRule>
  </conditionalFormatting>
  <conditionalFormatting sqref="K180">
    <cfRule type="expression" dxfId="30" priority="99">
      <formula>MOD(ROW(),2)=0</formula>
    </cfRule>
  </conditionalFormatting>
  <conditionalFormatting sqref="K182">
    <cfRule type="expression" dxfId="29" priority="95">
      <formula>MOD(ROW(),2)=0</formula>
    </cfRule>
  </conditionalFormatting>
  <conditionalFormatting sqref="B181 D181:E181 K181 H181">
    <cfRule type="expression" dxfId="28" priority="93">
      <formula>MOD(ROW(),2)=0</formula>
    </cfRule>
  </conditionalFormatting>
  <conditionalFormatting sqref="J78">
    <cfRule type="expression" dxfId="27" priority="71">
      <formula>MOD(ROW(),2)=0</formula>
    </cfRule>
  </conditionalFormatting>
  <conditionalFormatting sqref="C35:G35 M35 J35:K35">
    <cfRule type="expression" dxfId="26" priority="70">
      <formula>MOD(ROW(),2)=0</formula>
    </cfRule>
  </conditionalFormatting>
  <conditionalFormatting sqref="H35">
    <cfRule type="expression" dxfId="25" priority="69">
      <formula>MOD(ROW(),2)=0</formula>
    </cfRule>
  </conditionalFormatting>
  <conditionalFormatting sqref="I35">
    <cfRule type="expression" dxfId="24" priority="68">
      <formula>MOD(ROW(),2)=0</formula>
    </cfRule>
  </conditionalFormatting>
  <conditionalFormatting sqref="L35">
    <cfRule type="expression" dxfId="23" priority="67">
      <formula>MOD(ROW(),2)=0</formula>
    </cfRule>
  </conditionalFormatting>
  <conditionalFormatting sqref="B35">
    <cfRule type="expression" dxfId="22" priority="66">
      <formula>MOD(ROW(),2)=0</formula>
    </cfRule>
  </conditionalFormatting>
  <conditionalFormatting sqref="J77">
    <cfRule type="expression" dxfId="21" priority="65">
      <formula>MOD(ROW(),2)=0</formula>
    </cfRule>
  </conditionalFormatting>
  <conditionalFormatting sqref="J37:J38">
    <cfRule type="expression" dxfId="20" priority="64">
      <formula>MOD(ROW(),2)=0</formula>
    </cfRule>
  </conditionalFormatting>
  <conditionalFormatting sqref="J61:J62">
    <cfRule type="expression" dxfId="19" priority="63">
      <formula>MOD(ROW(),2)=0</formula>
    </cfRule>
  </conditionalFormatting>
  <conditionalFormatting sqref="J85:J86">
    <cfRule type="expression" dxfId="18" priority="62">
      <formula>MOD(ROW(),2)=0</formula>
    </cfRule>
  </conditionalFormatting>
  <conditionalFormatting sqref="J106:J107">
    <cfRule type="expression" dxfId="17" priority="61">
      <formula>MOD(ROW(),2)=0</formula>
    </cfRule>
  </conditionalFormatting>
  <conditionalFormatting sqref="J26">
    <cfRule type="expression" dxfId="16" priority="13">
      <formula>MOD(ROW(),2)=0</formula>
    </cfRule>
  </conditionalFormatting>
  <conditionalFormatting sqref="J48">
    <cfRule type="expression" dxfId="15" priority="12">
      <formula>MOD(ROW(),2)=0</formula>
    </cfRule>
  </conditionalFormatting>
  <conditionalFormatting sqref="J49">
    <cfRule type="expression" dxfId="14" priority="11">
      <formula>MOD(ROW(),2)=0</formula>
    </cfRule>
  </conditionalFormatting>
  <conditionalFormatting sqref="J50">
    <cfRule type="expression" dxfId="13" priority="10">
      <formula>MOD(ROW(),2)=0</formula>
    </cfRule>
  </conditionalFormatting>
  <conditionalFormatting sqref="J72">
    <cfRule type="expression" dxfId="12" priority="9">
      <formula>MOD(ROW(),2)=0</formula>
    </cfRule>
  </conditionalFormatting>
  <conditionalFormatting sqref="J73">
    <cfRule type="expression" dxfId="11" priority="8">
      <formula>MOD(ROW(),2)=0</formula>
    </cfRule>
  </conditionalFormatting>
  <conditionalFormatting sqref="J74">
    <cfRule type="expression" dxfId="10" priority="7">
      <formula>MOD(ROW(),2)=0</formula>
    </cfRule>
  </conditionalFormatting>
  <conditionalFormatting sqref="J94">
    <cfRule type="expression" dxfId="9" priority="6">
      <formula>MOD(ROW(),2)=0</formula>
    </cfRule>
  </conditionalFormatting>
  <conditionalFormatting sqref="J95">
    <cfRule type="expression" dxfId="8" priority="5">
      <formula>MOD(ROW(),2)=0</formula>
    </cfRule>
  </conditionalFormatting>
  <conditionalFormatting sqref="J96">
    <cfRule type="expression" dxfId="7" priority="4">
      <formula>MOD(ROW(),2)=0</formula>
    </cfRule>
  </conditionalFormatting>
  <conditionalFormatting sqref="J117">
    <cfRule type="expression" dxfId="6" priority="3">
      <formula>MOD(ROW(),2)=0</formula>
    </cfRule>
  </conditionalFormatting>
  <conditionalFormatting sqref="J118">
    <cfRule type="expression" dxfId="5" priority="2">
      <formula>MOD(ROW(),2)=0</formula>
    </cfRule>
  </conditionalFormatting>
  <conditionalFormatting sqref="J119">
    <cfRule type="expression" dxfId="4" priority="1">
      <formula>MOD(ROW(),2)=0</formula>
    </cfRule>
  </conditionalFormatting>
  <hyperlinks>
    <hyperlink ref="A1" location="Index!A1" display="&lt;&lt;Back to Index" xr:uid="{00000000-0004-0000-1700-00000000000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theme="0" tint="-0.249977111117893"/>
  </sheetPr>
  <dimension ref="A1:M38"/>
  <sheetViews>
    <sheetView zoomScaleNormal="100" workbookViewId="0">
      <selection activeCell="A11" sqref="A11"/>
    </sheetView>
  </sheetViews>
  <sheetFormatPr defaultColWidth="8.85546875" defaultRowHeight="15" x14ac:dyDescent="0.25"/>
  <cols>
    <col min="1" max="1" width="1.85546875" style="3" customWidth="1"/>
    <col min="2" max="2" width="30.85546875" style="22" bestFit="1" customWidth="1"/>
    <col min="3" max="3" width="13.140625" style="22" customWidth="1"/>
    <col min="4" max="4" width="0.85546875" style="22" customWidth="1"/>
    <col min="5" max="5" width="13.140625" style="22" customWidth="1"/>
    <col min="6" max="7" width="13.140625" style="22" hidden="1" customWidth="1"/>
    <col min="8" max="11" width="13.140625" style="22" customWidth="1"/>
    <col min="12" max="12" width="0.85546875" style="22" customWidth="1"/>
    <col min="13" max="13" width="13.140625" style="22" customWidth="1"/>
    <col min="14" max="16384" width="8.85546875" style="3"/>
  </cols>
  <sheetData>
    <row r="1" spans="1:13" ht="10.35" customHeight="1" x14ac:dyDescent="0.25">
      <c r="A1" s="286" t="s">
        <v>21</v>
      </c>
      <c r="B1" s="291"/>
    </row>
    <row r="2" spans="1:13" s="14" customFormat="1" ht="22.5" customHeight="1" x14ac:dyDescent="0.25">
      <c r="A2" s="15" t="s">
        <v>27</v>
      </c>
      <c r="B2" s="28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5" customFormat="1" x14ac:dyDescent="0.25">
      <c r="B3" s="3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5" customFormat="1" hidden="1" x14ac:dyDescent="0.25">
      <c r="B4" s="39"/>
      <c r="C4" s="20" t="str">
        <f>$C$9</f>
        <v>2022-23</v>
      </c>
      <c r="D4" s="20"/>
      <c r="E4" s="20" t="str">
        <f t="shared" ref="E4:K4" si="0">$C$9</f>
        <v>2022-23</v>
      </c>
      <c r="F4" s="20" t="str">
        <f t="shared" si="0"/>
        <v>2022-23</v>
      </c>
      <c r="G4" s="20"/>
      <c r="H4" s="20" t="str">
        <f t="shared" si="0"/>
        <v>2022-23</v>
      </c>
      <c r="I4" s="20" t="str">
        <f t="shared" si="0"/>
        <v>2022-23</v>
      </c>
      <c r="J4" s="20" t="str">
        <f t="shared" si="0"/>
        <v>2022-23</v>
      </c>
      <c r="K4" s="20" t="str">
        <f t="shared" si="0"/>
        <v>2022-23</v>
      </c>
      <c r="L4" s="20"/>
      <c r="M4" s="20" t="str">
        <f>$C$9</f>
        <v>2022-23</v>
      </c>
    </row>
    <row r="5" spans="1:13" s="5" customFormat="1" hidden="1" x14ac:dyDescent="0.25">
      <c r="B5" s="39"/>
      <c r="C5" s="20" t="str">
        <f>$C$10</f>
        <v>Residential</v>
      </c>
      <c r="D5" s="20"/>
      <c r="E5" s="20" t="str">
        <f t="shared" ref="E5:K5" si="1">$E$10</f>
        <v>Residential</v>
      </c>
      <c r="F5" s="20" t="str">
        <f t="shared" si="1"/>
        <v>Residential</v>
      </c>
      <c r="G5" s="20"/>
      <c r="H5" s="20" t="str">
        <f t="shared" si="1"/>
        <v>Residential</v>
      </c>
      <c r="I5" s="20" t="str">
        <f t="shared" si="1"/>
        <v>Residential</v>
      </c>
      <c r="J5" s="20" t="str">
        <f t="shared" si="1"/>
        <v>Residential</v>
      </c>
      <c r="K5" s="20" t="str">
        <f t="shared" si="1"/>
        <v>Residential</v>
      </c>
      <c r="L5" s="20"/>
      <c r="M5" s="20" t="str">
        <f>$M$10</f>
        <v>Small business</v>
      </c>
    </row>
    <row r="6" spans="1:13" s="5" customFormat="1" hidden="1" x14ac:dyDescent="0.25">
      <c r="B6" s="39"/>
      <c r="C6" s="20" t="str">
        <f>$C$11</f>
        <v>without CL</v>
      </c>
      <c r="D6" s="20"/>
      <c r="E6" s="20" t="str">
        <f t="shared" ref="E6:K6" si="2">$E$11</f>
        <v>with CL</v>
      </c>
      <c r="F6" s="20" t="str">
        <f t="shared" si="2"/>
        <v>with CL</v>
      </c>
      <c r="G6" s="20"/>
      <c r="H6" s="20" t="str">
        <f t="shared" si="2"/>
        <v>with CL</v>
      </c>
      <c r="I6" s="20" t="str">
        <f t="shared" si="2"/>
        <v>with CL</v>
      </c>
      <c r="J6" s="20" t="str">
        <f t="shared" si="2"/>
        <v>with CL</v>
      </c>
      <c r="K6" s="20" t="str">
        <f t="shared" si="2"/>
        <v>with CL</v>
      </c>
      <c r="L6" s="20"/>
      <c r="M6" s="20" t="str">
        <f>$M$11</f>
        <v>without CL</v>
      </c>
    </row>
    <row r="7" spans="1:13" s="5" customFormat="1" hidden="1" x14ac:dyDescent="0.25">
      <c r="B7" s="39"/>
      <c r="C7" s="20" t="str">
        <f>$C$12</f>
        <v>Flat rate</v>
      </c>
      <c r="D7" s="20"/>
      <c r="E7" s="20" t="str">
        <f>$E$12</f>
        <v>Flat rate</v>
      </c>
      <c r="F7" s="20" t="str">
        <f>$F$12</f>
        <v>CL</v>
      </c>
      <c r="G7" s="20"/>
      <c r="H7" s="20" t="str">
        <f>$H$13</f>
        <v>CL1</v>
      </c>
      <c r="I7" s="20" t="str">
        <f>$I$13</f>
        <v>CL2</v>
      </c>
      <c r="J7" s="20" t="str">
        <f>$F$12</f>
        <v>CL</v>
      </c>
      <c r="K7" s="20" t="str">
        <f>K12</f>
        <v>Total</v>
      </c>
      <c r="L7" s="20"/>
      <c r="M7" s="20" t="str">
        <f>$M$12</f>
        <v>Flat rate</v>
      </c>
    </row>
    <row r="8" spans="1:13" s="5" customFormat="1" hidden="1" x14ac:dyDescent="0.25">
      <c r="B8" s="39"/>
      <c r="C8" s="20" t="str">
        <f>$A$2</f>
        <v>Usage</v>
      </c>
      <c r="D8" s="20"/>
      <c r="E8" s="20" t="str">
        <f>$A$2</f>
        <v>Usage</v>
      </c>
      <c r="F8" s="20" t="s">
        <v>62</v>
      </c>
      <c r="G8" s="20" t="s">
        <v>96</v>
      </c>
      <c r="H8" s="20" t="str">
        <f>$A$2</f>
        <v>Usage</v>
      </c>
      <c r="I8" s="20" t="str">
        <f>$A$2</f>
        <v>Usage</v>
      </c>
      <c r="J8" s="20" t="str">
        <f>$A$2</f>
        <v>Usage</v>
      </c>
      <c r="K8" s="20" t="str">
        <f>$A$2</f>
        <v>Usage</v>
      </c>
      <c r="L8" s="20"/>
      <c r="M8" s="20" t="str">
        <f>$A$2</f>
        <v>Usage</v>
      </c>
    </row>
    <row r="9" spans="1:13" ht="20.100000000000001" hidden="1" customHeight="1" x14ac:dyDescent="0.25">
      <c r="B9" s="38"/>
      <c r="C9" s="336" t="str">
        <f>PY</f>
        <v>2022-23</v>
      </c>
      <c r="D9" s="336"/>
      <c r="E9" s="336"/>
      <c r="F9" s="336"/>
      <c r="G9" s="336"/>
      <c r="H9" s="336"/>
      <c r="I9" s="336"/>
      <c r="J9" s="336"/>
      <c r="K9" s="336"/>
      <c r="L9" s="336"/>
      <c r="M9" s="336"/>
    </row>
    <row r="10" spans="1:13" ht="20.100000000000001" customHeight="1" x14ac:dyDescent="0.2">
      <c r="B10" s="337" t="s">
        <v>1</v>
      </c>
      <c r="C10" s="142" t="s">
        <v>6</v>
      </c>
      <c r="D10" s="59"/>
      <c r="E10" s="341" t="s">
        <v>6</v>
      </c>
      <c r="F10" s="341"/>
      <c r="G10" s="341"/>
      <c r="H10" s="341"/>
      <c r="I10" s="341"/>
      <c r="J10" s="341"/>
      <c r="K10" s="341"/>
      <c r="L10" s="60"/>
      <c r="M10" s="142" t="s">
        <v>15</v>
      </c>
    </row>
    <row r="11" spans="1:13" ht="27.6" customHeight="1" x14ac:dyDescent="0.25">
      <c r="B11" s="337"/>
      <c r="C11" s="141" t="s">
        <v>146</v>
      </c>
      <c r="D11" s="61"/>
      <c r="E11" s="338" t="s">
        <v>147</v>
      </c>
      <c r="F11" s="338"/>
      <c r="G11" s="338"/>
      <c r="H11" s="338"/>
      <c r="I11" s="338"/>
      <c r="J11" s="338"/>
      <c r="K11" s="338"/>
      <c r="L11" s="61"/>
      <c r="M11" s="141" t="s">
        <v>146</v>
      </c>
    </row>
    <row r="12" spans="1:13" ht="20.100000000000001" customHeight="1" x14ac:dyDescent="0.25">
      <c r="B12" s="337"/>
      <c r="C12" s="180" t="s">
        <v>22</v>
      </c>
      <c r="D12" s="181"/>
      <c r="E12" s="180" t="s">
        <v>22</v>
      </c>
      <c r="F12" s="339" t="s">
        <v>18</v>
      </c>
      <c r="G12" s="339"/>
      <c r="H12" s="339"/>
      <c r="I12" s="339"/>
      <c r="J12" s="339"/>
      <c r="K12" s="339" t="s">
        <v>61</v>
      </c>
      <c r="L12" s="181"/>
      <c r="M12" s="181" t="s">
        <v>22</v>
      </c>
    </row>
    <row r="13" spans="1:13" s="108" customFormat="1" ht="20.100000000000001" customHeight="1" x14ac:dyDescent="0.25">
      <c r="B13" s="337"/>
      <c r="C13" s="182" t="s">
        <v>61</v>
      </c>
      <c r="D13" s="182"/>
      <c r="E13" s="182" t="s">
        <v>61</v>
      </c>
      <c r="F13" s="182" t="s">
        <v>186</v>
      </c>
      <c r="G13" s="182" t="s">
        <v>187</v>
      </c>
      <c r="H13" s="182" t="s">
        <v>16</v>
      </c>
      <c r="I13" s="182" t="s">
        <v>17</v>
      </c>
      <c r="J13" s="182" t="s">
        <v>61</v>
      </c>
      <c r="K13" s="340"/>
      <c r="L13" s="182"/>
      <c r="M13" s="182" t="s">
        <v>61</v>
      </c>
    </row>
    <row r="14" spans="1:13" ht="20.100000000000001" customHeight="1" x14ac:dyDescent="0.25">
      <c r="B14" s="62" t="s">
        <v>2</v>
      </c>
      <c r="C14" s="183">
        <f t="array" ref="C14">INDEX('Detail inputs'!$D$3:$K$178,MATCH(C$5&amp;C$6&amp;C$7&amp;$B14&amp;C$8,'Detail inputs'!$D$3:$D$178&amp;'Detail inputs'!$E$3:$E$178&amp;'Detail inputs'!$F$3:$F$178&amp;'Detail inputs'!$B$3:$B$178&amp;'Detail inputs'!$G$3:$G$178,0),MATCH(C$4,'Detail inputs'!$D$3:$K$3,0))</f>
        <v>3900</v>
      </c>
      <c r="D14" s="184"/>
      <c r="E14" s="183">
        <f t="array" ref="E14">INDEX('Detail inputs'!$D$3:$K$178,MATCH(E$5&amp;E$6&amp;E$7&amp;$B14&amp;E$8,'Detail inputs'!$D$3:$D$178&amp;'Detail inputs'!$E$3:$E$178&amp;'Detail inputs'!$F$3:$F$178&amp;'Detail inputs'!$B$3:$B$178&amp;'Detail inputs'!$G$3:$G$178,0),MATCH(E$4,'Detail inputs'!$D$3:$K$3,0))</f>
        <v>4800</v>
      </c>
      <c r="F14" s="185">
        <f t="array" ref="F14">IFERROR(INDEX('Detail inputs'!$D$3:$K$178,MATCH(F$5&amp;F$6&amp;F$7&amp;$B14&amp;F$8,'Detail inputs'!$D$3:$D$178&amp;'Detail inputs'!$E$3:$E$178&amp;'Detail inputs'!$F$3:$F$178&amp;'Detail inputs'!$B$3:$B$178&amp;'Detail inputs'!$G$3:$G$178,0),MATCH(F$4,'Detail inputs'!$D$3:$K$3,0)),0)</f>
        <v>0.67</v>
      </c>
      <c r="G14" s="185">
        <f>1-F14</f>
        <v>0.32999999999999996</v>
      </c>
      <c r="H14" s="183">
        <f>F14*J14</f>
        <v>1340</v>
      </c>
      <c r="I14" s="183">
        <f>J14-H14</f>
        <v>660</v>
      </c>
      <c r="J14" s="183">
        <f t="array" ref="J14">IFERROR(INDEX('Detail inputs'!$D$3:$K$178,MATCH(J$5&amp;J$6&amp;J$7&amp;$B14&amp;$A$2,'Detail inputs'!$D$3:$D$178&amp;'Detail inputs'!$E$3:$E$178&amp;'Detail inputs'!$F$3:$F$178&amp;'Detail inputs'!$B$3:$B$178&amp;'Detail inputs'!$G$3:$G$178,0),MATCH(J$4,'Detail inputs'!$D$3:$K$3,0)),0)</f>
        <v>2000</v>
      </c>
      <c r="K14" s="183">
        <f>E14+J14</f>
        <v>6800</v>
      </c>
      <c r="L14" s="184"/>
      <c r="M14" s="183">
        <v>10000</v>
      </c>
    </row>
    <row r="15" spans="1:13" ht="20.100000000000001" customHeight="1" x14ac:dyDescent="0.25">
      <c r="B15" s="62" t="s">
        <v>4</v>
      </c>
      <c r="C15" s="183">
        <f t="array" ref="C15">INDEX('Detail inputs'!$D$3:$K$178,MATCH(C$5&amp;C$6&amp;C$7&amp;$B15&amp;C$8,'Detail inputs'!$D$3:$D$178&amp;'Detail inputs'!$E$3:$E$178&amp;'Detail inputs'!$F$3:$F$178&amp;'Detail inputs'!$B$3:$B$178&amp;'Detail inputs'!$G$3:$G$178,0),MATCH(C$4,'Detail inputs'!$D$3:$K$3,0))</f>
        <v>4900</v>
      </c>
      <c r="D15" s="184"/>
      <c r="E15" s="183">
        <f t="array" ref="E15">INDEX('Detail inputs'!$D$3:$K$178,MATCH(E$5&amp;E$6&amp;E$7&amp;$B15&amp;E$8,'Detail inputs'!$D$3:$D$178&amp;'Detail inputs'!$E$3:$E$178&amp;'Detail inputs'!$F$3:$F$178&amp;'Detail inputs'!$B$3:$B$178&amp;'Detail inputs'!$G$3:$G$178,0),MATCH(E$4,'Detail inputs'!$D$3:$K$3,0))</f>
        <v>5200</v>
      </c>
      <c r="F15" s="185">
        <f t="array" ref="F15">IFERROR(INDEX('Detail inputs'!$D$3:$K$178,MATCH(F$5&amp;F$6&amp;F$7&amp;$B15&amp;F$8,'Detail inputs'!$D$3:$D$178&amp;'Detail inputs'!$E$3:$E$178&amp;'Detail inputs'!$F$3:$F$178&amp;'Detail inputs'!$B$3:$B$178&amp;'Detail inputs'!$G$3:$G$178,0),MATCH(F$4,'Detail inputs'!$D$3:$K$3,0)),0)</f>
        <v>0.67</v>
      </c>
      <c r="G15" s="185">
        <f>1-F15</f>
        <v>0.32999999999999996</v>
      </c>
      <c r="H15" s="183">
        <f>F15*J15</f>
        <v>1474</v>
      </c>
      <c r="I15" s="183">
        <f>J15-H15</f>
        <v>726</v>
      </c>
      <c r="J15" s="183">
        <f t="array" ref="J15">IFERROR(INDEX('Detail inputs'!$D$3:$K$178,MATCH(J$5&amp;J$6&amp;J$7&amp;$B15&amp;$A$2,'Detail inputs'!$D$3:$D$178&amp;'Detail inputs'!$E$3:$E$178&amp;'Detail inputs'!$F$3:$F$178&amp;'Detail inputs'!$B$3:$B$178&amp;'Detail inputs'!$G$3:$G$178,0),MATCH(J$4,'Detail inputs'!$D$3:$K$3,0)),0)</f>
        <v>2200</v>
      </c>
      <c r="K15" s="183">
        <f>E15+J15</f>
        <v>7400</v>
      </c>
      <c r="L15" s="184"/>
      <c r="M15" s="183">
        <v>10000</v>
      </c>
    </row>
    <row r="16" spans="1:13" ht="20.100000000000001" customHeight="1" x14ac:dyDescent="0.25">
      <c r="B16" s="62" t="s">
        <v>0</v>
      </c>
      <c r="C16" s="183">
        <f t="array" ref="C16">INDEX('Detail inputs'!$D$3:$K$178,MATCH(C$5&amp;C$6&amp;C$7&amp;$B16&amp;C$8,'Detail inputs'!$D$3:$D$178&amp;'Detail inputs'!$E$3:$E$178&amp;'Detail inputs'!$F$3:$F$178&amp;'Detail inputs'!$B$3:$B$178&amp;'Detail inputs'!$G$3:$G$178,0),MATCH(C$4,'Detail inputs'!$D$3:$K$3,0))</f>
        <v>4600</v>
      </c>
      <c r="D16" s="184"/>
      <c r="E16" s="183">
        <f t="array" ref="E16">INDEX('Detail inputs'!$D$3:$K$178,MATCH(E$5&amp;E$6&amp;E$7&amp;$B16&amp;E$8,'Detail inputs'!$D$3:$D$178&amp;'Detail inputs'!$E$3:$E$178&amp;'Detail inputs'!$F$3:$F$178&amp;'Detail inputs'!$B$3:$B$178&amp;'Detail inputs'!$G$3:$G$178,0),MATCH(E$4,'Detail inputs'!$D$3:$K$3,0))</f>
        <v>4400</v>
      </c>
      <c r="F16" s="185">
        <f t="array" ref="F16">IFERROR(INDEX('Detail inputs'!$D$3:$K$178,MATCH(F$5&amp;F$6&amp;F$7&amp;$B16&amp;F$8,'Detail inputs'!$D$3:$D$178&amp;'Detail inputs'!$E$3:$E$178&amp;'Detail inputs'!$F$3:$F$178&amp;'Detail inputs'!$B$3:$B$178&amp;'Detail inputs'!$G$3:$G$178,0),MATCH(F$4,'Detail inputs'!$D$3:$K$3,0)),0)</f>
        <v>0.28999999999999998</v>
      </c>
      <c r="G16" s="185">
        <f>1-F16</f>
        <v>0.71</v>
      </c>
      <c r="H16" s="183">
        <f>F16*J16</f>
        <v>551</v>
      </c>
      <c r="I16" s="183">
        <f>J16-H16</f>
        <v>1349</v>
      </c>
      <c r="J16" s="183">
        <f t="array" ref="J16">IFERROR(INDEX('Detail inputs'!$D$3:$K$178,MATCH(J$5&amp;J$6&amp;J$7&amp;$B16&amp;$A$2,'Detail inputs'!$D$3:$D$178&amp;'Detail inputs'!$E$3:$E$178&amp;'Detail inputs'!$F$3:$F$178&amp;'Detail inputs'!$B$3:$B$178&amp;'Detail inputs'!$G$3:$G$178,0),MATCH(J$4,'Detail inputs'!$D$3:$K$3,0)),0)</f>
        <v>1900</v>
      </c>
      <c r="K16" s="183">
        <f>E16+J16</f>
        <v>6300</v>
      </c>
      <c r="L16" s="184"/>
      <c r="M16" s="183">
        <v>10000</v>
      </c>
    </row>
    <row r="17" spans="2:13" ht="20.100000000000001" customHeight="1" x14ac:dyDescent="0.25">
      <c r="B17" s="62" t="s">
        <v>3</v>
      </c>
      <c r="C17" s="183">
        <f t="array" ref="C17">INDEX('Detail inputs'!$D$3:$K$178,MATCH(C$5&amp;C$6&amp;C$7&amp;$B17&amp;C$8,'Detail inputs'!$D$3:$D$178&amp;'Detail inputs'!$E$3:$E$178&amp;'Detail inputs'!$F$3:$F$178&amp;'Detail inputs'!$B$3:$B$178&amp;'Detail inputs'!$G$3:$G$178,0),MATCH(C$4,'Detail inputs'!$D$3:$K$3,0))</f>
        <v>4600</v>
      </c>
      <c r="D17" s="184"/>
      <c r="E17" s="183">
        <f t="array" ref="E17">INDEX('Detail inputs'!$D$3:$K$178,MATCH(E$5&amp;E$6&amp;E$7&amp;$B17&amp;E$8,'Detail inputs'!$D$3:$D$178&amp;'Detail inputs'!$E$3:$E$178&amp;'Detail inputs'!$F$3:$F$178&amp;'Detail inputs'!$B$3:$B$178&amp;'Detail inputs'!$G$3:$G$178,0),MATCH(E$4,'Detail inputs'!$D$3:$K$3,0))</f>
        <v>4600</v>
      </c>
      <c r="F17" s="185">
        <f t="array" ref="F17">IFERROR(INDEX('Detail inputs'!$D$3:$K$178,MATCH(F$5&amp;F$6&amp;F$7&amp;$B17&amp;F$8,'Detail inputs'!$D$3:$D$178&amp;'Detail inputs'!$E$3:$E$178&amp;'Detail inputs'!$F$3:$F$178&amp;'Detail inputs'!$B$3:$B$178&amp;'Detail inputs'!$G$3:$G$178,0),MATCH(F$4,'Detail inputs'!$D$3:$K$3,0)),0)</f>
        <v>0.77</v>
      </c>
      <c r="G17" s="185">
        <f>1-F17</f>
        <v>0.22999999999999998</v>
      </c>
      <c r="H17" s="183">
        <f>F17*J17</f>
        <v>1540</v>
      </c>
      <c r="I17" s="183">
        <f>J17-H17</f>
        <v>460</v>
      </c>
      <c r="J17" s="183">
        <f t="array" ref="J17">IFERROR(INDEX('Detail inputs'!$D$3:$K$178,MATCH(J$5&amp;J$6&amp;J$7&amp;$B17&amp;$A$2,'Detail inputs'!$D$3:$D$178&amp;'Detail inputs'!$E$3:$E$178&amp;'Detail inputs'!$F$3:$F$178&amp;'Detail inputs'!$B$3:$B$178&amp;'Detail inputs'!$G$3:$G$178,0),MATCH(J$4,'Detail inputs'!$D$3:$K$3,0)),0)</f>
        <v>2000</v>
      </c>
      <c r="K17" s="183">
        <f>E17+J17</f>
        <v>6600</v>
      </c>
      <c r="L17" s="184"/>
      <c r="M17" s="183">
        <v>10000</v>
      </c>
    </row>
    <row r="18" spans="2:13" ht="20.100000000000001" customHeight="1" x14ac:dyDescent="0.25">
      <c r="B18" s="62" t="s">
        <v>5</v>
      </c>
      <c r="C18" s="183">
        <f t="array" ref="C18">INDEX('Detail inputs'!$D$3:$K$178,MATCH(C$5&amp;C$6&amp;C$7&amp;$B18&amp;C$8,'Detail inputs'!$D$3:$D$178&amp;'Detail inputs'!$E$3:$E$178&amp;'Detail inputs'!$F$3:$F$178&amp;'Detail inputs'!$B$3:$B$178&amp;'Detail inputs'!$G$3:$G$178,0),MATCH(C$4,'Detail inputs'!$D$3:$K$3,0))</f>
        <v>4000</v>
      </c>
      <c r="D18" s="184"/>
      <c r="E18" s="183">
        <f t="array" ref="E18">INDEX('Detail inputs'!$D$3:$K$178,MATCH(E$5&amp;E$6&amp;E$7&amp;$B18&amp;E$8,'Detail inputs'!$D$3:$D$178&amp;'Detail inputs'!$E$3:$E$178&amp;'Detail inputs'!$F$3:$F$178&amp;'Detail inputs'!$B$3:$B$178&amp;'Detail inputs'!$G$3:$G$178,0),MATCH(E$4,'Detail inputs'!$D$3:$K$3,0))</f>
        <v>4200</v>
      </c>
      <c r="F18" s="185">
        <f t="array" ref="F18">IFERROR(INDEX('Detail inputs'!$D$3:$K$178,MATCH(F$5&amp;F$6&amp;F$7&amp;$B18&amp;F$8,'Detail inputs'!$D$3:$D$178&amp;'Detail inputs'!$E$3:$E$178&amp;'Detail inputs'!$F$3:$F$178&amp;'Detail inputs'!$B$3:$B$178&amp;'Detail inputs'!$G$3:$G$178,0),MATCH(F$4,'Detail inputs'!$D$3:$K$3,0)),0)</f>
        <v>1</v>
      </c>
      <c r="G18" s="185">
        <f>1-F18</f>
        <v>0</v>
      </c>
      <c r="H18" s="183">
        <f>F18*J18</f>
        <v>1800</v>
      </c>
      <c r="I18" s="183">
        <f>J18-H18</f>
        <v>0</v>
      </c>
      <c r="J18" s="183">
        <f t="array" ref="J18">IFERROR(INDEX('Detail inputs'!$D$3:$K$178,MATCH(J$5&amp;J$6&amp;J$7&amp;$B18&amp;$A$2,'Detail inputs'!$D$3:$D$178&amp;'Detail inputs'!$E$3:$E$178&amp;'Detail inputs'!$F$3:$F$178&amp;'Detail inputs'!$B$3:$B$178&amp;'Detail inputs'!$G$3:$G$178,0),MATCH(J$4,'Detail inputs'!$D$3:$K$3,0)),0)</f>
        <v>1800</v>
      </c>
      <c r="K18" s="183">
        <f>E18+J18</f>
        <v>6000</v>
      </c>
      <c r="L18" s="184"/>
      <c r="M18" s="183">
        <v>10000</v>
      </c>
    </row>
    <row r="19" spans="2:13" x14ac:dyDescent="0.25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2:13" x14ac:dyDescent="0.25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2:13" x14ac:dyDescent="0.25">
      <c r="I21" s="20"/>
      <c r="J21" s="20"/>
      <c r="K21" s="20"/>
      <c r="L21" s="20"/>
      <c r="M21" s="20"/>
    </row>
    <row r="22" spans="2:13" x14ac:dyDescent="0.25">
      <c r="I22" s="20"/>
      <c r="J22" s="20"/>
      <c r="K22" s="20"/>
      <c r="L22" s="20"/>
      <c r="M22" s="20"/>
    </row>
    <row r="23" spans="2:13" x14ac:dyDescent="0.25">
      <c r="I23" s="20"/>
      <c r="J23" s="20"/>
      <c r="K23" s="20"/>
      <c r="L23" s="20"/>
      <c r="M23" s="20"/>
    </row>
    <row r="24" spans="2:13" x14ac:dyDescent="0.25">
      <c r="I24" s="20"/>
      <c r="J24" s="20"/>
      <c r="K24" s="20"/>
      <c r="L24" s="20"/>
      <c r="M24" s="20"/>
    </row>
    <row r="25" spans="2:13" x14ac:dyDescent="0.25">
      <c r="I25" s="20"/>
      <c r="J25" s="20"/>
      <c r="K25" s="20"/>
      <c r="L25" s="20"/>
      <c r="M25" s="20"/>
    </row>
    <row r="26" spans="2:13" x14ac:dyDescent="0.25">
      <c r="I26" s="20"/>
      <c r="J26" s="20"/>
      <c r="K26" s="20"/>
      <c r="L26" s="20"/>
      <c r="M26" s="20"/>
    </row>
    <row r="27" spans="2:13" x14ac:dyDescent="0.25">
      <c r="I27" s="20"/>
      <c r="J27" s="20"/>
      <c r="K27" s="20"/>
      <c r="L27" s="20"/>
      <c r="M27" s="20"/>
    </row>
    <row r="28" spans="2:13" x14ac:dyDescent="0.25">
      <c r="I28" s="20"/>
      <c r="J28" s="20"/>
      <c r="K28" s="20"/>
      <c r="L28" s="20"/>
      <c r="M28" s="20"/>
    </row>
    <row r="29" spans="2:13" x14ac:dyDescent="0.25">
      <c r="I29" s="20"/>
      <c r="J29" s="20"/>
      <c r="K29" s="20"/>
      <c r="L29" s="20"/>
      <c r="M29" s="20"/>
    </row>
    <row r="30" spans="2:13" x14ac:dyDescent="0.25">
      <c r="I30" s="20"/>
      <c r="J30" s="20"/>
      <c r="K30" s="20"/>
      <c r="L30" s="20"/>
      <c r="M30" s="20"/>
    </row>
    <row r="31" spans="2:13" x14ac:dyDescent="0.25">
      <c r="I31" s="20"/>
      <c r="J31" s="20"/>
      <c r="K31" s="20"/>
      <c r="L31" s="20"/>
      <c r="M31" s="20"/>
    </row>
    <row r="32" spans="2:13" x14ac:dyDescent="0.25">
      <c r="I32" s="20"/>
      <c r="J32" s="20"/>
      <c r="K32" s="20"/>
      <c r="L32" s="20"/>
      <c r="M32" s="20"/>
    </row>
    <row r="33" spans="3:13" x14ac:dyDescent="0.25">
      <c r="I33" s="20"/>
      <c r="J33" s="20"/>
      <c r="K33" s="20"/>
      <c r="L33" s="20"/>
      <c r="M33" s="20"/>
    </row>
    <row r="34" spans="3:13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3:13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3:13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3:13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3:13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</sheetData>
  <mergeCells count="7">
    <mergeCell ref="A1:B1"/>
    <mergeCell ref="C9:M9"/>
    <mergeCell ref="B10:B13"/>
    <mergeCell ref="E11:K11"/>
    <mergeCell ref="K12:K13"/>
    <mergeCell ref="F12:J12"/>
    <mergeCell ref="E10:K10"/>
  </mergeCells>
  <conditionalFormatting sqref="B14:M18">
    <cfRule type="expression" dxfId="3" priority="2">
      <formula>MOD(ROW(),2)=0</formula>
    </cfRule>
  </conditionalFormatting>
  <hyperlinks>
    <hyperlink ref="A1" location="Index!A1" display="&lt;&lt;Back to Index" xr:uid="{00000000-0004-0000-1600-00000000000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8347-990E-4A56-B4C4-D26EE972D71E}">
  <sheetPr>
    <tabColor theme="0" tint="-0.249977111117893"/>
  </sheetPr>
  <dimension ref="A1:AM59"/>
  <sheetViews>
    <sheetView zoomScaleNormal="100" workbookViewId="0">
      <selection activeCell="J32" sqref="J32"/>
    </sheetView>
  </sheetViews>
  <sheetFormatPr defaultRowHeight="15" x14ac:dyDescent="0.25"/>
  <cols>
    <col min="1" max="1" width="2.42578125" customWidth="1"/>
    <col min="2" max="2" width="34.140625" bestFit="1" customWidth="1"/>
    <col min="3" max="3" width="8.28515625" bestFit="1" customWidth="1"/>
    <col min="4" max="6" width="10.85546875" customWidth="1"/>
    <col min="7" max="7" width="0.85546875" customWidth="1"/>
    <col min="8" max="8" width="10.85546875" customWidth="1"/>
  </cols>
  <sheetData>
    <row r="1" spans="1:39" s="3" customFormat="1" ht="10.35" customHeight="1" x14ac:dyDescent="0.25">
      <c r="A1" s="286" t="s">
        <v>21</v>
      </c>
      <c r="B1" s="291"/>
      <c r="C1" s="271"/>
      <c r="D1" s="22"/>
      <c r="E1" s="22"/>
      <c r="F1" s="22"/>
      <c r="G1" s="22"/>
      <c r="H1" s="22"/>
    </row>
    <row r="2" spans="1:39" s="14" customFormat="1" ht="22.5" customHeight="1" x14ac:dyDescent="0.25">
      <c r="A2" s="15" t="s">
        <v>277</v>
      </c>
      <c r="B2" s="28"/>
      <c r="C2" s="272"/>
      <c r="D2" s="23"/>
      <c r="E2" s="23"/>
      <c r="F2" s="23"/>
      <c r="G2" s="23"/>
      <c r="H2" s="23"/>
    </row>
    <row r="3" spans="1:39" s="5" customFormat="1" x14ac:dyDescent="0.25">
      <c r="B3" s="39"/>
      <c r="C3" s="22"/>
      <c r="D3" s="20"/>
      <c r="E3" s="20"/>
      <c r="F3" s="20"/>
      <c r="G3" s="20"/>
      <c r="H3" s="20"/>
    </row>
    <row r="4" spans="1:39" s="237" customFormat="1" ht="20.45" customHeight="1" x14ac:dyDescent="0.25">
      <c r="A4" s="3"/>
      <c r="B4" s="60"/>
      <c r="C4" s="273"/>
      <c r="D4" s="141" t="s">
        <v>2</v>
      </c>
      <c r="E4" s="141" t="s">
        <v>4</v>
      </c>
      <c r="F4" s="141" t="s">
        <v>3</v>
      </c>
      <c r="G4" s="60"/>
      <c r="H4" s="141" t="s">
        <v>266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s="237" customFormat="1" ht="9" customHeight="1" x14ac:dyDescent="0.25">
      <c r="A5" s="3"/>
      <c r="B5" s="60"/>
      <c r="C5" s="273"/>
      <c r="D5" s="270"/>
      <c r="E5" s="60"/>
      <c r="F5" s="60"/>
      <c r="G5" s="60"/>
      <c r="H5" s="6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x14ac:dyDescent="0.25">
      <c r="A6" s="66"/>
      <c r="B6" s="62" t="s">
        <v>281</v>
      </c>
      <c r="C6" s="58" t="s">
        <v>267</v>
      </c>
      <c r="D6" s="183">
        <v>24494</v>
      </c>
      <c r="E6" s="183">
        <v>16711.340936225737</v>
      </c>
      <c r="F6" s="183">
        <v>12451</v>
      </c>
      <c r="G6" s="183"/>
      <c r="H6" s="183">
        <f>SUM(D6:F6)</f>
        <v>53656.340936225737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x14ac:dyDescent="0.25">
      <c r="A7" s="66"/>
      <c r="B7" s="62"/>
      <c r="C7" s="58"/>
      <c r="D7" s="183"/>
      <c r="E7" s="183"/>
      <c r="F7" s="183"/>
      <c r="G7" s="183"/>
      <c r="H7" s="18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66"/>
      <c r="B8" s="62" t="s">
        <v>279</v>
      </c>
      <c r="C8" s="58" t="s">
        <v>278</v>
      </c>
      <c r="D8" s="184">
        <v>61.45</v>
      </c>
      <c r="E8" s="184">
        <v>48.86</v>
      </c>
      <c r="F8" s="184">
        <v>27.83</v>
      </c>
      <c r="G8" s="184"/>
      <c r="H8" s="184">
        <f>SUM(D8:F8)</f>
        <v>138.13999999999999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66"/>
      <c r="B9" s="62"/>
      <c r="C9" s="58"/>
      <c r="D9" s="184"/>
      <c r="E9" s="184"/>
      <c r="F9" s="184"/>
      <c r="G9" s="184"/>
      <c r="H9" s="18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66"/>
      <c r="B10" s="62" t="s">
        <v>280</v>
      </c>
      <c r="C10" s="58" t="s">
        <v>47</v>
      </c>
      <c r="D10" s="275">
        <f>+D8/D6*1000</f>
        <v>2.508777659835062</v>
      </c>
      <c r="E10" s="275">
        <f>+E8/E6*1000</f>
        <v>2.9237629814663486</v>
      </c>
      <c r="F10" s="275">
        <f>+F8/F6*1000</f>
        <v>2.2351618343908117</v>
      </c>
      <c r="G10" s="275"/>
      <c r="H10" s="27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66"/>
      <c r="B11" s="62"/>
      <c r="C11" s="58"/>
      <c r="D11" s="275"/>
      <c r="E11" s="275"/>
      <c r="F11" s="275"/>
      <c r="G11" s="275"/>
      <c r="H11" s="27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66"/>
      <c r="B12" s="62" t="s">
        <v>268</v>
      </c>
      <c r="C12" s="58"/>
      <c r="D12" s="184"/>
      <c r="E12" s="184"/>
      <c r="F12" s="184"/>
      <c r="G12" s="184"/>
      <c r="H12" s="18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66"/>
      <c r="B13" s="276" t="s">
        <v>160</v>
      </c>
      <c r="C13" s="58" t="str">
        <f>+Usage!C12</f>
        <v>Flat rate</v>
      </c>
      <c r="D13" s="183">
        <f>+Usage!C14</f>
        <v>3900</v>
      </c>
      <c r="E13" s="183">
        <f>+Usage!C15</f>
        <v>4900</v>
      </c>
      <c r="F13" s="183">
        <f>+Usage!C17</f>
        <v>4600</v>
      </c>
      <c r="G13" s="183"/>
      <c r="H13" s="18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66"/>
      <c r="B14" s="276" t="s">
        <v>161</v>
      </c>
      <c r="C14" s="58" t="str">
        <f>+C13</f>
        <v>Flat rate</v>
      </c>
      <c r="D14" s="184">
        <f>+Usage!K14</f>
        <v>6800</v>
      </c>
      <c r="E14" s="184">
        <f>+Usage!K15</f>
        <v>7400</v>
      </c>
      <c r="F14" s="184">
        <f>+Usage!K17</f>
        <v>6600</v>
      </c>
      <c r="G14" s="184"/>
      <c r="H14" s="18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x14ac:dyDescent="0.25">
      <c r="A15" s="66"/>
      <c r="B15" s="276" t="s">
        <v>269</v>
      </c>
      <c r="C15" s="58" t="str">
        <f>+C13</f>
        <v>Flat rate</v>
      </c>
      <c r="D15" s="183">
        <f>+Usage!M14</f>
        <v>10000</v>
      </c>
      <c r="E15" s="183">
        <f>+Usage!M15</f>
        <v>10000</v>
      </c>
      <c r="F15" s="183">
        <f>+Usage!M17</f>
        <v>10000</v>
      </c>
      <c r="G15" s="183"/>
      <c r="H15" s="18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66"/>
      <c r="B16" s="62"/>
      <c r="C16" s="58"/>
      <c r="D16" s="183"/>
      <c r="E16" s="183"/>
      <c r="F16" s="183"/>
      <c r="G16" s="183"/>
      <c r="H16" s="18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x14ac:dyDescent="0.25">
      <c r="A17" s="66"/>
      <c r="B17" s="62" t="s">
        <v>270</v>
      </c>
      <c r="C17" s="58"/>
      <c r="D17" s="184"/>
      <c r="E17" s="184"/>
      <c r="F17" s="184"/>
      <c r="G17" s="184"/>
      <c r="H17" s="18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66"/>
      <c r="B18" s="276" t="str">
        <f>+B13</f>
        <v>Residential without CL</v>
      </c>
      <c r="C18" s="58" t="s">
        <v>273</v>
      </c>
      <c r="D18" s="274">
        <f>+D$10*D13/1000</f>
        <v>9.784232873356741</v>
      </c>
      <c r="E18" s="274">
        <f t="shared" ref="D18:F20" si="0">+E$10*E13/1000</f>
        <v>14.326438609185109</v>
      </c>
      <c r="F18" s="274">
        <f t="shared" si="0"/>
        <v>10.281744438197736</v>
      </c>
      <c r="G18" s="183"/>
      <c r="H18" s="18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x14ac:dyDescent="0.25">
      <c r="A19" s="66"/>
      <c r="B19" s="276" t="str">
        <f>+B14</f>
        <v>Residential with CL</v>
      </c>
      <c r="C19" s="58" t="s">
        <v>273</v>
      </c>
      <c r="D19" s="274">
        <f t="shared" si="0"/>
        <v>17.05968808687842</v>
      </c>
      <c r="E19" s="274">
        <f t="shared" si="0"/>
        <v>21.635846062850977</v>
      </c>
      <c r="F19" s="274">
        <f t="shared" si="0"/>
        <v>14.752068106979356</v>
      </c>
      <c r="G19" s="184"/>
      <c r="H19" s="18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66"/>
      <c r="B20" s="276" t="str">
        <f>+B15</f>
        <v>Small Business without CL</v>
      </c>
      <c r="C20" s="58" t="s">
        <v>273</v>
      </c>
      <c r="D20" s="274">
        <f t="shared" si="0"/>
        <v>25.087776598350619</v>
      </c>
      <c r="E20" s="274">
        <f t="shared" si="0"/>
        <v>29.237629814663489</v>
      </c>
      <c r="F20" s="274">
        <f t="shared" si="0"/>
        <v>22.351618343908118</v>
      </c>
      <c r="G20" s="183"/>
      <c r="H20" s="18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66"/>
      <c r="B21" s="66"/>
      <c r="C21" s="66"/>
      <c r="D21" s="66"/>
      <c r="E21" s="66"/>
      <c r="F21" s="66"/>
      <c r="G21" s="66"/>
      <c r="H21" s="6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66"/>
      <c r="B22" s="66"/>
      <c r="C22" s="66"/>
      <c r="D22" s="66"/>
      <c r="E22" s="66"/>
      <c r="F22" s="66"/>
      <c r="G22" s="66"/>
      <c r="H22" s="66"/>
      <c r="I22" s="5" t="s">
        <v>274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66"/>
      <c r="B23" s="66"/>
      <c r="C23" s="66"/>
      <c r="D23" s="66"/>
      <c r="E23" s="66"/>
      <c r="F23" s="66"/>
      <c r="G23" s="66"/>
      <c r="H23" s="6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66"/>
      <c r="B24" s="66"/>
      <c r="C24" s="66"/>
      <c r="D24" s="66"/>
      <c r="E24" s="66"/>
      <c r="F24" s="66"/>
      <c r="G24" s="66"/>
      <c r="H24" s="6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x14ac:dyDescent="0.25">
      <c r="A25" s="66"/>
      <c r="B25" s="66"/>
      <c r="C25" s="66"/>
      <c r="D25" s="66"/>
      <c r="E25" s="66"/>
      <c r="F25" s="66"/>
      <c r="G25" s="66"/>
      <c r="H25" s="6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x14ac:dyDescent="0.25">
      <c r="A26" s="66"/>
      <c r="B26" s="66"/>
      <c r="C26" s="66"/>
      <c r="D26" s="66"/>
      <c r="E26" s="66"/>
      <c r="F26" s="66"/>
      <c r="G26" s="66"/>
      <c r="H26" s="6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x14ac:dyDescent="0.25">
      <c r="A27" s="66"/>
      <c r="B27" s="66"/>
      <c r="C27" s="66"/>
      <c r="D27" s="66"/>
      <c r="E27" s="66"/>
      <c r="F27" s="66"/>
      <c r="G27" s="66"/>
      <c r="H27" s="6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66"/>
      <c r="B28" s="66"/>
      <c r="C28" s="66"/>
      <c r="D28" s="66"/>
      <c r="E28" s="66"/>
      <c r="F28" s="66"/>
      <c r="G28" s="66"/>
      <c r="H28" s="6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x14ac:dyDescent="0.25">
      <c r="A29" s="66"/>
      <c r="B29" s="66"/>
      <c r="C29" s="66"/>
      <c r="D29" s="66"/>
      <c r="E29" s="66"/>
      <c r="F29" s="66"/>
      <c r="G29" s="66"/>
      <c r="H29" s="6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66"/>
      <c r="B30" s="66"/>
      <c r="C30" s="66"/>
      <c r="D30" s="66"/>
      <c r="E30" s="66"/>
      <c r="F30" s="66"/>
      <c r="G30" s="66"/>
      <c r="H30" s="6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66"/>
      <c r="B31" s="66"/>
      <c r="C31" s="66"/>
      <c r="D31" s="66"/>
      <c r="E31" s="66"/>
      <c r="F31" s="66"/>
      <c r="G31" s="66"/>
      <c r="H31" s="6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x14ac:dyDescent="0.25">
      <c r="A32" s="66"/>
      <c r="B32" s="66"/>
      <c r="C32" s="66"/>
      <c r="D32" s="66"/>
      <c r="E32" s="66"/>
      <c r="F32" s="66"/>
      <c r="G32" s="66"/>
      <c r="H32" s="6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x14ac:dyDescent="0.25">
      <c r="A33" s="66"/>
      <c r="B33" s="66"/>
      <c r="C33" s="66"/>
      <c r="D33" s="66"/>
      <c r="E33" s="66"/>
      <c r="F33" s="66"/>
      <c r="G33" s="66"/>
      <c r="H33" s="6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x14ac:dyDescent="0.25">
      <c r="A34" s="66"/>
      <c r="B34" s="66"/>
      <c r="C34" s="66"/>
      <c r="D34" s="66"/>
      <c r="E34" s="66"/>
      <c r="F34" s="66"/>
      <c r="G34" s="66"/>
      <c r="H34" s="6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x14ac:dyDescent="0.25">
      <c r="A35" s="66"/>
      <c r="B35" s="66"/>
      <c r="C35" s="66"/>
      <c r="D35" s="66"/>
      <c r="E35" s="66"/>
      <c r="F35" s="66"/>
      <c r="G35" s="66"/>
      <c r="H35" s="6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36" s="66"/>
      <c r="B36" s="66"/>
      <c r="C36" s="66"/>
      <c r="D36" s="66"/>
      <c r="E36" s="66"/>
      <c r="F36" s="66"/>
      <c r="G36" s="66"/>
      <c r="H36" s="6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x14ac:dyDescent="0.25">
      <c r="A37" s="66"/>
      <c r="B37" s="66"/>
      <c r="C37" s="66"/>
      <c r="D37" s="66"/>
      <c r="E37" s="66"/>
      <c r="F37" s="66"/>
      <c r="G37" s="66"/>
      <c r="H37" s="6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A38" s="66"/>
      <c r="B38" s="66"/>
      <c r="C38" s="66"/>
      <c r="D38" s="66"/>
      <c r="E38" s="66"/>
      <c r="F38" s="66"/>
      <c r="G38" s="66"/>
      <c r="H38" s="6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x14ac:dyDescent="0.25">
      <c r="A39" s="66"/>
      <c r="B39" s="66"/>
      <c r="C39" s="66"/>
      <c r="D39" s="66"/>
      <c r="E39" s="66"/>
      <c r="F39" s="66"/>
      <c r="G39" s="66"/>
      <c r="H39" s="6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x14ac:dyDescent="0.25">
      <c r="A40" s="66"/>
      <c r="B40" s="66"/>
      <c r="C40" s="66"/>
      <c r="D40" s="66"/>
      <c r="E40" s="66"/>
      <c r="F40" s="66"/>
      <c r="G40" s="66"/>
      <c r="H40" s="6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x14ac:dyDescent="0.25">
      <c r="A41" s="66"/>
      <c r="B41" s="66"/>
      <c r="C41" s="66"/>
      <c r="D41" s="66"/>
      <c r="E41" s="66"/>
      <c r="F41" s="66"/>
      <c r="G41" s="66"/>
      <c r="H41" s="6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x14ac:dyDescent="0.25">
      <c r="A42" s="66"/>
      <c r="B42" s="66"/>
      <c r="C42" s="66"/>
      <c r="D42" s="66"/>
      <c r="E42" s="66"/>
      <c r="F42" s="66"/>
      <c r="G42" s="66"/>
      <c r="H42" s="6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x14ac:dyDescent="0.25">
      <c r="A43" s="66"/>
      <c r="B43" s="66"/>
      <c r="C43" s="66"/>
      <c r="D43" s="66"/>
      <c r="E43" s="66"/>
      <c r="F43" s="66"/>
      <c r="G43" s="66"/>
      <c r="H43" s="6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x14ac:dyDescent="0.25">
      <c r="A44" s="66"/>
      <c r="B44" s="66"/>
      <c r="C44" s="66"/>
      <c r="D44" s="66"/>
      <c r="E44" s="66"/>
      <c r="F44" s="66"/>
      <c r="G44" s="66"/>
      <c r="H44" s="6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x14ac:dyDescent="0.25">
      <c r="A45" s="66"/>
      <c r="B45" s="66"/>
      <c r="C45" s="66"/>
      <c r="D45" s="66"/>
      <c r="E45" s="66"/>
      <c r="F45" s="66"/>
      <c r="G45" s="66"/>
      <c r="H45" s="6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x14ac:dyDescent="0.25">
      <c r="A46" s="66"/>
      <c r="B46" s="66"/>
      <c r="C46" s="66"/>
      <c r="D46" s="66"/>
      <c r="E46" s="66"/>
      <c r="F46" s="66"/>
      <c r="G46" s="66"/>
      <c r="H46" s="6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x14ac:dyDescent="0.25">
      <c r="A47" s="66"/>
      <c r="B47" s="66"/>
      <c r="C47" s="66"/>
      <c r="D47" s="66"/>
      <c r="E47" s="66"/>
      <c r="F47" s="66"/>
      <c r="G47" s="66"/>
      <c r="H47" s="6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x14ac:dyDescent="0.25">
      <c r="A48" s="66"/>
      <c r="B48" s="66"/>
      <c r="C48" s="66"/>
      <c r="D48" s="66"/>
      <c r="E48" s="66"/>
      <c r="F48" s="66"/>
      <c r="G48" s="66"/>
      <c r="H48" s="6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x14ac:dyDescent="0.25">
      <c r="A49" s="66"/>
      <c r="B49" s="66"/>
      <c r="C49" s="66"/>
      <c r="D49" s="66"/>
      <c r="E49" s="66"/>
      <c r="F49" s="66"/>
      <c r="G49" s="66"/>
      <c r="H49" s="6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x14ac:dyDescent="0.25">
      <c r="A50" s="66"/>
      <c r="B50" s="66"/>
      <c r="C50" s="66"/>
      <c r="D50" s="66"/>
      <c r="E50" s="66"/>
      <c r="F50" s="66"/>
      <c r="G50" s="66"/>
      <c r="H50" s="6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x14ac:dyDescent="0.25">
      <c r="A51" s="66"/>
      <c r="B51" s="66"/>
      <c r="C51" s="66"/>
      <c r="D51" s="66"/>
      <c r="E51" s="66"/>
      <c r="F51" s="66"/>
      <c r="G51" s="66"/>
      <c r="H51" s="6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x14ac:dyDescent="0.25">
      <c r="A52" s="66"/>
      <c r="B52" s="66"/>
      <c r="C52" s="66"/>
      <c r="D52" s="66"/>
      <c r="E52" s="66"/>
      <c r="F52" s="66"/>
      <c r="G52" s="66"/>
      <c r="H52" s="6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x14ac:dyDescent="0.25">
      <c r="A53" s="66"/>
      <c r="B53" s="66"/>
      <c r="C53" s="66"/>
      <c r="D53" s="66"/>
      <c r="E53" s="66"/>
      <c r="F53" s="66"/>
      <c r="G53" s="66"/>
      <c r="H53" s="6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x14ac:dyDescent="0.25">
      <c r="A54" s="66"/>
      <c r="B54" s="66"/>
      <c r="C54" s="66"/>
      <c r="D54" s="66"/>
      <c r="E54" s="66"/>
      <c r="F54" s="66"/>
      <c r="G54" s="66"/>
      <c r="H54" s="6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x14ac:dyDescent="0.25">
      <c r="A55" s="66"/>
      <c r="B55" s="66"/>
      <c r="C55" s="66"/>
      <c r="D55" s="66"/>
      <c r="E55" s="66"/>
      <c r="F55" s="66"/>
      <c r="G55" s="66"/>
      <c r="H55" s="6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x14ac:dyDescent="0.25">
      <c r="A56" s="66"/>
      <c r="B56" s="66"/>
      <c r="C56" s="66"/>
      <c r="D56" s="66"/>
      <c r="E56" s="66"/>
      <c r="F56" s="66"/>
      <c r="G56" s="66"/>
      <c r="H56" s="6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x14ac:dyDescent="0.25">
      <c r="A57" s="66"/>
      <c r="B57" s="66"/>
      <c r="C57" s="66"/>
      <c r="D57" s="66"/>
      <c r="E57" s="66"/>
      <c r="F57" s="66"/>
      <c r="G57" s="66"/>
      <c r="H57" s="6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x14ac:dyDescent="0.25">
      <c r="A58" s="66"/>
      <c r="B58" s="66"/>
      <c r="C58" s="66"/>
      <c r="D58" s="66"/>
      <c r="E58" s="66"/>
      <c r="F58" s="66"/>
      <c r="G58" s="66"/>
      <c r="H58" s="6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x14ac:dyDescent="0.25">
      <c r="A59" s="66"/>
      <c r="B59" s="66"/>
      <c r="C59" s="66"/>
      <c r="D59" s="66"/>
      <c r="E59" s="66"/>
      <c r="F59" s="66"/>
      <c r="G59" s="66"/>
      <c r="H59" s="6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</sheetData>
  <mergeCells count="1">
    <mergeCell ref="A1:B1"/>
  </mergeCells>
  <conditionalFormatting sqref="B6:H9">
    <cfRule type="expression" dxfId="2" priority="2">
      <formula>MOD(ROW(),2)=0</formula>
    </cfRule>
  </conditionalFormatting>
  <conditionalFormatting sqref="B10:H20">
    <cfRule type="expression" dxfId="1" priority="1">
      <formula>MOD(ROW(),2)=0</formula>
    </cfRule>
  </conditionalFormatting>
  <hyperlinks>
    <hyperlink ref="A1" location="Index!A1" display="&lt;&lt;Back to Index" xr:uid="{09A9F4CC-AD60-48B7-9DF8-949B633B5318}"/>
  </hyperlinks>
  <pageMargins left="0.7" right="0.7" top="0.75" bottom="0.75" header="0.3" footer="0.3"/>
  <headerFooter>
    <oddHeader>&amp;C&amp;"Calibri"&amp;12&amp;KFF0000 OFFICIAL&amp;1#_x000D_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M20"/>
  <sheetViews>
    <sheetView workbookViewId="0">
      <selection sqref="A1:B1"/>
    </sheetView>
  </sheetViews>
  <sheetFormatPr defaultColWidth="8.85546875" defaultRowHeight="15" x14ac:dyDescent="0.25"/>
  <cols>
    <col min="1" max="1" width="1.85546875" style="66" customWidth="1"/>
    <col min="2" max="11" width="10.85546875" style="66" customWidth="1"/>
    <col min="12" max="13" width="15.85546875" style="66" customWidth="1"/>
    <col min="14" max="16384" width="8.85546875" style="66"/>
  </cols>
  <sheetData>
    <row r="1" spans="1:13" s="3" customFormat="1" ht="10.35" customHeight="1" x14ac:dyDescent="0.25">
      <c r="A1" s="286" t="s">
        <v>21</v>
      </c>
      <c r="B1" s="291"/>
      <c r="C1" s="20"/>
      <c r="D1" s="20"/>
      <c r="E1" s="20"/>
      <c r="F1" s="20"/>
      <c r="G1" s="20"/>
    </row>
    <row r="2" spans="1:13" s="14" customFormat="1" ht="22.5" customHeight="1" x14ac:dyDescent="0.25">
      <c r="A2" s="15" t="s">
        <v>172</v>
      </c>
      <c r="B2" s="15"/>
      <c r="C2" s="21"/>
      <c r="D2" s="21"/>
      <c r="E2" s="21"/>
      <c r="F2" s="21"/>
      <c r="G2" s="21"/>
    </row>
    <row r="3" spans="1:13" x14ac:dyDescent="0.25">
      <c r="B3" s="29" t="s">
        <v>2</v>
      </c>
    </row>
    <row r="4" spans="1:13" hidden="1" x14ac:dyDescent="0.25">
      <c r="B4" s="133"/>
      <c r="C4" s="133"/>
      <c r="D4" s="20" t="s">
        <v>6</v>
      </c>
      <c r="E4" s="20" t="s">
        <v>6</v>
      </c>
      <c r="F4" s="20" t="s">
        <v>6</v>
      </c>
      <c r="G4" s="20" t="s">
        <v>6</v>
      </c>
      <c r="H4" s="20" t="s">
        <v>6</v>
      </c>
      <c r="I4" s="20" t="s">
        <v>6</v>
      </c>
      <c r="J4" s="20" t="s">
        <v>6</v>
      </c>
      <c r="K4" s="20" t="s">
        <v>6</v>
      </c>
      <c r="L4" s="134" t="s">
        <v>15</v>
      </c>
      <c r="M4" s="134" t="s">
        <v>15</v>
      </c>
    </row>
    <row r="5" spans="1:13" hidden="1" x14ac:dyDescent="0.25">
      <c r="B5" s="133"/>
      <c r="C5" s="133"/>
      <c r="D5" s="134" t="s">
        <v>146</v>
      </c>
      <c r="E5" s="134" t="s">
        <v>146</v>
      </c>
      <c r="F5" s="134" t="s">
        <v>147</v>
      </c>
      <c r="G5" s="134" t="s">
        <v>147</v>
      </c>
      <c r="H5" s="134" t="s">
        <v>147</v>
      </c>
      <c r="I5" s="134" t="s">
        <v>147</v>
      </c>
      <c r="J5" s="134" t="s">
        <v>147</v>
      </c>
      <c r="K5" s="134" t="s">
        <v>147</v>
      </c>
      <c r="L5" s="134" t="s">
        <v>146</v>
      </c>
      <c r="M5" s="134" t="s">
        <v>146</v>
      </c>
    </row>
    <row r="6" spans="1:13" hidden="1" x14ac:dyDescent="0.25">
      <c r="B6" s="22"/>
      <c r="C6" s="22"/>
      <c r="D6" s="20" t="s">
        <v>61</v>
      </c>
      <c r="E6" s="20" t="s">
        <v>61</v>
      </c>
      <c r="F6" s="20" t="s">
        <v>16</v>
      </c>
      <c r="G6" s="20" t="s">
        <v>17</v>
      </c>
      <c r="H6" s="20" t="s">
        <v>61</v>
      </c>
      <c r="I6" s="20" t="s">
        <v>16</v>
      </c>
      <c r="J6" s="20" t="s">
        <v>17</v>
      </c>
      <c r="K6" s="20" t="s">
        <v>61</v>
      </c>
      <c r="L6" s="20" t="s">
        <v>61</v>
      </c>
      <c r="M6" s="20" t="s">
        <v>61</v>
      </c>
    </row>
    <row r="7" spans="1:13" x14ac:dyDescent="0.25">
      <c r="B7" s="327" t="s">
        <v>35</v>
      </c>
      <c r="C7" s="342" t="s">
        <v>171</v>
      </c>
      <c r="D7" s="327" t="str">
        <f>D4&amp;" "&amp;D5</f>
        <v>Residential without CL</v>
      </c>
      <c r="E7" s="327"/>
      <c r="F7" s="327" t="str">
        <f>F4&amp;" "&amp;F5</f>
        <v>Residential with CL</v>
      </c>
      <c r="G7" s="327"/>
      <c r="H7" s="327"/>
      <c r="I7" s="327"/>
      <c r="J7" s="327"/>
      <c r="K7" s="327"/>
      <c r="L7" s="327" t="str">
        <f>L4&amp;" "&amp;L5</f>
        <v>Small business without CL</v>
      </c>
      <c r="M7" s="327"/>
    </row>
    <row r="8" spans="1:13" x14ac:dyDescent="0.25">
      <c r="B8" s="327"/>
      <c r="C8" s="342"/>
      <c r="D8" s="12" t="s">
        <v>22</v>
      </c>
      <c r="E8" s="12" t="s">
        <v>22</v>
      </c>
      <c r="F8" s="12" t="s">
        <v>16</v>
      </c>
      <c r="G8" s="12" t="s">
        <v>17</v>
      </c>
      <c r="H8" s="12" t="s">
        <v>18</v>
      </c>
      <c r="I8" s="12" t="s">
        <v>16</v>
      </c>
      <c r="J8" s="12" t="s">
        <v>17</v>
      </c>
      <c r="K8" s="12" t="s">
        <v>18</v>
      </c>
      <c r="L8" s="12" t="s">
        <v>22</v>
      </c>
      <c r="M8" s="12" t="s">
        <v>22</v>
      </c>
    </row>
    <row r="9" spans="1:13" x14ac:dyDescent="0.25">
      <c r="B9" s="327"/>
      <c r="C9" s="342"/>
      <c r="D9" s="12" t="s">
        <v>168</v>
      </c>
      <c r="E9" s="12" t="str">
        <f>PY</f>
        <v>2022-23</v>
      </c>
      <c r="F9" s="12" t="s">
        <v>168</v>
      </c>
      <c r="G9" s="12" t="s">
        <v>168</v>
      </c>
      <c r="H9" s="12" t="s">
        <v>168</v>
      </c>
      <c r="I9" s="12" t="str">
        <f>PY</f>
        <v>2022-23</v>
      </c>
      <c r="J9" s="12" t="str">
        <f>PY</f>
        <v>2022-23</v>
      </c>
      <c r="K9" s="12" t="str">
        <f>PY</f>
        <v>2022-23</v>
      </c>
      <c r="L9" s="12" t="s">
        <v>168</v>
      </c>
      <c r="M9" s="12" t="str">
        <f>PY</f>
        <v>2022-23</v>
      </c>
    </row>
    <row r="10" spans="1:13" x14ac:dyDescent="0.25">
      <c r="B10" s="22" t="s">
        <v>27</v>
      </c>
      <c r="C10" s="22"/>
      <c r="D10" s="13">
        <f t="array" ref="D10">INDEX(Usage!$B$4:$M$18,MATCH("Ausgrid",Usage!$B$4:$B$18,0),MATCH(D$4&amp;D$5&amp;D$8&amp;D$6,Usage!$B$5:$M$5&amp;Usage!$B$6:$M$6&amp;Usage!$B$7:$M$7&amp;Usage!$B$13:$M$13,0))</f>
        <v>3900</v>
      </c>
      <c r="E10" s="13">
        <f t="array" ref="E10">INDEX(Usage!$B$4:$M$18,MATCH("Ausgrid",Usage!$B$4:$B$18,0),MATCH(E$4&amp;E$5&amp;E$8&amp;E$6,Usage!$B$5:$M$5&amp;Usage!$B$6:$M$6&amp;Usage!$B$7:$M$7&amp;Usage!$B$13:$M$13,0))</f>
        <v>3900</v>
      </c>
      <c r="F10" s="13">
        <f t="array" ref="F10">INDEX(Usage!$B$4:$M$18,MATCH("Ausgrid",Usage!$B$4:$B$18,0),MATCH(F$4&amp;F$5&amp;F$8&amp;F$6,Usage!$B$5:$M$5&amp;Usage!$B$6:$M$6&amp;Usage!$B$7:$M$7&amp;Usage!$B$13:$M$13,0))</f>
        <v>1340</v>
      </c>
      <c r="G10" s="13">
        <f t="array" ref="G10">INDEX(Usage!$B$4:$M$18,MATCH("Ausgrid",Usage!$B$4:$B$18,0),MATCH(G$4&amp;G$5&amp;G$8&amp;G$6,Usage!$B$5:$M$5&amp;Usage!$B$6:$M$6&amp;Usage!$B$7:$M$7&amp;Usage!$B$13:$M$13,0))</f>
        <v>660</v>
      </c>
      <c r="H10" s="13">
        <f t="array" ref="H10">INDEX(Usage!$B$4:$M$18,MATCH("Ausgrid",Usage!$B$4:$B$18,0),MATCH(H$4&amp;H$5&amp;H$8&amp;H$6,Usage!$B$5:$M$5&amp;Usage!$B$6:$M$6&amp;Usage!$B$7:$M$7&amp;Usage!$B$13:$M$13,0))</f>
        <v>2000</v>
      </c>
      <c r="I10" s="13">
        <f t="array" ref="I10">INDEX(Usage!$B$4:$M$18,MATCH("Ausgrid",Usage!$B$4:$B$18,0),MATCH(I$4&amp;I$5&amp;I$8&amp;I$6,Usage!$B$5:$M$5&amp;Usage!$B$6:$M$6&amp;Usage!$B$7:$M$7&amp;Usage!$B$13:$M$13,0))</f>
        <v>1340</v>
      </c>
      <c r="J10" s="13">
        <f t="array" ref="J10">INDEX(Usage!$B$4:$M$18,MATCH("Ausgrid",Usage!$B$4:$B$18,0),MATCH(J$4&amp;J$5&amp;J$8&amp;J$6,Usage!$B$5:$M$5&amp;Usage!$B$6:$M$6&amp;Usage!$B$7:$M$7&amp;Usage!$B$13:$M$13,0))</f>
        <v>660</v>
      </c>
      <c r="K10" s="13">
        <f t="array" ref="K10">INDEX(Usage!$B$4:$M$18,MATCH("Ausgrid",Usage!$B$4:$B$18,0),MATCH(K$4&amp;K$5&amp;K$8&amp;K$6,Usage!$B$5:$M$5&amp;Usage!$B$6:$M$6&amp;Usage!$B$7:$M$7&amp;Usage!$B$13:$M$13,0))</f>
        <v>2000</v>
      </c>
      <c r="L10" s="13">
        <f t="array" ref="L10">INDEX(Usage!$B$4:$M$18,MATCH("Ausgrid",Usage!$B$4:$B$18,0),MATCH(L$4&amp;L$5&amp;L$8&amp;L$6,Usage!$B$5:$M$5&amp;Usage!$B$6:$M$6&amp;Usage!$B$7:$M$7&amp;Usage!$B$13:$M$13,0))</f>
        <v>10000</v>
      </c>
      <c r="M10" s="13">
        <f t="array" ref="M10">INDEX(Usage!$B$4:$M$18,MATCH("Ausgrid",Usage!$B$4:$B$18,0),MATCH(M$4&amp;M$5&amp;M$8&amp;M$6,Usage!$B$5:$M$5&amp;Usage!$B$6:$M$6&amp;Usage!$B$7:$M$7&amp;Usage!$B$13:$M$13,0))</f>
        <v>10000</v>
      </c>
    </row>
    <row r="11" spans="1:13" x14ac:dyDescent="0.25">
      <c r="B11" s="22" t="s">
        <v>56</v>
      </c>
      <c r="C11" s="22" t="s">
        <v>49</v>
      </c>
      <c r="D11" s="63">
        <f>36.452*3.65</f>
        <v>133.04979999999998</v>
      </c>
      <c r="E11" s="63" t="e">
        <f t="array" ref="E11">INDEX('Detail inputs'!$B$3:$K$196,MATCH($B$3&amp;E$4&amp;E$5&amp;E$8&amp;$B11&amp;$C11,'Detail inputs'!$B$3:$B$196&amp;'Detail inputs'!$D$3:$D$196&amp;'Detail inputs'!$E$3:$E$196&amp;'Detail inputs'!$F$3:$F$196&amp;'Detail inputs'!$G$3:$G$196&amp;'Detail inputs'!$H$3:$H$196,0),MATCH(E$9,'Detail inputs'!$B$3:$K$3,0))</f>
        <v>#N/A</v>
      </c>
      <c r="F11" s="63">
        <f>0.1482*3.65</f>
        <v>0.54093000000000002</v>
      </c>
      <c r="G11" s="63">
        <f>10.8544*3.65</f>
        <v>39.618560000000002</v>
      </c>
      <c r="H11" s="20"/>
      <c r="I11" s="63" t="e">
        <f t="array" ref="I11">INDEX('Detail inputs'!$B$3:$K$196,MATCH($B$3&amp;I$4&amp;I$5&amp;I$8&amp;$B11&amp;$C11,'Detail inputs'!$B$3:$B$196&amp;'Detail inputs'!$D$3:$D$196&amp;'Detail inputs'!$E$3:$E$196&amp;'Detail inputs'!$F$3:$F$196&amp;'Detail inputs'!$G$3:$G$196&amp;'Detail inputs'!$H$3:$H$196,0),MATCH(I$9,'Detail inputs'!$B$3:$K$3,0))</f>
        <v>#N/A</v>
      </c>
      <c r="J11" s="63" t="e">
        <f t="array" ref="J11">INDEX('Detail inputs'!$B$3:$K$196,MATCH($B$3&amp;J$4&amp;J$5&amp;J$8&amp;$B11&amp;$C11,'Detail inputs'!$B$3:$B$196&amp;'Detail inputs'!$D$3:$D$196&amp;'Detail inputs'!$E$3:$E$196&amp;'Detail inputs'!$F$3:$F$196&amp;'Detail inputs'!$G$3:$G$196&amp;'Detail inputs'!$H$3:$H$196,0),MATCH(J$9,'Detail inputs'!$B$3:$K$3,0))</f>
        <v>#N/A</v>
      </c>
      <c r="K11" s="135"/>
      <c r="L11" s="63">
        <f>130.1169*3.65</f>
        <v>474.92668499999996</v>
      </c>
      <c r="M11" s="63" t="e">
        <f t="array" ref="M11">INDEX('Detail inputs'!$B$3:$K$196,MATCH($B$3&amp;M$4&amp;M$5&amp;M$8&amp;$B11&amp;$C11,'Detail inputs'!$B$3:$B$196&amp;'Detail inputs'!$D$3:$D$196&amp;'Detail inputs'!$E$3:$E$196&amp;'Detail inputs'!$F$3:$F$196&amp;'Detail inputs'!$G$3:$G$196&amp;'Detail inputs'!$H$3:$H$196,0),MATCH(M$9,'Detail inputs'!$B$3:$K$3,0))</f>
        <v>#N/A</v>
      </c>
    </row>
    <row r="12" spans="1:13" x14ac:dyDescent="0.25">
      <c r="B12" s="22" t="s">
        <v>56</v>
      </c>
      <c r="C12" s="22" t="s">
        <v>50</v>
      </c>
      <c r="D12" s="63">
        <f>4.9965*10</f>
        <v>49.965000000000003</v>
      </c>
      <c r="E12" s="63" t="e">
        <f t="array" ref="E12">INDEX('Detail inputs'!$B$3:$K$196,MATCH($B$3&amp;E$4&amp;E$5&amp;E$8&amp;$B12&amp;$C12,'Detail inputs'!$B$3:$B$196&amp;'Detail inputs'!$D$3:$D$196&amp;'Detail inputs'!$E$3:$E$196&amp;'Detail inputs'!$F$3:$F$196&amp;'Detail inputs'!$G$3:$G$196&amp;'Detail inputs'!$H$3:$H$196,0),MATCH(E$9,'Detail inputs'!$B$3:$K$3,0))</f>
        <v>#N/A</v>
      </c>
      <c r="F12" s="63">
        <v>0</v>
      </c>
      <c r="G12" s="63">
        <v>0</v>
      </c>
      <c r="H12" s="20"/>
      <c r="I12" s="63">
        <v>0</v>
      </c>
      <c r="J12" s="63">
        <v>0</v>
      </c>
      <c r="K12" s="20"/>
      <c r="L12" s="63">
        <f>4.4493*10</f>
        <v>44.493000000000002</v>
      </c>
      <c r="M12" s="63" t="e">
        <f t="array" ref="M12">INDEX('Detail inputs'!$B$3:$K$196,MATCH($B$3&amp;M$4&amp;M$5&amp;M$8&amp;$B12&amp;$C12,'Detail inputs'!$B$3:$B$196&amp;'Detail inputs'!$D$3:$D$196&amp;'Detail inputs'!$E$3:$E$196&amp;'Detail inputs'!$F$3:$F$196&amp;'Detail inputs'!$G$3:$G$196&amp;'Detail inputs'!$H$3:$H$196,0),MATCH(M$9,'Detail inputs'!$B$3:$K$3,0))</f>
        <v>#N/A</v>
      </c>
    </row>
    <row r="13" spans="1:13" x14ac:dyDescent="0.25">
      <c r="B13" s="22" t="s">
        <v>57</v>
      </c>
      <c r="C13" s="22" t="s">
        <v>50</v>
      </c>
      <c r="D13" s="63">
        <f>4.8897*10</f>
        <v>48.897000000000006</v>
      </c>
      <c r="E13" s="63" t="e">
        <f t="array" ref="E13">INDEX('Detail inputs'!$B$3:$K$196,MATCH($B$3&amp;E$4&amp;E$5&amp;E$8&amp;$B13&amp;$C13,'Detail inputs'!$B$3:$B$196&amp;'Detail inputs'!$D$3:$D$196&amp;'Detail inputs'!$E$3:$E$196&amp;'Detail inputs'!$F$3:$F$196&amp;'Detail inputs'!$G$3:$G$196&amp;'Detail inputs'!$H$3:$H$196,0),MATCH(E$9,'Detail inputs'!$B$3:$K$3,0))</f>
        <v>#N/A</v>
      </c>
      <c r="F13" s="63">
        <f>1.4622*10</f>
        <v>14.622</v>
      </c>
      <c r="G13" s="63">
        <f>4.3867*10</f>
        <v>43.867000000000004</v>
      </c>
      <c r="H13" s="20"/>
      <c r="I13" s="63" t="e">
        <f t="array" ref="I13">INDEX('Detail inputs'!$B$3:$K$196,MATCH($B$3&amp;I$4&amp;I$5&amp;I$8&amp;$B13&amp;$C13,'Detail inputs'!$B$3:$B$196&amp;'Detail inputs'!$D$3:$D$196&amp;'Detail inputs'!$E$3:$E$196&amp;'Detail inputs'!$F$3:$F$196&amp;'Detail inputs'!$G$3:$G$196&amp;'Detail inputs'!$H$3:$H$196,0),MATCH(I$9,'Detail inputs'!$B$3:$K$3,0))</f>
        <v>#N/A</v>
      </c>
      <c r="J13" s="63" t="e">
        <f t="array" ref="J13">INDEX('Detail inputs'!$B$3:$K$196,MATCH($B$3&amp;J$4&amp;J$5&amp;J$8&amp;$B13&amp;$C13,'Detail inputs'!$B$3:$B$196&amp;'Detail inputs'!$D$3:$D$196&amp;'Detail inputs'!$E$3:$E$196&amp;'Detail inputs'!$F$3:$F$196&amp;'Detail inputs'!$G$3:$G$196&amp;'Detail inputs'!$H$3:$H$196,0),MATCH(J$9,'Detail inputs'!$B$3:$K$3,0))</f>
        <v>#N/A</v>
      </c>
      <c r="K13" s="20"/>
      <c r="L13" s="63">
        <f>4.9895*10</f>
        <v>49.894999999999996</v>
      </c>
      <c r="M13" s="63" t="e">
        <f t="array" ref="M13">INDEX('Detail inputs'!$B$3:$K$196,MATCH($B$3&amp;M$4&amp;M$5&amp;M$8&amp;$B13&amp;$C13,'Detail inputs'!$B$3:$B$196&amp;'Detail inputs'!$D$3:$D$196&amp;'Detail inputs'!$E$3:$E$196&amp;'Detail inputs'!$F$3:$F$196&amp;'Detail inputs'!$G$3:$G$196&amp;'Detail inputs'!$H$3:$H$196,0),MATCH(M$9,'Detail inputs'!$B$3:$K$3,0))</f>
        <v>#N/A</v>
      </c>
    </row>
    <row r="14" spans="1:13" x14ac:dyDescent="0.25">
      <c r="B14" s="22" t="s">
        <v>58</v>
      </c>
      <c r="C14" s="22" t="s">
        <v>50</v>
      </c>
      <c r="D14" s="63">
        <f>0.2922*10</f>
        <v>2.9220000000000002</v>
      </c>
      <c r="E14" s="63" t="e">
        <f t="array" ref="E14">INDEX('Detail inputs'!$B$3:$K$196,MATCH($B$3&amp;E$4&amp;E$5&amp;E$8&amp;$B14&amp;$C14,'Detail inputs'!$B$3:$B$196&amp;'Detail inputs'!$D$3:$D$196&amp;'Detail inputs'!$E$3:$E$196&amp;'Detail inputs'!$F$3:$F$196&amp;'Detail inputs'!$G$3:$G$196&amp;'Detail inputs'!$H$3:$H$196,0),MATCH(E$9,'Detail inputs'!$B$3:$K$3,0))</f>
        <v>#N/A</v>
      </c>
      <c r="F14" s="63">
        <f>0.29*10</f>
        <v>2.9</v>
      </c>
      <c r="G14" s="63">
        <f>0.24*10</f>
        <v>2.4</v>
      </c>
      <c r="H14" s="20"/>
      <c r="I14" s="63" t="e">
        <f t="array" ref="I14">INDEX('Detail inputs'!$B$3:$K$196,MATCH($B$3&amp;I$4&amp;I$5&amp;I$8&amp;$B14&amp;$C14,'Detail inputs'!$B$3:$B$196&amp;'Detail inputs'!$D$3:$D$196&amp;'Detail inputs'!$E$3:$E$196&amp;'Detail inputs'!$F$3:$F$196&amp;'Detail inputs'!$G$3:$G$196&amp;'Detail inputs'!$H$3:$H$196,0),MATCH(I$9,'Detail inputs'!$B$3:$K$3,0))</f>
        <v>#N/A</v>
      </c>
      <c r="J14" s="63" t="e">
        <f t="array" ref="J14">INDEX('Detail inputs'!$B$3:$K$196,MATCH($B$3&amp;J$4&amp;J$5&amp;J$8&amp;$B14&amp;$C14,'Detail inputs'!$B$3:$B$196&amp;'Detail inputs'!$D$3:$D$196&amp;'Detail inputs'!$E$3:$E$196&amp;'Detail inputs'!$F$3:$F$196&amp;'Detail inputs'!$G$3:$G$196&amp;'Detail inputs'!$H$3:$H$196,0),MATCH(J$9,'Detail inputs'!$B$3:$K$3,0))</f>
        <v>#N/A</v>
      </c>
      <c r="K14" s="20"/>
      <c r="L14" s="63">
        <f>0.477*10</f>
        <v>4.7699999999999996</v>
      </c>
      <c r="M14" s="63" t="e">
        <f t="array" ref="M14">INDEX('Detail inputs'!$B$3:$K$196,MATCH($B$3&amp;M$4&amp;M$5&amp;M$8&amp;$B14&amp;$C14,'Detail inputs'!$B$3:$B$196&amp;'Detail inputs'!$D$3:$D$196&amp;'Detail inputs'!$E$3:$E$196&amp;'Detail inputs'!$F$3:$F$196&amp;'Detail inputs'!$G$3:$G$196&amp;'Detail inputs'!$H$3:$H$196,0),MATCH(M$9,'Detail inputs'!$B$3:$K$3,0))</f>
        <v>#N/A</v>
      </c>
    </row>
    <row r="15" spans="1:13" x14ac:dyDescent="0.25">
      <c r="B15" s="22" t="s">
        <v>67</v>
      </c>
      <c r="C15" s="22" t="s">
        <v>49</v>
      </c>
      <c r="D15" s="63">
        <f>(19.83+9.65)</f>
        <v>29.479999999999997</v>
      </c>
      <c r="E15" s="63" t="e">
        <f t="array" ref="E15">INDEX('Detail inputs'!$B$3:$K$196,MATCH($B$3&amp;E$4&amp;E$5&amp;E$8&amp;$B15&amp;$C15,'Detail inputs'!$B$3:$B$196&amp;'Detail inputs'!$D$3:$D$196&amp;'Detail inputs'!$E$3:$E$196&amp;'Detail inputs'!$F$3:$F$196&amp;'Detail inputs'!$G$3:$G$196&amp;'Detail inputs'!$H$3:$H$196,0),MATCH(E$9,'Detail inputs'!$B$3:$K$3,0))</f>
        <v>#N/A</v>
      </c>
      <c r="F15" s="63">
        <f>11.02+0.81</f>
        <v>11.83</v>
      </c>
      <c r="G15" s="63">
        <f>F15</f>
        <v>11.83</v>
      </c>
      <c r="H15" s="20"/>
      <c r="I15" s="63" t="e">
        <f t="array" ref="I15">INDEX('Detail inputs'!$B$3:$K$196,MATCH($B$3&amp;I$4&amp;I$5&amp;I$8&amp;$B15&amp;$C15,'Detail inputs'!$B$3:$B$196&amp;'Detail inputs'!$D$3:$D$196&amp;'Detail inputs'!$E$3:$E$196&amp;'Detail inputs'!$F$3:$F$196&amp;'Detail inputs'!$G$3:$G$196&amp;'Detail inputs'!$H$3:$H$196,0),MATCH(I$9,'Detail inputs'!$B$3:$K$3,0))</f>
        <v>#N/A</v>
      </c>
      <c r="J15" s="63" t="e">
        <f t="array" ref="J15">INDEX('Detail inputs'!$B$3:$K$196,MATCH($B$3&amp;J$4&amp;J$5&amp;J$8&amp;$B15&amp;$C15,'Detail inputs'!$B$3:$B$196&amp;'Detail inputs'!$D$3:$D$196&amp;'Detail inputs'!$E$3:$E$196&amp;'Detail inputs'!$F$3:$F$196&amp;'Detail inputs'!$G$3:$G$196&amp;'Detail inputs'!$H$3:$H$196,0),MATCH(J$9,'Detail inputs'!$B$3:$K$3,0))</f>
        <v>#N/A</v>
      </c>
      <c r="K15" s="20"/>
      <c r="L15" s="63">
        <f>21.07+27.41</f>
        <v>48.480000000000004</v>
      </c>
      <c r="M15" s="63" t="e">
        <f t="array" ref="M15">INDEX('Detail inputs'!$B$3:$K$196,MATCH($B$3&amp;M$4&amp;M$5&amp;M$8&amp;$B15&amp;$C15,'Detail inputs'!$B$3:$B$196&amp;'Detail inputs'!$D$3:$D$196&amp;'Detail inputs'!$E$3:$E$196&amp;'Detail inputs'!$F$3:$F$196&amp;'Detail inputs'!$G$3:$G$196&amp;'Detail inputs'!$H$3:$H$196,0),MATCH(M$9,'Detail inputs'!$B$3:$K$3,0))</f>
        <v>#N/A</v>
      </c>
    </row>
    <row r="16" spans="1:13" x14ac:dyDescent="0.25">
      <c r="B16" s="22" t="s">
        <v>61</v>
      </c>
      <c r="C16" s="22"/>
      <c r="D16" s="63">
        <f>SUM(D11,D15)+SUM(D12:D14)/1000*D10</f>
        <v>559.48739999999998</v>
      </c>
      <c r="E16" s="63" t="e">
        <f>SUM(E11,E15)+SUM(E12:E14)/1000*E10</f>
        <v>#N/A</v>
      </c>
      <c r="F16" s="63">
        <f>SUM(F11,F15)+SUM(F12:F14)/1000*F10</f>
        <v>35.850409999999997</v>
      </c>
      <c r="G16" s="63">
        <f>SUM(G11,G15)+SUM(G12:G14)/1000*G10</f>
        <v>81.984780000000001</v>
      </c>
      <c r="H16" s="63" t="e">
        <f>SUM($E16,F16,G16)</f>
        <v>#N/A</v>
      </c>
      <c r="I16" s="63" t="e">
        <f>SUM(I11,I15)*I10/SUM($I$10:$J$10)+SUM(I12:I14)/1000*I10</f>
        <v>#N/A</v>
      </c>
      <c r="J16" s="63" t="e">
        <f>SUM(J11,J15)*J10/SUM($I$10:$J$10)+SUM(J12:J14)/1000*J10</f>
        <v>#N/A</v>
      </c>
      <c r="K16" s="63" t="e">
        <f>SUM($E16,I16,J16)</f>
        <v>#N/A</v>
      </c>
      <c r="L16" s="63">
        <f>SUM(L11,L15)+SUM(L12:L14)/1000*L10</f>
        <v>1514.9866849999999</v>
      </c>
      <c r="M16" s="63" t="e">
        <f>SUM(M11,M15)+SUM(M12:M14)/1000*M10</f>
        <v>#N/A</v>
      </c>
    </row>
    <row r="17" spans="2:13" x14ac:dyDescent="0.25">
      <c r="B17" s="22" t="s">
        <v>41</v>
      </c>
      <c r="C17" s="22"/>
      <c r="D17" s="63">
        <f t="shared" ref="D17:M17" si="0">D16*GST</f>
        <v>55.948740000000001</v>
      </c>
      <c r="E17" s="63" t="e">
        <f t="shared" si="0"/>
        <v>#N/A</v>
      </c>
      <c r="F17" s="63">
        <f t="shared" si="0"/>
        <v>3.5850409999999999</v>
      </c>
      <c r="G17" s="63">
        <f t="shared" si="0"/>
        <v>8.1984779999999997</v>
      </c>
      <c r="H17" s="63" t="e">
        <f t="shared" si="0"/>
        <v>#N/A</v>
      </c>
      <c r="I17" s="63" t="e">
        <f t="shared" si="0"/>
        <v>#N/A</v>
      </c>
      <c r="J17" s="63" t="e">
        <f t="shared" si="0"/>
        <v>#N/A</v>
      </c>
      <c r="K17" s="63" t="e">
        <f t="shared" si="0"/>
        <v>#N/A</v>
      </c>
      <c r="L17" s="63">
        <f t="shared" si="0"/>
        <v>151.49866849999998</v>
      </c>
      <c r="M17" s="63" t="e">
        <f t="shared" si="0"/>
        <v>#N/A</v>
      </c>
    </row>
    <row r="18" spans="2:13" x14ac:dyDescent="0.25">
      <c r="B18" s="22" t="s">
        <v>87</v>
      </c>
      <c r="C18" s="22"/>
      <c r="D18" s="63">
        <f t="shared" ref="D18:M18" si="1">SUM(D16:D17)</f>
        <v>615.43614000000002</v>
      </c>
      <c r="E18" s="63" t="e">
        <f t="shared" si="1"/>
        <v>#N/A</v>
      </c>
      <c r="F18" s="63">
        <f t="shared" si="1"/>
        <v>39.435450999999993</v>
      </c>
      <c r="G18" s="63">
        <f t="shared" si="1"/>
        <v>90.183257999999995</v>
      </c>
      <c r="H18" s="63" t="e">
        <f t="shared" si="1"/>
        <v>#N/A</v>
      </c>
      <c r="I18" s="63" t="e">
        <f t="shared" si="1"/>
        <v>#N/A</v>
      </c>
      <c r="J18" s="63" t="e">
        <f t="shared" si="1"/>
        <v>#N/A</v>
      </c>
      <c r="K18" s="63" t="e">
        <f t="shared" si="1"/>
        <v>#N/A</v>
      </c>
      <c r="L18" s="63">
        <f t="shared" si="1"/>
        <v>1666.4853534999997</v>
      </c>
      <c r="M18" s="63" t="e">
        <f t="shared" si="1"/>
        <v>#N/A</v>
      </c>
    </row>
    <row r="19" spans="2:13" x14ac:dyDescent="0.25">
      <c r="B19" s="22" t="s">
        <v>169</v>
      </c>
      <c r="C19" s="22"/>
      <c r="D19" s="63"/>
      <c r="E19" s="63" t="e">
        <f>E18-D18</f>
        <v>#N/A</v>
      </c>
      <c r="F19" s="63"/>
      <c r="G19" s="63"/>
      <c r="H19" s="63"/>
      <c r="I19" s="63"/>
      <c r="J19" s="63"/>
      <c r="K19" s="63" t="e">
        <f>K18-H18</f>
        <v>#N/A</v>
      </c>
      <c r="L19" s="63"/>
      <c r="M19" s="63" t="e">
        <f>M18-L18</f>
        <v>#N/A</v>
      </c>
    </row>
    <row r="20" spans="2:13" x14ac:dyDescent="0.25">
      <c r="B20" s="136" t="s">
        <v>170</v>
      </c>
      <c r="C20" s="136"/>
      <c r="D20" s="137"/>
      <c r="E20" s="138" t="e">
        <f>E18/D18-1</f>
        <v>#N/A</v>
      </c>
      <c r="F20" s="137"/>
      <c r="G20" s="137"/>
      <c r="H20" s="137"/>
      <c r="I20" s="137"/>
      <c r="J20" s="137"/>
      <c r="K20" s="138" t="e">
        <f>K18/H18-1</f>
        <v>#N/A</v>
      </c>
      <c r="L20" s="137"/>
      <c r="M20" s="138" t="e">
        <f>M18/L18-1</f>
        <v>#N/A</v>
      </c>
    </row>
  </sheetData>
  <mergeCells count="6">
    <mergeCell ref="A1:B1"/>
    <mergeCell ref="D7:E7"/>
    <mergeCell ref="F7:K7"/>
    <mergeCell ref="L7:M7"/>
    <mergeCell ref="B7:B9"/>
    <mergeCell ref="C7:C9"/>
  </mergeCells>
  <conditionalFormatting sqref="B10:M20">
    <cfRule type="expression" dxfId="0" priority="1">
      <formula>MOD(ROW(),2)=0</formula>
    </cfRule>
  </conditionalFormatting>
  <hyperlinks>
    <hyperlink ref="A1" location="Index!A1" display="&lt;&lt;Back to Index" xr:uid="{00000000-0004-0000-1B00-00000000000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G6"/>
  <sheetViews>
    <sheetView workbookViewId="0">
      <pane ySplit="1" topLeftCell="A2" activePane="bottomLeft" state="frozen"/>
      <selection pane="bottomLeft" activeCell="E4" sqref="E4"/>
    </sheetView>
  </sheetViews>
  <sheetFormatPr defaultColWidth="8.85546875" defaultRowHeight="15" x14ac:dyDescent="0.25"/>
  <cols>
    <col min="1" max="1" width="12.5703125" style="20" bestFit="1" customWidth="1"/>
    <col min="2" max="2" width="17.140625" style="20" bestFit="1" customWidth="1"/>
    <col min="3" max="3" width="9.42578125" style="20" bestFit="1" customWidth="1"/>
    <col min="4" max="4" width="16.140625" style="20" bestFit="1" customWidth="1"/>
    <col min="5" max="5" width="13.140625" style="20" bestFit="1" customWidth="1"/>
    <col min="6" max="16384" width="8.85546875" style="20"/>
  </cols>
  <sheetData>
    <row r="1" spans="1:7" s="25" customFormat="1" x14ac:dyDescent="0.25">
      <c r="A1" s="25" t="s">
        <v>39</v>
      </c>
      <c r="B1" s="25" t="s">
        <v>25</v>
      </c>
      <c r="C1" s="25" t="s">
        <v>13</v>
      </c>
      <c r="D1" s="25" t="s">
        <v>40</v>
      </c>
      <c r="E1" s="25" t="s">
        <v>52</v>
      </c>
      <c r="G1" s="25" t="s">
        <v>38</v>
      </c>
    </row>
    <row r="2" spans="1:7" x14ac:dyDescent="0.25">
      <c r="A2" s="20" t="s">
        <v>6</v>
      </c>
      <c r="B2" s="20" t="s">
        <v>43</v>
      </c>
      <c r="C2" s="20" t="s">
        <v>22</v>
      </c>
      <c r="D2" s="20" t="s">
        <v>2</v>
      </c>
      <c r="E2" s="20" t="s">
        <v>25</v>
      </c>
      <c r="G2" s="20" t="s">
        <v>36</v>
      </c>
    </row>
    <row r="3" spans="1:7" x14ac:dyDescent="0.25">
      <c r="A3" s="20" t="s">
        <v>15</v>
      </c>
      <c r="B3" s="20" t="s">
        <v>14</v>
      </c>
      <c r="C3" s="20" t="s">
        <v>18</v>
      </c>
      <c r="D3" s="20" t="s">
        <v>4</v>
      </c>
      <c r="E3" s="20" t="s">
        <v>64</v>
      </c>
      <c r="G3" s="20" t="s">
        <v>37</v>
      </c>
    </row>
    <row r="4" spans="1:7" x14ac:dyDescent="0.25">
      <c r="B4" s="20" t="s">
        <v>42</v>
      </c>
      <c r="C4" s="20" t="s">
        <v>16</v>
      </c>
      <c r="D4" s="20" t="s">
        <v>0</v>
      </c>
      <c r="E4" s="20" t="s">
        <v>66</v>
      </c>
    </row>
    <row r="5" spans="1:7" x14ac:dyDescent="0.25">
      <c r="C5" s="20" t="s">
        <v>17</v>
      </c>
      <c r="D5" s="20" t="s">
        <v>3</v>
      </c>
      <c r="E5" s="20" t="s">
        <v>33</v>
      </c>
    </row>
    <row r="6" spans="1:7" x14ac:dyDescent="0.25">
      <c r="C6" s="20" t="s">
        <v>42</v>
      </c>
      <c r="D6" s="20" t="s">
        <v>5</v>
      </c>
      <c r="E6" s="20" t="s">
        <v>65</v>
      </c>
    </row>
  </sheetData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6</vt:i4>
      </vt:variant>
    </vt:vector>
  </HeadingPairs>
  <TitlesOfParts>
    <vt:vector size="33" baseType="lpstr">
      <vt:lpstr>Cover</vt:lpstr>
      <vt:lpstr>Index</vt:lpstr>
      <vt:lpstr>OVERVIEW -&gt;</vt:lpstr>
      <vt:lpstr>Structure</vt:lpstr>
      <vt:lpstr>Summary</vt:lpstr>
      <vt:lpstr>CHARTS -&gt;</vt:lpstr>
      <vt:lpstr>Res wo CL</vt:lpstr>
      <vt:lpstr>Res w CL</vt:lpstr>
      <vt:lpstr>SB wo CL</vt:lpstr>
      <vt:lpstr>DMO Zone prices -&gt;</vt:lpstr>
      <vt:lpstr>Ausgrid</vt:lpstr>
      <vt:lpstr>Endeavour</vt:lpstr>
      <vt:lpstr>Essential</vt:lpstr>
      <vt:lpstr>Energex</vt:lpstr>
      <vt:lpstr>SAPN</vt:lpstr>
      <vt:lpstr>COST CALCS -&gt;</vt:lpstr>
      <vt:lpstr>Network cost</vt:lpstr>
      <vt:lpstr>Wholesale cost</vt:lpstr>
      <vt:lpstr>Environmental cost</vt:lpstr>
      <vt:lpstr>Retail cost</vt:lpstr>
      <vt:lpstr>INPUTS -&gt;</vt:lpstr>
      <vt:lpstr>Key inputs</vt:lpstr>
      <vt:lpstr>Detail inputs</vt:lpstr>
      <vt:lpstr>Usage</vt:lpstr>
      <vt:lpstr>NSW Roadmap costs</vt:lpstr>
      <vt:lpstr>Ausgrid adjustment</vt:lpstr>
      <vt:lpstr>Lists</vt:lpstr>
      <vt:lpstr>CPI</vt:lpstr>
      <vt:lpstr>CPIPY</vt:lpstr>
      <vt:lpstr>Days</vt:lpstr>
      <vt:lpstr>FY</vt:lpstr>
      <vt:lpstr>GST</vt:lpstr>
      <vt:lpstr>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2016-12-13T23:55:07Z</dcterms:created>
  <dcterms:modified xsi:type="dcterms:W3CDTF">2023-03-14T02:54:34Z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2023-03-13T22:40:48Z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39e2759e-bde6-4b69-903f-d92440d9e6b1</vt:lpwstr>
  </property>
  <property fmtid="{D5CDD505-2E9C-101B-9397-08002B2CF9AE}" pid="8" name="MSIP_Label_d9d5a995-dfdf-4407-9a97-edbbc68c9f53_ContentBits">
    <vt:lpwstr>1</vt:lpwstr>
  </property>
</Properties>
</file>