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/>
  <bookViews>
    <workbookView xWindow="0" yWindow="0" windowWidth="2625" windowHeight="555" tabRatio="760"/>
  </bookViews>
  <sheets>
    <sheet name="Readme" sheetId="51" r:id="rId1"/>
    <sheet name="Cost Drivers" sheetId="39" r:id="rId2"/>
    <sheet name="Opex Modelling Results" sheetId="50" r:id="rId3"/>
    <sheet name="Efficiency Target Option" sheetId="22" r:id="rId4"/>
    <sheet name="Opex Forecasts" sheetId="40" r:id="rId5"/>
    <sheet name="OEFs" sheetId="53" r:id="rId6"/>
    <sheet name="Summary" sheetId="52" r:id="rId7"/>
  </sheets>
  <calcPr calcId="162913"/>
</workbook>
</file>

<file path=xl/calcChain.xml><?xml version="1.0" encoding="utf-8"?>
<calcChain xmlns="http://schemas.openxmlformats.org/spreadsheetml/2006/main">
  <c r="I6" i="22" l="1"/>
  <c r="J6" i="22"/>
  <c r="K6" i="22" s="1"/>
  <c r="I25" i="22"/>
  <c r="J25" i="22"/>
  <c r="K25" i="22" s="1"/>
  <c r="L6" i="40" s="1"/>
  <c r="I44" i="22"/>
  <c r="J44" i="22"/>
  <c r="K44" i="22" s="1"/>
  <c r="I63" i="22"/>
  <c r="J63" i="22"/>
  <c r="K63" i="22" s="1"/>
  <c r="X6" i="40" s="1"/>
  <c r="O15" i="39"/>
  <c r="K25" i="39" s="1"/>
  <c r="P15" i="39"/>
  <c r="L25" i="39" s="1"/>
  <c r="Q15" i="39"/>
  <c r="M25" i="39"/>
  <c r="E14" i="52" s="1"/>
  <c r="N15" i="39"/>
  <c r="J25" i="39" s="1"/>
  <c r="J15" i="39"/>
  <c r="K15" i="39"/>
  <c r="L15" i="39"/>
  <c r="M15" i="39"/>
  <c r="O21" i="39"/>
  <c r="D14" i="40"/>
  <c r="O22" i="39"/>
  <c r="D15" i="40"/>
  <c r="J15" i="40"/>
  <c r="D8" i="39"/>
  <c r="E8" i="39"/>
  <c r="F8" i="39"/>
  <c r="G8" i="39"/>
  <c r="H8" i="39" s="1"/>
  <c r="I8" i="39" s="1"/>
  <c r="J8" i="39" s="1"/>
  <c r="K8" i="39"/>
  <c r="L8" i="39" s="1"/>
  <c r="M8" i="39" s="1"/>
  <c r="N8" i="39" s="1"/>
  <c r="O8" i="39" s="1"/>
  <c r="O10" i="39"/>
  <c r="J10" i="39"/>
  <c r="O24" i="39" s="1"/>
  <c r="D18" i="40" s="1"/>
  <c r="K10" i="39"/>
  <c r="L10" i="39"/>
  <c r="M10" i="39"/>
  <c r="N10" i="39"/>
  <c r="P21" i="39"/>
  <c r="E14" i="40" s="1"/>
  <c r="P22" i="39"/>
  <c r="E15" i="40"/>
  <c r="K15" i="40" s="1"/>
  <c r="Q15" i="40" s="1"/>
  <c r="P10" i="39"/>
  <c r="Q21" i="39"/>
  <c r="F14" i="40" s="1"/>
  <c r="Q22" i="39"/>
  <c r="F15" i="40" s="1"/>
  <c r="L15" i="40" s="1"/>
  <c r="Q10" i="39"/>
  <c r="N21" i="39"/>
  <c r="C14" i="40"/>
  <c r="I14" i="40"/>
  <c r="N22" i="39"/>
  <c r="C15" i="40"/>
  <c r="I15" i="40"/>
  <c r="O15" i="40" s="1"/>
  <c r="X22" i="40"/>
  <c r="W22" i="40"/>
  <c r="V22" i="40"/>
  <c r="U22" i="40"/>
  <c r="R22" i="40"/>
  <c r="Q22" i="40"/>
  <c r="P22" i="40"/>
  <c r="O22" i="40"/>
  <c r="L22" i="40"/>
  <c r="K22" i="40"/>
  <c r="J22" i="40"/>
  <c r="I22" i="40"/>
  <c r="F22" i="40"/>
  <c r="E22" i="40"/>
  <c r="D22" i="40"/>
  <c r="C22" i="40"/>
  <c r="F6" i="40"/>
  <c r="R6" i="40"/>
  <c r="E15" i="39"/>
  <c r="F15" i="39"/>
  <c r="G15" i="39"/>
  <c r="H15" i="39"/>
  <c r="I15" i="39"/>
  <c r="D15" i="39"/>
  <c r="P15" i="40"/>
  <c r="V15" i="40" s="1"/>
  <c r="W15" i="40"/>
  <c r="R15" i="40"/>
  <c r="X15" i="40"/>
  <c r="B74" i="22"/>
  <c r="B64" i="22"/>
  <c r="B72" i="22"/>
  <c r="B70" i="22"/>
  <c r="B71" i="22"/>
  <c r="B68" i="22"/>
  <c r="B73" i="22"/>
  <c r="B63" i="22"/>
  <c r="B66" i="22"/>
  <c r="B69" i="22"/>
  <c r="B67" i="22"/>
  <c r="B65" i="22"/>
  <c r="B75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T10" i="40"/>
  <c r="T9" i="40"/>
  <c r="T7" i="40"/>
  <c r="T8" i="40"/>
  <c r="T6" i="40"/>
  <c r="T3" i="40"/>
  <c r="U15" i="40"/>
  <c r="O14" i="40"/>
  <c r="U14" i="40" s="1"/>
  <c r="U7" i="40"/>
  <c r="U8" i="40"/>
  <c r="U6" i="40"/>
  <c r="H24" i="39"/>
  <c r="H22" i="39"/>
  <c r="H21" i="39"/>
  <c r="O9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6" i="22"/>
  <c r="O7" i="22"/>
  <c r="O8" i="22"/>
  <c r="A10" i="52"/>
  <c r="A9" i="52"/>
  <c r="A8" i="52"/>
  <c r="N10" i="40"/>
  <c r="N9" i="40"/>
  <c r="N7" i="40"/>
  <c r="N8" i="40"/>
  <c r="N6" i="40"/>
  <c r="O6" i="40"/>
  <c r="N3" i="40"/>
  <c r="B3" i="40"/>
  <c r="H3" i="40"/>
  <c r="H7" i="40"/>
  <c r="H8" i="40"/>
  <c r="H9" i="40"/>
  <c r="H10" i="40"/>
  <c r="H6" i="40"/>
  <c r="I8" i="40"/>
  <c r="I7" i="40"/>
  <c r="N8" i="22"/>
  <c r="N7" i="22"/>
  <c r="O6" i="22"/>
  <c r="N6" i="22"/>
  <c r="B36" i="22"/>
  <c r="B26" i="22"/>
  <c r="B35" i="22"/>
  <c r="B33" i="22"/>
  <c r="B34" i="22"/>
  <c r="B31" i="22"/>
  <c r="B32" i="22"/>
  <c r="B25" i="22"/>
  <c r="B29" i="22"/>
  <c r="B30" i="22"/>
  <c r="B28" i="22"/>
  <c r="B27" i="22"/>
  <c r="B37" i="22"/>
  <c r="B55" i="22"/>
  <c r="B45" i="22"/>
  <c r="B53" i="22"/>
  <c r="B52" i="22"/>
  <c r="B51" i="22"/>
  <c r="B48" i="22"/>
  <c r="B54" i="22"/>
  <c r="B44" i="22"/>
  <c r="B46" i="22"/>
  <c r="B50" i="22"/>
  <c r="B47" i="22"/>
  <c r="B49" i="22"/>
  <c r="B56" i="22"/>
  <c r="Q9" i="22"/>
  <c r="O8" i="40"/>
  <c r="O7" i="40"/>
  <c r="I6" i="40"/>
  <c r="P8" i="22"/>
  <c r="Q7" i="22"/>
  <c r="Q8" i="22"/>
  <c r="P7" i="22"/>
  <c r="B15" i="22"/>
  <c r="B17" i="22"/>
  <c r="B18" i="22"/>
  <c r="B7" i="22"/>
  <c r="B14" i="22"/>
  <c r="B16" i="22"/>
  <c r="B13" i="22"/>
  <c r="B12" i="22"/>
  <c r="B6" i="22"/>
  <c r="B10" i="22"/>
  <c r="B11" i="22"/>
  <c r="B9" i="22"/>
  <c r="B8" i="22"/>
  <c r="B6" i="40"/>
  <c r="B7" i="40"/>
  <c r="B8" i="40"/>
  <c r="B10" i="40"/>
  <c r="B9" i="40"/>
  <c r="A7" i="52"/>
  <c r="D10" i="39"/>
  <c r="E10" i="39"/>
  <c r="F10" i="39"/>
  <c r="G10" i="39"/>
  <c r="H10" i="39"/>
  <c r="I10" i="39"/>
  <c r="L22" i="39"/>
  <c r="K21" i="39"/>
  <c r="L21" i="39"/>
  <c r="M21" i="39"/>
  <c r="K22" i="39"/>
  <c r="M22" i="39"/>
  <c r="J22" i="39"/>
  <c r="J21" i="39"/>
  <c r="L14" i="39"/>
  <c r="P14" i="39"/>
  <c r="E14" i="39"/>
  <c r="H14" i="39"/>
  <c r="G14" i="39"/>
  <c r="K14" i="39"/>
  <c r="M14" i="39"/>
  <c r="N14" i="39"/>
  <c r="C6" i="40"/>
  <c r="I14" i="39"/>
  <c r="J14" i="39"/>
  <c r="F14" i="39"/>
  <c r="O14" i="39"/>
  <c r="Q14" i="39"/>
  <c r="O25" i="39"/>
  <c r="C7" i="40"/>
  <c r="C8" i="40"/>
  <c r="J24" i="39"/>
  <c r="P6" i="22"/>
  <c r="Q25" i="39"/>
  <c r="N25" i="39"/>
  <c r="Q6" i="22"/>
  <c r="K24" i="39"/>
  <c r="P9" i="22" l="1"/>
  <c r="B32" i="40"/>
  <c r="D14" i="52"/>
  <c r="B14" i="52"/>
  <c r="C14" i="52"/>
  <c r="H25" i="39"/>
  <c r="L26" i="39" s="1"/>
  <c r="H32" i="40"/>
  <c r="T32" i="40"/>
  <c r="P25" i="39"/>
  <c r="N32" i="40"/>
  <c r="Q24" i="39"/>
  <c r="F18" i="40" s="1"/>
  <c r="N24" i="39"/>
  <c r="C18" i="40" s="1"/>
  <c r="I18" i="40" s="1"/>
  <c r="I24" i="40" s="1"/>
  <c r="M24" i="39"/>
  <c r="O23" i="39"/>
  <c r="D16" i="40" s="1"/>
  <c r="P8" i="39"/>
  <c r="K23" i="39"/>
  <c r="J14" i="40"/>
  <c r="J17" i="40"/>
  <c r="D17" i="40"/>
  <c r="J23" i="39"/>
  <c r="N23" i="39"/>
  <c r="C16" i="40" s="1"/>
  <c r="P24" i="39"/>
  <c r="E18" i="40" s="1"/>
  <c r="L24" i="39"/>
  <c r="K14" i="40"/>
  <c r="H23" i="39"/>
  <c r="L14" i="40"/>
  <c r="D24" i="40"/>
  <c r="J18" i="40"/>
  <c r="J26" i="39" l="1"/>
  <c r="M26" i="39"/>
  <c r="K26" i="39"/>
  <c r="O18" i="40"/>
  <c r="C24" i="40"/>
  <c r="F24" i="40"/>
  <c r="L18" i="40"/>
  <c r="P14" i="40"/>
  <c r="V14" i="40" s="1"/>
  <c r="P18" i="40"/>
  <c r="J24" i="40"/>
  <c r="R14" i="40"/>
  <c r="X14" i="40" s="1"/>
  <c r="K18" i="40"/>
  <c r="E24" i="40"/>
  <c r="Q14" i="40"/>
  <c r="W14" i="40" s="1"/>
  <c r="D23" i="40"/>
  <c r="D26" i="40" s="1"/>
  <c r="D30" i="40" s="1"/>
  <c r="P23" i="39"/>
  <c r="E16" i="40" s="1"/>
  <c r="Q8" i="39"/>
  <c r="L23" i="39"/>
  <c r="U18" i="40"/>
  <c r="U24" i="40" s="1"/>
  <c r="O24" i="40"/>
  <c r="I16" i="40"/>
  <c r="O17" i="40"/>
  <c r="C17" i="40"/>
  <c r="I17" i="40"/>
  <c r="J23" i="40"/>
  <c r="J16" i="40"/>
  <c r="P16" i="40" s="1"/>
  <c r="V16" i="40" s="1"/>
  <c r="P17" i="40"/>
  <c r="R18" i="40" l="1"/>
  <c r="L24" i="40"/>
  <c r="K27" i="39"/>
  <c r="K28" i="39" s="1"/>
  <c r="D32" i="40"/>
  <c r="C8" i="52" s="1"/>
  <c r="C23" i="40"/>
  <c r="C26" i="40" s="1"/>
  <c r="C30" i="40" s="1"/>
  <c r="O23" i="40"/>
  <c r="O26" i="40" s="1"/>
  <c r="O30" i="40" s="1"/>
  <c r="O32" i="40" s="1"/>
  <c r="B10" i="52" s="1"/>
  <c r="K24" i="40"/>
  <c r="Q18" i="40"/>
  <c r="P24" i="40"/>
  <c r="V18" i="40"/>
  <c r="V24" i="40" s="1"/>
  <c r="J26" i="40"/>
  <c r="J30" i="40" s="1"/>
  <c r="J32" i="40" s="1"/>
  <c r="C9" i="52" s="1"/>
  <c r="O16" i="40"/>
  <c r="U16" i="40" s="1"/>
  <c r="U17" i="40"/>
  <c r="M23" i="39"/>
  <c r="Q23" i="39"/>
  <c r="F16" i="40" s="1"/>
  <c r="V17" i="40"/>
  <c r="P23" i="40"/>
  <c r="P26" i="40" s="1"/>
  <c r="P30" i="40"/>
  <c r="P32" i="40" s="1"/>
  <c r="C10" i="52" s="1"/>
  <c r="I23" i="40"/>
  <c r="I26" i="40" s="1"/>
  <c r="I30" i="40"/>
  <c r="I32" i="40" s="1"/>
  <c r="B9" i="52" s="1"/>
  <c r="K16" i="40"/>
  <c r="Q17" i="40"/>
  <c r="E17" i="40"/>
  <c r="K17" i="40"/>
  <c r="X18" i="40" l="1"/>
  <c r="X24" i="40" s="1"/>
  <c r="R24" i="40"/>
  <c r="J27" i="39"/>
  <c r="J28" i="39" s="1"/>
  <c r="C32" i="40"/>
  <c r="B8" i="52" s="1"/>
  <c r="K23" i="40"/>
  <c r="K26" i="40" s="1"/>
  <c r="K30" i="40"/>
  <c r="K32" i="40" s="1"/>
  <c r="D9" i="52" s="1"/>
  <c r="V23" i="40"/>
  <c r="V26" i="40" s="1"/>
  <c r="V30" i="40"/>
  <c r="V32" i="40" s="1"/>
  <c r="C11" i="52" s="1"/>
  <c r="W18" i="40"/>
  <c r="W24" i="40" s="1"/>
  <c r="Q24" i="40"/>
  <c r="E23" i="40"/>
  <c r="E26" i="40" s="1"/>
  <c r="E30" i="40" s="1"/>
  <c r="L16" i="40"/>
  <c r="F17" i="40"/>
  <c r="R17" i="40"/>
  <c r="L17" i="40"/>
  <c r="Q23" i="40"/>
  <c r="Q16" i="40"/>
  <c r="W16" i="40" s="1"/>
  <c r="W17" i="40"/>
  <c r="U23" i="40"/>
  <c r="U26" i="40" s="1"/>
  <c r="U30" i="40" s="1"/>
  <c r="U32" i="40" s="1"/>
  <c r="B11" i="52" s="1"/>
  <c r="E32" i="40" l="1"/>
  <c r="D8" i="52" s="1"/>
  <c r="L27" i="39"/>
  <c r="L28" i="39" s="1"/>
  <c r="F23" i="40"/>
  <c r="F26" i="40" s="1"/>
  <c r="F30" i="40"/>
  <c r="Q26" i="40"/>
  <c r="Q30" i="40" s="1"/>
  <c r="Q32" i="40" s="1"/>
  <c r="D10" i="52" s="1"/>
  <c r="R16" i="40"/>
  <c r="X16" i="40" s="1"/>
  <c r="X17" i="40"/>
  <c r="W23" i="40"/>
  <c r="W26" i="40" s="1"/>
  <c r="W30" i="40" s="1"/>
  <c r="W32" i="40" s="1"/>
  <c r="D11" i="52" s="1"/>
  <c r="L23" i="40"/>
  <c r="L26" i="40" s="1"/>
  <c r="L30" i="40" s="1"/>
  <c r="L32" i="40" s="1"/>
  <c r="E9" i="52" s="1"/>
  <c r="R30" i="40"/>
  <c r="R32" i="40" s="1"/>
  <c r="E10" i="52" s="1"/>
  <c r="R23" i="40"/>
  <c r="R26" i="40" s="1"/>
  <c r="X23" i="40" l="1"/>
  <c r="X26" i="40" s="1"/>
  <c r="X30" i="40" s="1"/>
  <c r="X32" i="40" s="1"/>
  <c r="E11" i="52" s="1"/>
  <c r="F32" i="40"/>
  <c r="E8" i="52" s="1"/>
  <c r="M27" i="39"/>
  <c r="M28" i="39" s="1"/>
</calcChain>
</file>

<file path=xl/sharedStrings.xml><?xml version="1.0" encoding="utf-8"?>
<sst xmlns="http://schemas.openxmlformats.org/spreadsheetml/2006/main" count="456" uniqueCount="178">
  <si>
    <t>Technology</t>
  </si>
  <si>
    <t>Model's estimated cost elasticities</t>
  </si>
  <si>
    <t>Output Weights</t>
  </si>
  <si>
    <t>Technology (A)</t>
  </si>
  <si>
    <t>Returns to Scale (B)</t>
  </si>
  <si>
    <t>Business Conditions (C)</t>
  </si>
  <si>
    <t>PP Opex Growth Rates Forecast</t>
  </si>
  <si>
    <t>Coefficient</t>
  </si>
  <si>
    <t>Estimate</t>
  </si>
  <si>
    <t>Unit</t>
  </si>
  <si>
    <t>Customer numbers</t>
  </si>
  <si>
    <t>number</t>
  </si>
  <si>
    <t>kms</t>
  </si>
  <si>
    <t>Rates of Change</t>
  </si>
  <si>
    <t>RY13</t>
  </si>
  <si>
    <t>Circuit Length</t>
  </si>
  <si>
    <t>Maximum Demand</t>
  </si>
  <si>
    <t>Ratcheted Maximum Demand</t>
  </si>
  <si>
    <t>MW</t>
  </si>
  <si>
    <t>Underground Circuit Length</t>
  </si>
  <si>
    <t>Share Underground</t>
  </si>
  <si>
    <t>Fraction</t>
  </si>
  <si>
    <t>ly2</t>
  </si>
  <si>
    <t>ly3</t>
  </si>
  <si>
    <t>ly4</t>
  </si>
  <si>
    <t>lz1</t>
  </si>
  <si>
    <t>yr</t>
  </si>
  <si>
    <t>cd2</t>
  </si>
  <si>
    <t>cd3</t>
  </si>
  <si>
    <t>_cons</t>
  </si>
  <si>
    <t>z–statistic</t>
  </si>
  <si>
    <t>Coefficients</t>
  </si>
  <si>
    <t>RY6</t>
  </si>
  <si>
    <t>RY7</t>
  </si>
  <si>
    <t>RY8</t>
  </si>
  <si>
    <t>RY9</t>
  </si>
  <si>
    <t>RY10</t>
  </si>
  <si>
    <t>RY11</t>
  </si>
  <si>
    <t>RY12</t>
  </si>
  <si>
    <t>Efficiency score</t>
  </si>
  <si>
    <t>Efficiency target</t>
  </si>
  <si>
    <t>Opex</t>
  </si>
  <si>
    <t>Opex price deflator</t>
  </si>
  <si>
    <t xml:space="preserve"> - Opex price escalation (nominal)</t>
  </si>
  <si>
    <t>%</t>
  </si>
  <si>
    <t xml:space="preserve"> - Opex quantity</t>
  </si>
  <si>
    <t>Weighted Average Output Growth (1)</t>
  </si>
  <si>
    <t>Real input cost escalation (3)</t>
  </si>
  <si>
    <t>PP Opex Growth Rates [2 = A+B-C]</t>
  </si>
  <si>
    <t>Opex rate of change [=(1 &amp; 3) / 2]</t>
  </si>
  <si>
    <t>SFA CD</t>
  </si>
  <si>
    <t>ACT</t>
  </si>
  <si>
    <t>AGD</t>
  </si>
  <si>
    <t>CIT</t>
  </si>
  <si>
    <t>END</t>
  </si>
  <si>
    <t>ENX</t>
  </si>
  <si>
    <t>ERG</t>
  </si>
  <si>
    <t>ESS</t>
  </si>
  <si>
    <t>JEN</t>
  </si>
  <si>
    <t>PCR</t>
  </si>
  <si>
    <t>SAP</t>
  </si>
  <si>
    <t>TND</t>
  </si>
  <si>
    <t>UED</t>
  </si>
  <si>
    <t>DNSP</t>
  </si>
  <si>
    <t>Opex Cost Function Modelling -- Medium Database Regression Results</t>
  </si>
  <si>
    <t>Efficiency score results</t>
  </si>
  <si>
    <t>Efficiency target to set</t>
  </si>
  <si>
    <t>Comparator</t>
  </si>
  <si>
    <t>1= yes, 0 = no</t>
  </si>
  <si>
    <t>Margin allowance</t>
  </si>
  <si>
    <t>Margin on input use</t>
  </si>
  <si>
    <t>Efficiency Target Option</t>
  </si>
  <si>
    <t>Implied opex reduction to reach effciency target</t>
  </si>
  <si>
    <t>Opex Base Year Adjustment Model</t>
  </si>
  <si>
    <t xml:space="preserve">Summary: </t>
  </si>
  <si>
    <t>Color-coding convention used for the data, analytical and application worksheets:</t>
  </si>
  <si>
    <t>– Raw data cell:</t>
  </si>
  <si>
    <t>– Calculation cell:</t>
  </si>
  <si>
    <t xml:space="preserve">– Input cell: </t>
  </si>
  <si>
    <t>light blue</t>
  </si>
  <si>
    <t>dark blue</t>
  </si>
  <si>
    <t>light yellow</t>
  </si>
  <si>
    <t>Data Worksheets:</t>
  </si>
  <si>
    <t>Analytical Worksheets:</t>
  </si>
  <si>
    <t>– Opex cost function modelling results, including parameter estimates and efficiency estimates</t>
  </si>
  <si>
    <t>A. Cost Drivers</t>
  </si>
  <si>
    <t>Worksheet links:</t>
  </si>
  <si>
    <t>Cost Drivers</t>
  </si>
  <si>
    <t>Opex Modelling Results</t>
  </si>
  <si>
    <t>Opex Forecasts</t>
  </si>
  <si>
    <t>Input Worksheets:</t>
  </si>
  <si>
    <t>TFP Data and Forecasts</t>
  </si>
  <si>
    <t>RY2006 =1</t>
  </si>
  <si>
    <t>Opex quantity</t>
  </si>
  <si>
    <t xml:space="preserve">  Forecast increase: average to base</t>
  </si>
  <si>
    <t xml:space="preserve">  Difference</t>
  </si>
  <si>
    <t xml:space="preserve">  Actual Increase: average to base</t>
  </si>
  <si>
    <t>B. Opex Modelling Results</t>
  </si>
  <si>
    <t xml:space="preserve">C.  Efficiency Target Option </t>
  </si>
  <si>
    <t>D. Opex Forecasts</t>
  </si>
  <si>
    <t xml:space="preserve">– For rolling farward, the opex rate of change formula used for forecasting opex is adopted.     </t>
  </si>
  <si>
    <t>$'000</t>
  </si>
  <si>
    <t xml:space="preserve">– The modelling rolls forward the chosen efficient target on the basis of average-of-the-period (ie results from the opex cost function model) to the base year.  </t>
  </si>
  <si>
    <t>RY14</t>
  </si>
  <si>
    <t>RY15</t>
  </si>
  <si>
    <t>RY16</t>
  </si>
  <si>
    <t>RY17</t>
  </si>
  <si>
    <t>RY18</t>
  </si>
  <si>
    <t>RY19</t>
  </si>
  <si>
    <t>RY2016</t>
  </si>
  <si>
    <t>Avr to 2016</t>
  </si>
  <si>
    <t>RY2017</t>
  </si>
  <si>
    <t>Avr to 2017</t>
  </si>
  <si>
    <t>Avr to 2018</t>
  </si>
  <si>
    <t>Avr to 2019</t>
  </si>
  <si>
    <t>RY2018</t>
  </si>
  <si>
    <t>RY2019</t>
  </si>
  <si>
    <t>Regression estimates</t>
  </si>
  <si>
    <t>AND</t>
  </si>
  <si>
    <t>Target</t>
  </si>
  <si>
    <t>Average*ROC</t>
  </si>
  <si>
    <t>Target opex reduction after ex post OEF adjustment</t>
  </si>
  <si>
    <t>Opex for 2016 and 2017 is actual, opex for 2018 and 2019 is forecast</t>
  </si>
  <si>
    <t>ly22</t>
  </si>
  <si>
    <t>ly23</t>
  </si>
  <si>
    <t>ly24</t>
  </si>
  <si>
    <t>ly33</t>
  </si>
  <si>
    <t>d2</t>
  </si>
  <si>
    <t>ly34</t>
  </si>
  <si>
    <t>d3</t>
  </si>
  <si>
    <t>ly44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</si>
  <si>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</si>
  <si>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</si>
  <si>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</si>
  <si>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</si>
  <si>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</si>
  <si>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</si>
  <si>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</si>
  <si>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</si>
  <si>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</si>
  <si>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</si>
  <si>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CD LSE</t>
  </si>
  <si>
    <t>Translog LSE</t>
  </si>
  <si>
    <t>Summary</t>
  </si>
  <si>
    <t>Model</t>
  </si>
  <si>
    <t>CD SFA</t>
  </si>
  <si>
    <t>LSE CD</t>
  </si>
  <si>
    <t>LSE TLG</t>
  </si>
  <si>
    <t>Revenue</t>
  </si>
  <si>
    <t>Average12-17</t>
  </si>
  <si>
    <t>Translog SFA</t>
  </si>
  <si>
    <t>`</t>
  </si>
  <si>
    <t xml:space="preserve">Source: Economic Insights preliminary results provided to AER on 24 July 2018
</t>
  </si>
  <si>
    <t xml:space="preserve">Cobb-Douglas LSE </t>
  </si>
  <si>
    <t>2015-16</t>
  </si>
  <si>
    <t>2016-17</t>
  </si>
  <si>
    <t>2018-19</t>
  </si>
  <si>
    <t>$'000RY2019</t>
  </si>
  <si>
    <t xml:space="preserve">Cobb-Douglas SFA </t>
  </si>
  <si>
    <t xml:space="preserve">Translog SFA </t>
  </si>
  <si>
    <t>2017-18</t>
  </si>
  <si>
    <t>Total OEF adjustment</t>
  </si>
  <si>
    <t>Material OEFs</t>
  </si>
  <si>
    <t>Immaterial OEFs</t>
  </si>
  <si>
    <t>Assessment made by comparing to rolled forward average target opex for 2011-17 from four models</t>
  </si>
  <si>
    <t>Average 2011-17</t>
  </si>
  <si>
    <t xml:space="preserve">DNSP's forecast driver growth rates </t>
  </si>
  <si>
    <t>Target opex ($'000RY2019)</t>
  </si>
  <si>
    <t>OEF assumption incorporated: OEFs as included in 2015 Final Determination</t>
  </si>
  <si>
    <t>– This spreadsheet contains the modelling for opex base year adjustments for Endeavour Energy</t>
  </si>
  <si>
    <t>– historical and forecast data on opex and cost driver for Endeavour Energy</t>
  </si>
  <si>
    <t>– Setting out efficiency target for Endeavour Energy</t>
  </si>
  <si>
    <t>– Modelling efficient opex (base year) for Endeavour Energy, based on the efficiency target chosen</t>
  </si>
  <si>
    <t>Opex Cost Drivers – END</t>
  </si>
  <si>
    <t>04END</t>
  </si>
  <si>
    <t>END Opex – Base Opex – Using RIN Data and Estimated Opex Cost Functions</t>
  </si>
  <si>
    <t>Assessment of Endeavour's actual and forecast opex 2015-2019</t>
  </si>
  <si>
    <t>Endeavour estimated 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</si>
</sst>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164" formatCode="0.0000"/>
    <numFmt numFmtId="165" formatCode="_-* #,##0_-;\-* #,##0_-;_-* &quot;-&quot;??_-;_-@_-"/>
    <numFmt numFmtId="166" formatCode="_(#,##0_);\(#,##0\);_(&quot;-&quot;_)"/>
    <numFmt numFmtId="167" formatCode="0.000"/>
    <numFmt numFmtId="168" formatCode="#,##0.0000"/>
    <numFmt numFmtId="169" formatCode="0.0%"/>
    <numFmt numFmtId="170" formatCode="_-&quot;$&quot;* #,##0_-;\-&quot;$&quot;* #,##0_-;_-&quot;$&quot;* &quot;-&quot;??_-;_-@_-"/>
    <numFmt numFmtId="171" formatCode="0.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b/>
      <sz val="1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6" fontId="3" fillId="0" borderId="1">
      <alignment horizontal="right" vertical="center"/>
      <protection locked="0"/>
    </xf>
    <xf numFmtId="44" fontId="2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9" fontId="2" fillId="0" borderId="0" applyFont="0" applyFill="0" applyBorder="0" applyAlignment="0" applyProtection="0"/>
  </cellStyleXfs>
  <cellXfs count="185">
    <xf numFmtId="0" fontId="0" fillId="0" borderId="0" xfId="0"/>
    <xf numFmtId="0" fontId="27" fillId="0" borderId="0" xfId="5"/>
    <xf numFmtId="0" fontId="4" fillId="0" borderId="0" xfId="5" applyFont="1"/>
    <xf numFmtId="0" fontId="9" fillId="0" borderId="0" xfId="5" applyFont="1"/>
    <xf numFmtId="0" fontId="9" fillId="0" borderId="0" xfId="5" applyNumberFormat="1" applyFont="1"/>
    <xf numFmtId="0" fontId="10" fillId="0" borderId="0" xfId="5" applyFont="1"/>
    <xf numFmtId="0" fontId="11" fillId="0" borderId="0" xfId="5" applyFont="1"/>
    <xf numFmtId="3" fontId="9" fillId="0" borderId="0" xfId="5" applyNumberFormat="1" applyFont="1"/>
    <xf numFmtId="0" fontId="10" fillId="0" borderId="0" xfId="5" applyFont="1" applyAlignment="1">
      <alignment wrapText="1"/>
    </xf>
    <xf numFmtId="9" fontId="9" fillId="0" borderId="0" xfId="5" applyNumberFormat="1" applyFont="1"/>
    <xf numFmtId="0" fontId="13" fillId="0" borderId="0" xfId="0" applyFont="1"/>
    <xf numFmtId="0" fontId="4" fillId="0" borderId="0" xfId="5" applyFont="1" applyAlignment="1">
      <alignment horizontal="left" vertical="top" wrapText="1"/>
    </xf>
    <xf numFmtId="0" fontId="9" fillId="0" borderId="0" xfId="5" applyFont="1" applyAlignment="1">
      <alignment horizontal="left" vertical="top" wrapText="1"/>
    </xf>
    <xf numFmtId="0" fontId="11" fillId="0" borderId="0" xfId="5" applyFont="1" applyAlignment="1">
      <alignment horizontal="left" vertical="top" wrapText="1"/>
    </xf>
    <xf numFmtId="0" fontId="27" fillId="0" borderId="0" xfId="5" applyAlignment="1">
      <alignment horizontal="left" vertical="top" wrapText="1"/>
    </xf>
    <xf numFmtId="0" fontId="11" fillId="0" borderId="0" xfId="5" applyFont="1" applyFill="1" applyAlignment="1">
      <alignment horizontal="left" vertical="top" wrapText="1"/>
    </xf>
    <xf numFmtId="0" fontId="9" fillId="2" borderId="0" xfId="5" applyFont="1" applyFill="1" applyAlignment="1">
      <alignment horizontal="center"/>
    </xf>
    <xf numFmtId="0" fontId="14" fillId="0" borderId="0" xfId="5" applyFont="1" applyAlignment="1">
      <alignment horizontal="left" vertical="top" wrapText="1"/>
    </xf>
    <xf numFmtId="0" fontId="8" fillId="0" borderId="0" xfId="5" applyFont="1" applyAlignment="1">
      <alignment horizontal="left" vertical="top" wrapText="1"/>
    </xf>
    <xf numFmtId="0" fontId="15" fillId="0" borderId="0" xfId="5" applyFont="1" applyAlignment="1">
      <alignment horizontal="left" vertical="top" wrapText="1"/>
    </xf>
    <xf numFmtId="0" fontId="15" fillId="0" borderId="0" xfId="5" applyFont="1" applyAlignment="1">
      <alignment horizontal="left" vertical="top"/>
    </xf>
    <xf numFmtId="0" fontId="16" fillId="0" borderId="0" xfId="0" applyFont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9" fontId="10" fillId="4" borderId="0" xfId="7" applyFont="1" applyFill="1" applyAlignment="1">
      <alignment horizontal="center"/>
    </xf>
    <xf numFmtId="9" fontId="7" fillId="4" borderId="0" xfId="7" applyFont="1" applyFill="1" applyAlignment="1">
      <alignment horizontal="center"/>
    </xf>
    <xf numFmtId="167" fontId="9" fillId="2" borderId="0" xfId="5" applyNumberFormat="1" applyFont="1" applyFill="1"/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13" fillId="2" borderId="3" xfId="0" applyFont="1" applyFill="1" applyBorder="1"/>
    <xf numFmtId="0" fontId="13" fillId="2" borderId="0" xfId="0" applyFont="1" applyFill="1" applyBorder="1"/>
    <xf numFmtId="10" fontId="10" fillId="4" borderId="0" xfId="5" applyNumberFormat="1" applyFont="1" applyFill="1" applyAlignment="1">
      <alignment horizontal="center" wrapText="1"/>
    </xf>
    <xf numFmtId="10" fontId="17" fillId="2" borderId="0" xfId="0" applyNumberFormat="1" applyFont="1" applyFill="1" applyBorder="1" applyAlignment="1">
      <alignment horizontal="right" vertical="center"/>
    </xf>
    <xf numFmtId="3" fontId="17" fillId="4" borderId="0" xfId="4" applyNumberFormat="1" applyFont="1" applyFill="1"/>
    <xf numFmtId="3" fontId="17" fillId="0" borderId="0" xfId="4" applyNumberFormat="1" applyFont="1" applyFill="1"/>
    <xf numFmtId="0" fontId="20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165" fontId="21" fillId="0" borderId="0" xfId="0" applyNumberFormat="1" applyFont="1" applyAlignment="1">
      <alignment horizontal="left" vertical="center"/>
    </xf>
    <xf numFmtId="164" fontId="18" fillId="2" borderId="0" xfId="0" applyNumberFormat="1" applyFont="1" applyFill="1"/>
    <xf numFmtId="164" fontId="18" fillId="4" borderId="0" xfId="0" applyNumberFormat="1" applyFont="1" applyFill="1"/>
    <xf numFmtId="164" fontId="18" fillId="0" borderId="0" xfId="0" applyNumberFormat="1" applyFont="1"/>
    <xf numFmtId="9" fontId="18" fillId="2" borderId="0" xfId="0" applyNumberFormat="1" applyFont="1" applyFill="1"/>
    <xf numFmtId="9" fontId="18" fillId="0" borderId="0" xfId="0" applyNumberFormat="1" applyFont="1"/>
    <xf numFmtId="0" fontId="20" fillId="0" borderId="0" xfId="0" applyFont="1" applyAlignment="1">
      <alignment horizontal="right"/>
    </xf>
    <xf numFmtId="165" fontId="21" fillId="0" borderId="0" xfId="0" applyNumberFormat="1" applyFont="1" applyFill="1" applyAlignment="1">
      <alignment horizontal="left" vertical="center"/>
    </xf>
    <xf numFmtId="10" fontId="18" fillId="0" borderId="0" xfId="7" applyNumberFormat="1" applyFont="1" applyFill="1"/>
    <xf numFmtId="0" fontId="18" fillId="0" borderId="0" xfId="0" applyFont="1" applyFill="1"/>
    <xf numFmtId="0" fontId="20" fillId="0" borderId="0" xfId="0" applyFont="1" applyFill="1"/>
    <xf numFmtId="10" fontId="20" fillId="4" borderId="0" xfId="7" applyNumberFormat="1" applyFont="1" applyFill="1"/>
    <xf numFmtId="10" fontId="20" fillId="0" borderId="0" xfId="7" applyNumberFormat="1" applyFont="1" applyFill="1"/>
    <xf numFmtId="10" fontId="18" fillId="0" borderId="0" xfId="0" applyNumberFormat="1" applyFont="1" applyFill="1"/>
    <xf numFmtId="10" fontId="20" fillId="0" borderId="0" xfId="0" applyNumberFormat="1" applyFont="1" applyFill="1"/>
    <xf numFmtId="0" fontId="20" fillId="0" borderId="0" xfId="0" applyFont="1" applyFill="1" applyAlignment="1">
      <alignment horizontal="right"/>
    </xf>
    <xf numFmtId="10" fontId="18" fillId="4" borderId="0" xfId="0" applyNumberFormat="1" applyFont="1" applyFill="1"/>
    <xf numFmtId="10" fontId="20" fillId="4" borderId="0" xfId="0" applyNumberFormat="1" applyFont="1" applyFill="1"/>
    <xf numFmtId="0" fontId="20" fillId="0" borderId="0" xfId="0" applyFont="1" applyFill="1" applyBorder="1"/>
    <xf numFmtId="0" fontId="20" fillId="0" borderId="0" xfId="0" applyFont="1" applyFill="1" applyAlignment="1">
      <alignment horizontal="center"/>
    </xf>
    <xf numFmtId="10" fontId="20" fillId="4" borderId="0" xfId="7" applyNumberFormat="1" applyFont="1" applyFill="1" applyAlignment="1">
      <alignment horizontal="right"/>
    </xf>
    <xf numFmtId="3" fontId="7" fillId="0" borderId="0" xfId="0" applyNumberFormat="1" applyFont="1" applyFill="1"/>
    <xf numFmtId="3" fontId="18" fillId="0" borderId="0" xfId="0" applyNumberFormat="1" applyFont="1" applyFill="1"/>
    <xf numFmtId="3" fontId="20" fillId="4" borderId="0" xfId="0" applyNumberFormat="1" applyFont="1" applyFill="1"/>
    <xf numFmtId="3" fontId="20" fillId="0" borderId="0" xfId="0" applyNumberFormat="1" applyFont="1" applyFill="1"/>
    <xf numFmtId="165" fontId="17" fillId="0" borderId="0" xfId="0" applyNumberFormat="1" applyFont="1" applyAlignment="1">
      <alignment horizontal="left" vertical="center"/>
    </xf>
    <xf numFmtId="0" fontId="18" fillId="0" borderId="0" xfId="0" applyFont="1" applyBorder="1"/>
    <xf numFmtId="165" fontId="17" fillId="0" borderId="0" xfId="0" applyNumberFormat="1" applyFont="1"/>
    <xf numFmtId="165" fontId="22" fillId="0" borderId="0" xfId="0" applyNumberFormat="1" applyFont="1" applyAlignment="1">
      <alignment horizontal="center"/>
    </xf>
    <xf numFmtId="165" fontId="17" fillId="0" borderId="0" xfId="0" applyNumberFormat="1" applyFont="1" applyBorder="1" applyAlignment="1">
      <alignment horizontal="center"/>
    </xf>
    <xf numFmtId="165" fontId="23" fillId="0" borderId="0" xfId="0" applyNumberFormat="1" applyFont="1" applyAlignment="1">
      <alignment horizontal="center" vertical="center"/>
    </xf>
    <xf numFmtId="3" fontId="18" fillId="4" borderId="0" xfId="1" applyNumberFormat="1" applyFont="1" applyFill="1" applyBorder="1" applyAlignment="1" applyProtection="1">
      <alignment horizontal="center" vertical="center"/>
    </xf>
    <xf numFmtId="0" fontId="18" fillId="4" borderId="0" xfId="0" applyFont="1" applyFill="1" applyBorder="1"/>
    <xf numFmtId="164" fontId="18" fillId="4" borderId="0" xfId="0" applyNumberFormat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10" fontId="18" fillId="4" borderId="0" xfId="7" applyNumberFormat="1" applyFont="1" applyFill="1" applyBorder="1" applyAlignment="1">
      <alignment horizontal="center" vertical="center"/>
    </xf>
    <xf numFmtId="10" fontId="18" fillId="4" borderId="0" xfId="7" applyNumberFormat="1" applyFont="1" applyFill="1" applyBorder="1" applyAlignment="1">
      <alignment horizontal="center"/>
    </xf>
    <xf numFmtId="3" fontId="18" fillId="4" borderId="0" xfId="0" applyNumberFormat="1" applyFont="1" applyFill="1" applyBorder="1" applyAlignment="1">
      <alignment horizontal="center" vertical="center"/>
    </xf>
    <xf numFmtId="166" fontId="20" fillId="4" borderId="0" xfId="0" applyNumberFormat="1" applyFont="1" applyFill="1" applyBorder="1"/>
    <xf numFmtId="10" fontId="18" fillId="4" borderId="0" xfId="0" applyNumberFormat="1" applyFont="1" applyFill="1" applyBorder="1"/>
    <xf numFmtId="10" fontId="18" fillId="4" borderId="0" xfId="7" applyNumberFormat="1" applyFont="1" applyFill="1" applyBorder="1"/>
    <xf numFmtId="164" fontId="20" fillId="4" borderId="0" xfId="0" applyNumberFormat="1" applyFont="1" applyFill="1" applyBorder="1"/>
    <xf numFmtId="3" fontId="20" fillId="4" borderId="0" xfId="0" applyNumberFormat="1" applyFont="1" applyFill="1" applyBorder="1"/>
    <xf numFmtId="165" fontId="23" fillId="0" borderId="0" xfId="0" applyNumberFormat="1" applyFont="1" applyFill="1" applyAlignment="1">
      <alignment horizontal="left" vertical="center"/>
    </xf>
    <xf numFmtId="3" fontId="18" fillId="3" borderId="0" xfId="1" applyNumberFormat="1" applyFont="1" applyFill="1" applyBorder="1" applyAlignment="1" applyProtection="1">
      <alignment horizontal="center" vertical="center"/>
    </xf>
    <xf numFmtId="164" fontId="18" fillId="0" borderId="0" xfId="7" applyNumberFormat="1" applyFont="1" applyBorder="1"/>
    <xf numFmtId="164" fontId="18" fillId="0" borderId="0" xfId="0" applyNumberFormat="1" applyFont="1" applyBorder="1"/>
    <xf numFmtId="1" fontId="18" fillId="0" borderId="0" xfId="0" applyNumberFormat="1" applyFont="1" applyBorder="1"/>
    <xf numFmtId="0" fontId="20" fillId="4" borderId="0" xfId="0" applyFont="1" applyFill="1" applyBorder="1"/>
    <xf numFmtId="168" fontId="20" fillId="4" borderId="0" xfId="0" applyNumberFormat="1" applyFont="1" applyFill="1" applyBorder="1"/>
    <xf numFmtId="10" fontId="18" fillId="2" borderId="0" xfId="7" applyNumberFormat="1" applyFont="1" applyFill="1"/>
    <xf numFmtId="0" fontId="18" fillId="0" borderId="0" xfId="0" applyFont="1" applyFill="1" applyBorder="1"/>
    <xf numFmtId="10" fontId="18" fillId="0" borderId="0" xfId="0" applyNumberFormat="1" applyFont="1" applyFill="1" applyBorder="1"/>
    <xf numFmtId="170" fontId="18" fillId="0" borderId="0" xfId="2" applyNumberFormat="1" applyFont="1"/>
    <xf numFmtId="170" fontId="18" fillId="0" borderId="0" xfId="2" applyNumberFormat="1" applyFont="1" applyBorder="1"/>
    <xf numFmtId="9" fontId="18" fillId="0" borderId="0" xfId="0" applyNumberFormat="1" applyFont="1" applyFill="1"/>
    <xf numFmtId="3" fontId="18" fillId="0" borderId="0" xfId="0" applyNumberFormat="1" applyFont="1"/>
    <xf numFmtId="3" fontId="0" fillId="0" borderId="0" xfId="0" applyNumberFormat="1"/>
    <xf numFmtId="167" fontId="0" fillId="6" borderId="0" xfId="0" applyNumberFormat="1" applyFill="1"/>
    <xf numFmtId="164" fontId="27" fillId="6" borderId="0" xfId="5" applyNumberFormat="1" applyFill="1"/>
    <xf numFmtId="2" fontId="27" fillId="6" borderId="0" xfId="5" applyNumberFormat="1" applyFill="1"/>
    <xf numFmtId="10" fontId="18" fillId="0" borderId="0" xfId="0" applyNumberFormat="1" applyFont="1" applyBorder="1"/>
    <xf numFmtId="168" fontId="18" fillId="3" borderId="0" xfId="0" applyNumberFormat="1" applyFont="1" applyFill="1" applyBorder="1" applyAlignment="1">
      <alignment horizontal="center" vertical="center"/>
    </xf>
    <xf numFmtId="10" fontId="13" fillId="4" borderId="0" xfId="0" applyNumberFormat="1" applyFont="1" applyFill="1" applyBorder="1"/>
    <xf numFmtId="3" fontId="18" fillId="4" borderId="0" xfId="0" applyNumberFormat="1" applyFont="1" applyFill="1" applyBorder="1"/>
    <xf numFmtId="0" fontId="9" fillId="0" borderId="0" xfId="5" applyFont="1" applyAlignment="1"/>
    <xf numFmtId="3" fontId="16" fillId="0" borderId="0" xfId="0" applyNumberFormat="1" applyFont="1" applyFill="1"/>
    <xf numFmtId="169" fontId="16" fillId="0" borderId="0" xfId="0" applyNumberFormat="1" applyFont="1" applyFill="1"/>
    <xf numFmtId="0" fontId="16" fillId="0" borderId="0" xfId="0" applyFont="1" applyFill="1"/>
    <xf numFmtId="3" fontId="26" fillId="0" borderId="0" xfId="0" applyNumberFormat="1" applyFont="1"/>
    <xf numFmtId="0" fontId="13" fillId="2" borderId="4" xfId="0" applyFont="1" applyFill="1" applyBorder="1"/>
    <xf numFmtId="164" fontId="27" fillId="6" borderId="4" xfId="5" applyNumberFormat="1" applyFill="1" applyBorder="1"/>
    <xf numFmtId="2" fontId="27" fillId="6" borderId="4" xfId="5" applyNumberFormat="1" applyFill="1" applyBorder="1"/>
    <xf numFmtId="0" fontId="4" fillId="0" borderId="0" xfId="0" applyFont="1"/>
    <xf numFmtId="0" fontId="8" fillId="0" borderId="0" xfId="5" applyFont="1"/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164" fontId="0" fillId="6" borderId="0" xfId="0" applyNumberFormat="1" applyFill="1"/>
    <xf numFmtId="164" fontId="13" fillId="2" borderId="0" xfId="0" applyNumberFormat="1" applyFont="1" applyFill="1" applyBorder="1"/>
    <xf numFmtId="2" fontId="13" fillId="2" borderId="0" xfId="0" applyNumberFormat="1" applyFont="1" applyFill="1" applyBorder="1"/>
    <xf numFmtId="0" fontId="8" fillId="0" borderId="0" xfId="5" applyFont="1" applyFill="1" applyAlignment="1">
      <alignment horizontal="left" vertical="top" wrapText="1"/>
    </xf>
    <xf numFmtId="0" fontId="14" fillId="0" borderId="0" xfId="5" applyFont="1" applyAlignment="1">
      <alignment horizontal="left" vertical="top"/>
    </xf>
    <xf numFmtId="9" fontId="4" fillId="4" borderId="0" xfId="7" applyFont="1" applyFill="1" applyAlignment="1">
      <alignment horizontal="center"/>
    </xf>
    <xf numFmtId="0" fontId="4" fillId="0" borderId="0" xfId="5" applyFont="1" applyAlignment="1">
      <alignment wrapText="1"/>
    </xf>
    <xf numFmtId="164" fontId="9" fillId="2" borderId="0" xfId="5" applyNumberFormat="1" applyFont="1" applyFill="1"/>
    <xf numFmtId="0" fontId="29" fillId="0" borderId="0" xfId="5" applyFont="1" applyAlignment="1">
      <alignment horizontal="left" vertical="top" wrapText="1"/>
    </xf>
    <xf numFmtId="9" fontId="27" fillId="0" borderId="0" xfId="5" applyNumberFormat="1"/>
    <xf numFmtId="0" fontId="18" fillId="0" borderId="5" xfId="0" applyFont="1" applyBorder="1"/>
    <xf numFmtId="0" fontId="18" fillId="0" borderId="5" xfId="0" applyFont="1" applyFill="1" applyBorder="1"/>
    <xf numFmtId="0" fontId="20" fillId="0" borderId="5" xfId="0" applyFont="1" applyFill="1" applyBorder="1"/>
    <xf numFmtId="10" fontId="18" fillId="0" borderId="5" xfId="7" applyNumberFormat="1" applyFont="1" applyFill="1" applyBorder="1"/>
    <xf numFmtId="3" fontId="18" fillId="0" borderId="5" xfId="0" applyNumberFormat="1" applyFont="1" applyFill="1" applyBorder="1"/>
    <xf numFmtId="0" fontId="0" fillId="0" borderId="5" xfId="0" applyBorder="1"/>
    <xf numFmtId="0" fontId="4" fillId="0" borderId="5" xfId="5" applyFont="1" applyBorder="1"/>
    <xf numFmtId="0" fontId="20" fillId="0" borderId="5" xfId="0" applyFont="1" applyBorder="1" applyAlignment="1">
      <alignment horizontal="center"/>
    </xf>
    <xf numFmtId="164" fontId="18" fillId="2" borderId="5" xfId="0" applyNumberFormat="1" applyFont="1" applyFill="1" applyBorder="1"/>
    <xf numFmtId="164" fontId="18" fillId="0" borderId="5" xfId="0" applyNumberFormat="1" applyFont="1" applyBorder="1"/>
    <xf numFmtId="165" fontId="21" fillId="0" borderId="5" xfId="0" applyNumberFormat="1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/>
    </xf>
    <xf numFmtId="3" fontId="17" fillId="0" borderId="5" xfId="4" applyNumberFormat="1" applyFon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69" fontId="10" fillId="2" borderId="0" xfId="7" applyNumberFormat="1" applyFont="1" applyFill="1" applyAlignment="1">
      <alignment horizontal="center"/>
    </xf>
    <xf numFmtId="165" fontId="9" fillId="0" borderId="0" xfId="0" applyNumberFormat="1" applyFont="1" applyAlignment="1">
      <alignment horizontal="left" vertical="center"/>
    </xf>
    <xf numFmtId="0" fontId="16" fillId="4" borderId="0" xfId="0" applyFont="1" applyFill="1" applyBorder="1"/>
    <xf numFmtId="0" fontId="13" fillId="0" borderId="0" xfId="0" applyFont="1" applyFill="1"/>
    <xf numFmtId="169" fontId="4" fillId="2" borderId="0" xfId="7" applyNumberFormat="1" applyFont="1" applyFill="1" applyAlignment="1">
      <alignment horizontal="center"/>
    </xf>
    <xf numFmtId="0" fontId="1" fillId="0" borderId="0" xfId="5" applyFont="1"/>
    <xf numFmtId="169" fontId="27" fillId="0" borderId="0" xfId="5" applyNumberFormat="1"/>
    <xf numFmtId="10" fontId="16" fillId="4" borderId="0" xfId="7" applyNumberFormat="1" applyFont="1" applyFill="1"/>
    <xf numFmtId="165" fontId="14" fillId="0" borderId="0" xfId="0" applyNumberFormat="1" applyFont="1" applyAlignment="1">
      <alignment horizontal="center" vertical="center"/>
    </xf>
    <xf numFmtId="3" fontId="4" fillId="0" borderId="0" xfId="0" applyNumberFormat="1" applyFont="1" applyFill="1"/>
    <xf numFmtId="0" fontId="0" fillId="7" borderId="6" xfId="0" applyFill="1" applyBorder="1"/>
    <xf numFmtId="171" fontId="0" fillId="7" borderId="7" xfId="0" applyNumberFormat="1" applyFill="1" applyBorder="1"/>
    <xf numFmtId="0" fontId="0" fillId="0" borderId="8" xfId="0" applyBorder="1"/>
    <xf numFmtId="171" fontId="0" fillId="0" borderId="9" xfId="0" applyNumberFormat="1" applyBorder="1"/>
    <xf numFmtId="0" fontId="0" fillId="0" borderId="10" xfId="0" applyBorder="1"/>
    <xf numFmtId="171" fontId="0" fillId="0" borderId="11" xfId="0" applyNumberFormat="1" applyBorder="1"/>
    <xf numFmtId="0" fontId="0" fillId="0" borderId="0" xfId="0" applyAlignment="1">
      <alignment horizontal="center"/>
    </xf>
    <xf numFmtId="0" fontId="16" fillId="8" borderId="0" xfId="0" applyFont="1" applyFill="1"/>
    <xf numFmtId="0" fontId="13" fillId="8" borderId="0" xfId="0" applyFont="1" applyFill="1"/>
    <xf numFmtId="0" fontId="0" fillId="8" borderId="0" xfId="0" applyFill="1"/>
    <xf numFmtId="0" fontId="19" fillId="8" borderId="0" xfId="0" applyFont="1" applyFill="1"/>
    <xf numFmtId="0" fontId="10" fillId="8" borderId="0" xfId="0" applyFont="1" applyFill="1"/>
    <xf numFmtId="0" fontId="7" fillId="8" borderId="0" xfId="0" applyFont="1" applyFill="1"/>
    <xf numFmtId="0" fontId="28" fillId="8" borderId="0" xfId="3" quotePrefix="1" applyFill="1"/>
    <xf numFmtId="0" fontId="28" fillId="8" borderId="0" xfId="3" applyFill="1"/>
    <xf numFmtId="10" fontId="9" fillId="0" borderId="0" xfId="7" applyNumberFormat="1" applyFont="1"/>
    <xf numFmtId="0" fontId="30" fillId="0" borderId="0" xfId="5" applyNumberFormat="1" applyFont="1"/>
    <xf numFmtId="0" fontId="30" fillId="0" borderId="0" xfId="5" applyFont="1"/>
    <xf numFmtId="0" fontId="30" fillId="0" borderId="0" xfId="5" applyFont="1" applyAlignment="1">
      <alignment horizontal="left" vertical="top" wrapText="1"/>
    </xf>
    <xf numFmtId="0" fontId="31" fillId="0" borderId="0" xfId="5" applyFont="1" applyFill="1" applyAlignment="1">
      <alignment horizontal="left" vertical="top" wrapText="1"/>
    </xf>
    <xf numFmtId="3" fontId="30" fillId="0" borderId="0" xfId="5" applyNumberFormat="1" applyFont="1" applyFill="1"/>
    <xf numFmtId="0" fontId="30" fillId="0" borderId="0" xfId="5" applyFont="1" applyFill="1"/>
    <xf numFmtId="0" fontId="13" fillId="8" borderId="12" xfId="0" applyFont="1" applyFill="1" applyBorder="1"/>
    <xf numFmtId="0" fontId="0" fillId="8" borderId="12" xfId="0" applyFill="1" applyBorder="1"/>
    <xf numFmtId="0" fontId="32" fillId="8" borderId="12" xfId="0" applyFont="1" applyFill="1" applyBorder="1"/>
    <xf numFmtId="165" fontId="22" fillId="0" borderId="0" xfId="0" applyNumberFormat="1" applyFont="1" applyFill="1" applyAlignment="1">
      <alignment horizontal="center"/>
    </xf>
    <xf numFmtId="165" fontId="23" fillId="0" borderId="0" xfId="0" applyNumberFormat="1" applyFont="1" applyFill="1" applyAlignment="1">
      <alignment horizontal="center" vertical="center"/>
    </xf>
    <xf numFmtId="170" fontId="18" fillId="0" borderId="0" xfId="2" applyNumberFormat="1" applyFont="1" applyFill="1"/>
    <xf numFmtId="0" fontId="0" fillId="0" borderId="0" xfId="0" applyFill="1"/>
    <xf numFmtId="0" fontId="26" fillId="8" borderId="0" xfId="0" applyFont="1" applyFill="1"/>
    <xf numFmtId="3" fontId="26" fillId="8" borderId="0" xfId="0" applyNumberFormat="1" applyFont="1" applyFill="1"/>
    <xf numFmtId="3" fontId="0" fillId="8" borderId="0" xfId="0" applyNumberFormat="1" applyFill="1"/>
    <xf numFmtId="169" fontId="0" fillId="8" borderId="0" xfId="0" applyNumberFormat="1" applyFill="1"/>
  </cellXfs>
  <cellStyles count="8">
    <cellStyle name="Assumptions Right Number" xfId="1"/>
    <cellStyle name="Currency" xfId="2" builtinId="4"/>
    <cellStyle name="Hyperlink" xfId="3" builtinId="8"/>
    <cellStyle name="Normal" xfId="0" builtinId="0"/>
    <cellStyle name="Normal 2" xfId="4"/>
    <cellStyle name="Normal 3" xfId="5"/>
    <cellStyle name="Normal 3 2" xfId="6"/>
    <cellStyle name="Percent" xfId="7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EDA3C"/>
      <color rgb="FFC3C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71586721324285E-2"/>
          <c:y val="5.2669988310955568E-2"/>
          <c:w val="0.908425335090152"/>
          <c:h val="0.811935738151007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Summary!$A$8</c:f>
              <c:strCache>
                <c:ptCount val="1"/>
                <c:pt idx="0">
                  <c:v>Cobb-Douglas SFA 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Summary!$D$8</c:f>
              <c:numCache>
                <c:formatCode>#,##0</c:formatCode>
                <c:ptCount val="1"/>
                <c:pt idx="0">
                  <c:v>271.89069919613615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A-4368-8FC8-54431630E9E4}"/>
            </c:ext>
          </c:extLst>
        </c:ser>
        <c:ser>
          <c:idx val="1"/>
          <c:order val="1"/>
          <c:tx>
            <c:strRef>
              <c:f>Summary!$A$9</c:f>
              <c:strCache>
                <c:ptCount val="1"/>
                <c:pt idx="0">
                  <c:v>Cobb-Douglas LSE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Summary!$D$9</c:f>
              <c:numCache>
                <c:formatCode>#,##0</c:formatCode>
                <c:ptCount val="1"/>
                <c:pt idx="0">
                  <c:v>257.91381501548443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9A-4368-8FC8-54431630E9E4}"/>
            </c:ext>
          </c:extLst>
        </c:ser>
        <c:ser>
          <c:idx val="2"/>
          <c:order val="2"/>
          <c:tx>
            <c:strRef>
              <c:f>Summary!$A$10</c:f>
              <c:strCache>
                <c:ptCount val="1"/>
                <c:pt idx="0">
                  <c:v>Translog LSE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Summary!$D$10</c:f>
              <c:numCache>
                <c:formatCode>#,##0</c:formatCode>
                <c:ptCount val="1"/>
                <c:pt idx="0">
                  <c:v>283.08443263806726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9A-4368-8FC8-54431630E9E4}"/>
            </c:ext>
          </c:extLst>
        </c:ser>
        <c:ser>
          <c:idx val="4"/>
          <c:order val="3"/>
          <c:tx>
            <c:strRef>
              <c:f>Summary!$A$11</c:f>
              <c:strCache>
                <c:ptCount val="1"/>
                <c:pt idx="0">
                  <c:v>Translog SFA</c:v>
                </c:pt>
              </c:strCache>
            </c:strRef>
          </c:tx>
          <c:spPr>
            <a:solidFill>
              <a:srgbClr val="DEDA3C"/>
            </a:solidFill>
            <a:ln>
              <a:noFill/>
            </a:ln>
            <a:effectLst/>
          </c:spPr>
          <c:invertIfNegative val="0"/>
          <c:val>
            <c:numRef>
              <c:f>Summary!$D$11</c:f>
              <c:numCache>
                <c:formatCode>#,##0</c:formatCode>
                <c:ptCount val="1"/>
                <c:pt idx="0">
                  <c:v>292.20706637917243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8-4F42-9A8D-9F882BBF49F8}"/>
            </c:ext>
          </c:extLst>
        </c:ser>
        <c:ser>
          <c:idx val="3"/>
          <c:order val="4"/>
          <c:tx>
            <c:strRef>
              <c:f>Summary!$A$14</c:f>
              <c:strCache>
                <c:ptCount val="1"/>
                <c:pt idx="0">
                  <c:v>Endeavour estimated opex</c:v>
                </c:pt>
              </c:strCache>
            </c:strRef>
          </c:tx>
          <c:spPr>
            <a:solidFill>
              <a:schemeClr val="accent3"/>
            </a:solidFill>
            <a:ln w="22225">
              <a:solidFill>
                <a:schemeClr val="accent3">
                  <a:lumMod val="75000"/>
                </a:schemeClr>
              </a:solidFill>
            </a:ln>
            <a:effectLst/>
          </c:spPr>
          <c:invertIfNegative val="0"/>
          <c:cat>
            <c:strRef>
              <c:f>Summary!$D$7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Summary!$D$14</c:f>
              <c:numCache>
                <c:formatCode>#,##0</c:formatCode>
                <c:ptCount val="1"/>
                <c:pt idx="0">
                  <c:v>264.77683167807083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9A-4368-8FC8-54431630E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004856"/>
        <c:axId val="652008136"/>
      </c:barChart>
      <c:catAx>
        <c:axId val="65200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008136"/>
        <c:crosses val="autoZero"/>
        <c:auto val="1"/>
        <c:lblAlgn val="ctr"/>
        <c:lblOffset val="100"/>
        <c:noMultiLvlLbl val="0"/>
      </c:catAx>
      <c:valAx>
        <c:axId val="652008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004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172663</xdr:colOff>
      <xdr:row>15</xdr:row>
      <xdr:rowOff>93195</xdr:rowOff>
    </xdr:from>
    <xdr:to>
      <xdr:col>8</xdr:col>
      <xdr:colOff>11206</xdr:colOff>
      <xdr:row>43</xdr:row>
      <xdr:rowOff>145677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A28" sqref="A28"/>
    </sheetView>
  </sheetViews>
  <sheetFormatPr defaultRowHeight="15" zeroHeight="1" x14ac:dyDescent="0.25"/>
  <cols>
    <col min="1" max="1" width="20.5703125" style="160" customWidth="1"/>
    <col min="2" max="9" width="9.140625" style="160"/>
    <col min="10" max="16384" width="9.140625" style="161"/>
  </cols>
  <sheetData>
    <row r="1" spans="1:14" s="175" customFormat="1" ht="23.25" x14ac:dyDescent="0.35">
      <c r="A1" s="176" t="s">
        <v>73</v>
      </c>
      <c r="B1" s="174"/>
      <c r="C1" s="174"/>
      <c r="D1" s="174"/>
      <c r="E1" s="174"/>
      <c r="F1" s="174"/>
      <c r="G1" s="174"/>
      <c r="H1" s="174"/>
      <c r="I1" s="174"/>
    </row>
    <row r="2" spans="1:14" x14ac:dyDescent="0.25">
      <c r="A2" s="162"/>
    </row>
    <row r="3" spans="1:14" x14ac:dyDescent="0.25"/>
    <row r="4" spans="1:14" x14ac:dyDescent="0.25">
      <c r="A4" s="163" t="s">
        <v>74</v>
      </c>
    </row>
    <row r="5" spans="1:14" x14ac:dyDescent="0.25">
      <c r="A5" s="160" t="s">
        <v>169</v>
      </c>
    </row>
    <row r="6" spans="1:14" x14ac:dyDescent="0.25">
      <c r="A6" s="160" t="s">
        <v>102</v>
      </c>
    </row>
    <row r="7" spans="1:14" x14ac:dyDescent="0.25">
      <c r="A7" s="160" t="s">
        <v>100</v>
      </c>
    </row>
    <row r="8" spans="1:14" x14ac:dyDescent="0.25"/>
    <row r="9" spans="1:14" x14ac:dyDescent="0.25">
      <c r="A9" s="163" t="s">
        <v>75</v>
      </c>
    </row>
    <row r="10" spans="1:14" x14ac:dyDescent="0.25">
      <c r="A10" s="160" t="s">
        <v>76</v>
      </c>
      <c r="B10" s="22" t="s">
        <v>79</v>
      </c>
    </row>
    <row r="11" spans="1:14" x14ac:dyDescent="0.25">
      <c r="A11" s="160" t="s">
        <v>77</v>
      </c>
      <c r="B11" s="23" t="s">
        <v>80</v>
      </c>
    </row>
    <row r="12" spans="1:14" x14ac:dyDescent="0.25">
      <c r="A12" s="160" t="s">
        <v>78</v>
      </c>
      <c r="B12" s="24" t="s">
        <v>81</v>
      </c>
    </row>
    <row r="13" spans="1:14" x14ac:dyDescent="0.25"/>
    <row r="14" spans="1:14" x14ac:dyDescent="0.25">
      <c r="A14" s="159" t="s">
        <v>82</v>
      </c>
      <c r="N14" s="164" t="s">
        <v>86</v>
      </c>
    </row>
    <row r="15" spans="1:14" x14ac:dyDescent="0.25">
      <c r="A15" s="160" t="s">
        <v>85</v>
      </c>
      <c r="N15" s="165" t="s">
        <v>87</v>
      </c>
    </row>
    <row r="16" spans="1:14" x14ac:dyDescent="0.25">
      <c r="A16" s="160" t="s">
        <v>170</v>
      </c>
    </row>
    <row r="17" spans="1:14" x14ac:dyDescent="0.25"/>
    <row r="18" spans="1:14" x14ac:dyDescent="0.25">
      <c r="A18" s="159" t="s">
        <v>90</v>
      </c>
    </row>
    <row r="19" spans="1:14" x14ac:dyDescent="0.25">
      <c r="A19" s="160" t="s">
        <v>97</v>
      </c>
      <c r="N19" s="165" t="s">
        <v>88</v>
      </c>
    </row>
    <row r="20" spans="1:14" x14ac:dyDescent="0.25">
      <c r="A20" s="160" t="s">
        <v>84</v>
      </c>
    </row>
    <row r="21" spans="1:14" x14ac:dyDescent="0.25"/>
    <row r="22" spans="1:14" x14ac:dyDescent="0.25">
      <c r="A22" s="159" t="s">
        <v>83</v>
      </c>
    </row>
    <row r="23" spans="1:14" x14ac:dyDescent="0.25">
      <c r="A23" s="160" t="s">
        <v>98</v>
      </c>
      <c r="N23" s="166" t="s">
        <v>71</v>
      </c>
    </row>
    <row r="24" spans="1:14" x14ac:dyDescent="0.25">
      <c r="A24" s="160" t="s">
        <v>171</v>
      </c>
    </row>
    <row r="25" spans="1:14" x14ac:dyDescent="0.25"/>
    <row r="26" spans="1:14" x14ac:dyDescent="0.25">
      <c r="A26" s="160" t="s">
        <v>99</v>
      </c>
      <c r="N26" s="166" t="s">
        <v>89</v>
      </c>
    </row>
    <row r="27" spans="1:14" x14ac:dyDescent="0.25">
      <c r="A27" s="160" t="s">
        <v>172</v>
      </c>
    </row>
    <row r="28" spans="1:14" x14ac:dyDescent="0.25"/>
    <row r="29" spans="1:14" x14ac:dyDescent="0.25">
      <c r="N29" s="166"/>
    </row>
  </sheetData>
  <phoneticPr fontId="25" type="noConversion"/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C18" sqref="C18"/>
    </sheetView>
  </sheetViews>
  <sheetFormatPr defaultColWidth="8.7109375" defaultRowHeight="12.75" zeroHeight="1" x14ac:dyDescent="0.2"/>
  <cols>
    <col min="1" max="1" width="31" customWidth="1"/>
    <col min="2" max="2" width="10.85546875" customWidth="1"/>
    <col min="3" max="3" width="8.7109375" style="180"/>
    <col min="4" max="4" width="9.5703125" customWidth="1"/>
    <col min="5" max="5" width="9.42578125" customWidth="1"/>
    <col min="6" max="7" width="9.7109375" customWidth="1"/>
    <col min="8" max="8" width="10.7109375" customWidth="1"/>
    <col min="9" max="9" width="10" customWidth="1"/>
    <col min="10" max="17" width="11" customWidth="1"/>
  </cols>
  <sheetData>
    <row r="1" spans="1:17" s="37" customFormat="1" ht="15" x14ac:dyDescent="0.25">
      <c r="A1" s="21" t="s">
        <v>173</v>
      </c>
      <c r="C1" s="48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s="38" customFormat="1" ht="15" x14ac:dyDescent="0.25">
      <c r="C2" s="58"/>
      <c r="D2" s="140" t="s">
        <v>174</v>
      </c>
      <c r="E2" s="140" t="s">
        <v>174</v>
      </c>
      <c r="F2" s="140" t="s">
        <v>174</v>
      </c>
      <c r="G2" s="140" t="s">
        <v>174</v>
      </c>
      <c r="H2" s="140" t="s">
        <v>174</v>
      </c>
      <c r="I2" s="140" t="s">
        <v>174</v>
      </c>
      <c r="J2" s="140" t="s">
        <v>174</v>
      </c>
      <c r="K2" s="140" t="s">
        <v>174</v>
      </c>
      <c r="L2" s="140" t="s">
        <v>174</v>
      </c>
      <c r="M2" s="140" t="s">
        <v>174</v>
      </c>
      <c r="N2" s="140" t="s">
        <v>174</v>
      </c>
      <c r="O2" s="140" t="s">
        <v>174</v>
      </c>
      <c r="P2" s="140" t="s">
        <v>174</v>
      </c>
      <c r="Q2" s="140" t="s">
        <v>174</v>
      </c>
    </row>
    <row r="3" spans="1:17" s="37" customFormat="1" ht="15" x14ac:dyDescent="0.25">
      <c r="A3" s="66" t="s">
        <v>91</v>
      </c>
      <c r="B3" s="67" t="s">
        <v>9</v>
      </c>
      <c r="C3" s="177"/>
      <c r="D3" s="68" t="s">
        <v>32</v>
      </c>
      <c r="E3" s="68" t="s">
        <v>33</v>
      </c>
      <c r="F3" s="68" t="s">
        <v>34</v>
      </c>
      <c r="G3" s="68" t="s">
        <v>35</v>
      </c>
      <c r="H3" s="68" t="s">
        <v>36</v>
      </c>
      <c r="I3" s="68" t="s">
        <v>37</v>
      </c>
      <c r="J3" s="68" t="s">
        <v>38</v>
      </c>
      <c r="K3" s="68" t="s">
        <v>14</v>
      </c>
      <c r="L3" s="68" t="s">
        <v>103</v>
      </c>
      <c r="M3" s="68" t="s">
        <v>104</v>
      </c>
      <c r="N3" s="68" t="s">
        <v>105</v>
      </c>
      <c r="O3" s="68" t="s">
        <v>106</v>
      </c>
      <c r="P3" s="68" t="s">
        <v>107</v>
      </c>
      <c r="Q3" s="68" t="s">
        <v>108</v>
      </c>
    </row>
    <row r="4" spans="1:17" s="37" customFormat="1" ht="15" x14ac:dyDescent="0.25">
      <c r="A4" s="143" t="s">
        <v>148</v>
      </c>
      <c r="B4" s="69" t="s">
        <v>101</v>
      </c>
      <c r="C4" s="177"/>
      <c r="D4" s="73">
        <v>533636.00000000047</v>
      </c>
      <c r="E4" s="73">
        <v>562936.11209093523</v>
      </c>
      <c r="F4" s="73">
        <v>637518.00000000047</v>
      </c>
      <c r="G4" s="73">
        <v>672638.99999999988</v>
      </c>
      <c r="H4" s="73">
        <v>777696.00000000047</v>
      </c>
      <c r="I4" s="73">
        <v>897763.7850000005</v>
      </c>
      <c r="J4" s="73">
        <v>991679.29192332737</v>
      </c>
      <c r="K4" s="73">
        <v>1028796.6007166066</v>
      </c>
      <c r="L4" s="73">
        <v>1009898.5404404285</v>
      </c>
      <c r="M4" s="73">
        <v>984528.01809113158</v>
      </c>
      <c r="N4" s="73">
        <v>844067.30425054953</v>
      </c>
      <c r="O4" s="73">
        <v>875734.34661291656</v>
      </c>
      <c r="P4" s="73">
        <v>848984.21798173606</v>
      </c>
      <c r="Q4" s="73">
        <v>851794.74470257177</v>
      </c>
    </row>
    <row r="5" spans="1:17" s="37" customFormat="1" ht="15" x14ac:dyDescent="0.25">
      <c r="A5" s="39" t="s">
        <v>10</v>
      </c>
      <c r="B5" s="69" t="s">
        <v>11</v>
      </c>
      <c r="C5" s="178"/>
      <c r="D5" s="73">
        <v>849548.29330194998</v>
      </c>
      <c r="E5" s="73">
        <v>859722.30529924994</v>
      </c>
      <c r="F5" s="73">
        <v>869654.53679640999</v>
      </c>
      <c r="G5" s="73">
        <v>878612.20779661997</v>
      </c>
      <c r="H5" s="73">
        <v>886064.29272154998</v>
      </c>
      <c r="I5" s="73">
        <v>895088.26980019</v>
      </c>
      <c r="J5" s="73">
        <v>903746.68839344999</v>
      </c>
      <c r="K5" s="73">
        <v>919384.82389899995</v>
      </c>
      <c r="L5" s="73">
        <v>940028.5</v>
      </c>
      <c r="M5" s="73">
        <v>955832.5</v>
      </c>
      <c r="N5" s="73">
        <v>968354.5</v>
      </c>
      <c r="O5" s="73">
        <v>984229.5</v>
      </c>
      <c r="P5" s="73">
        <v>1015567.8816321676</v>
      </c>
      <c r="Q5" s="73">
        <v>1034036.5505685979</v>
      </c>
    </row>
    <row r="6" spans="1:17" s="37" customFormat="1" ht="15" x14ac:dyDescent="0.25">
      <c r="A6" s="39" t="s">
        <v>15</v>
      </c>
      <c r="B6" s="69" t="s">
        <v>12</v>
      </c>
      <c r="C6" s="178"/>
      <c r="D6" s="84">
        <v>32432</v>
      </c>
      <c r="E6" s="84">
        <v>32832</v>
      </c>
      <c r="F6" s="84">
        <v>33299</v>
      </c>
      <c r="G6" s="84">
        <v>33579</v>
      </c>
      <c r="H6" s="84">
        <v>33817</v>
      </c>
      <c r="I6" s="84">
        <v>34172</v>
      </c>
      <c r="J6" s="84">
        <v>34568</v>
      </c>
      <c r="K6" s="84">
        <v>35029</v>
      </c>
      <c r="L6" s="84">
        <v>35491.989000000001</v>
      </c>
      <c r="M6" s="84">
        <v>36005.181619000003</v>
      </c>
      <c r="N6" s="84">
        <v>36467.860999999997</v>
      </c>
      <c r="O6" s="84">
        <v>36993.039377000001</v>
      </c>
      <c r="P6" s="84">
        <v>37621</v>
      </c>
      <c r="Q6" s="84">
        <v>38254</v>
      </c>
    </row>
    <row r="7" spans="1:17" s="37" customFormat="1" ht="15" x14ac:dyDescent="0.25">
      <c r="A7" s="39" t="s">
        <v>16</v>
      </c>
      <c r="B7" s="69" t="s">
        <v>18</v>
      </c>
      <c r="C7" s="178"/>
      <c r="D7" s="84">
        <v>3779.0286552100001</v>
      </c>
      <c r="E7" s="84">
        <v>3704.4117377299999</v>
      </c>
      <c r="F7" s="84">
        <v>3690.1265355</v>
      </c>
      <c r="G7" s="84">
        <v>4004.2594068600001</v>
      </c>
      <c r="H7" s="84">
        <v>3928.5643727000001</v>
      </c>
      <c r="I7" s="84">
        <v>4162.0593220700002</v>
      </c>
      <c r="J7" s="84">
        <v>3377.31322821</v>
      </c>
      <c r="K7" s="84">
        <v>3825.0089998899998</v>
      </c>
      <c r="L7" s="84">
        <v>3361.1572785799999</v>
      </c>
      <c r="M7" s="84">
        <v>3592.95984146</v>
      </c>
      <c r="N7" s="84">
        <v>4096.74707253</v>
      </c>
      <c r="O7" s="84">
        <v>4344.0417028000002</v>
      </c>
      <c r="P7" s="84">
        <v>3897.98</v>
      </c>
      <c r="Q7" s="84">
        <v>4087.41</v>
      </c>
    </row>
    <row r="8" spans="1:17" s="37" customFormat="1" ht="15" x14ac:dyDescent="0.25">
      <c r="A8" s="39" t="s">
        <v>17</v>
      </c>
      <c r="B8" s="69" t="s">
        <v>18</v>
      </c>
      <c r="C8" s="178"/>
      <c r="D8" s="70">
        <f>MAX(D7)</f>
        <v>3779.0286552100001</v>
      </c>
      <c r="E8" s="70">
        <f>MAX(D8,E7)</f>
        <v>3779.0286552100001</v>
      </c>
      <c r="F8" s="70">
        <f t="shared" ref="F8:K8" si="0">MAX(E8,F7)</f>
        <v>3779.0286552100001</v>
      </c>
      <c r="G8" s="70">
        <f t="shared" si="0"/>
        <v>4004.2594068600001</v>
      </c>
      <c r="H8" s="70">
        <f t="shared" si="0"/>
        <v>4004.2594068600001</v>
      </c>
      <c r="I8" s="70">
        <f t="shared" si="0"/>
        <v>4162.0593220700002</v>
      </c>
      <c r="J8" s="70">
        <f t="shared" si="0"/>
        <v>4162.0593220700002</v>
      </c>
      <c r="K8" s="70">
        <f t="shared" si="0"/>
        <v>4162.0593220700002</v>
      </c>
      <c r="L8" s="70">
        <f t="shared" ref="L8:Q8" si="1">MAX(K8,L7)</f>
        <v>4162.0593220700002</v>
      </c>
      <c r="M8" s="70">
        <f t="shared" si="1"/>
        <v>4162.0593220700002</v>
      </c>
      <c r="N8" s="70">
        <f t="shared" si="1"/>
        <v>4162.0593220700002</v>
      </c>
      <c r="O8" s="70">
        <f t="shared" si="1"/>
        <v>4344.0417028000002</v>
      </c>
      <c r="P8" s="70">
        <f t="shared" si="1"/>
        <v>4344.0417028000002</v>
      </c>
      <c r="Q8" s="70">
        <f t="shared" si="1"/>
        <v>4344.0417028000002</v>
      </c>
    </row>
    <row r="9" spans="1:17" s="37" customFormat="1" ht="15" x14ac:dyDescent="0.25">
      <c r="A9" s="39" t="s">
        <v>19</v>
      </c>
      <c r="B9" s="69" t="s">
        <v>12</v>
      </c>
      <c r="C9" s="178"/>
      <c r="D9" s="84">
        <v>9045</v>
      </c>
      <c r="E9" s="84">
        <v>9423</v>
      </c>
      <c r="F9" s="84">
        <v>9859</v>
      </c>
      <c r="G9" s="84">
        <v>10136</v>
      </c>
      <c r="H9" s="84">
        <v>10386</v>
      </c>
      <c r="I9" s="84">
        <v>10761</v>
      </c>
      <c r="J9" s="84">
        <v>11151</v>
      </c>
      <c r="K9" s="84">
        <v>11617</v>
      </c>
      <c r="L9" s="84">
        <v>12104.67</v>
      </c>
      <c r="M9" s="84">
        <v>12635.856619</v>
      </c>
      <c r="N9" s="84">
        <v>13173.102000000001</v>
      </c>
      <c r="O9" s="84">
        <v>13766.485129999999</v>
      </c>
      <c r="P9" s="84">
        <v>14489</v>
      </c>
      <c r="Q9" s="84">
        <v>15215</v>
      </c>
    </row>
    <row r="10" spans="1:17" s="37" customFormat="1" ht="15" x14ac:dyDescent="0.25">
      <c r="A10" s="39" t="s">
        <v>20</v>
      </c>
      <c r="B10" s="69" t="s">
        <v>21</v>
      </c>
      <c r="C10" s="178"/>
      <c r="D10" s="72">
        <f t="shared" ref="D10:K10" si="2">D9/D6</f>
        <v>0.27889121854958066</v>
      </c>
      <c r="E10" s="72">
        <f t="shared" si="2"/>
        <v>0.28700657894736842</v>
      </c>
      <c r="F10" s="72">
        <f t="shared" si="2"/>
        <v>0.29607495720592208</v>
      </c>
      <c r="G10" s="72">
        <f t="shared" si="2"/>
        <v>0.30185532624557015</v>
      </c>
      <c r="H10" s="72">
        <f t="shared" si="2"/>
        <v>0.30712363604104442</v>
      </c>
      <c r="I10" s="72">
        <f t="shared" si="2"/>
        <v>0.31490694135549574</v>
      </c>
      <c r="J10" s="72">
        <f t="shared" si="2"/>
        <v>0.32258157833834761</v>
      </c>
      <c r="K10" s="72">
        <f t="shared" si="2"/>
        <v>0.33163949870107623</v>
      </c>
      <c r="L10" s="72">
        <f t="shared" ref="L10:Q10" si="3">L9/L6</f>
        <v>0.34105358254224638</v>
      </c>
      <c r="M10" s="72">
        <f t="shared" si="3"/>
        <v>0.35094550425297771</v>
      </c>
      <c r="N10" s="72">
        <f t="shared" si="3"/>
        <v>0.36122497011820909</v>
      </c>
      <c r="O10" s="72">
        <f t="shared" si="3"/>
        <v>0.3721371739614116</v>
      </c>
      <c r="P10" s="72">
        <f t="shared" si="3"/>
        <v>0.38513064511841788</v>
      </c>
      <c r="Q10" s="72">
        <f t="shared" si="3"/>
        <v>0.39773618445129921</v>
      </c>
    </row>
    <row r="11" spans="1:17" s="37" customFormat="1" ht="15" x14ac:dyDescent="0.25">
      <c r="A11" s="39" t="s">
        <v>41</v>
      </c>
      <c r="B11" s="69" t="s">
        <v>101</v>
      </c>
      <c r="C11" s="178"/>
      <c r="D11" s="73">
        <v>156824.91789216301</v>
      </c>
      <c r="E11" s="73">
        <v>176841.394432931</v>
      </c>
      <c r="F11" s="73">
        <v>224408.06001672801</v>
      </c>
      <c r="G11" s="73">
        <v>214131.30026509601</v>
      </c>
      <c r="H11" s="73">
        <v>210431.13798086398</v>
      </c>
      <c r="I11" s="73">
        <v>229554.29065953402</v>
      </c>
      <c r="J11" s="73">
        <v>240838.12724750797</v>
      </c>
      <c r="K11" s="73">
        <v>222645.27398422701</v>
      </c>
      <c r="L11" s="73">
        <v>258321.99304766802</v>
      </c>
      <c r="M11" s="73">
        <v>270954.43519109796</v>
      </c>
      <c r="N11" s="73">
        <v>295663.49812986702</v>
      </c>
      <c r="O11" s="73">
        <v>276143.80499999999</v>
      </c>
      <c r="P11" s="73">
        <v>258811.92362256986</v>
      </c>
      <c r="Q11" s="73">
        <v>269082.4098333203</v>
      </c>
    </row>
    <row r="12" spans="1:17" s="37" customFormat="1" ht="15" x14ac:dyDescent="0.25">
      <c r="A12" s="39"/>
      <c r="B12" s="69"/>
      <c r="C12" s="178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7" s="37" customFormat="1" ht="15" x14ac:dyDescent="0.25">
      <c r="A13" s="39" t="s">
        <v>42</v>
      </c>
      <c r="B13" s="69" t="s">
        <v>92</v>
      </c>
      <c r="C13" s="178"/>
      <c r="D13" s="102">
        <v>1</v>
      </c>
      <c r="E13" s="102">
        <v>1.0453031706310059</v>
      </c>
      <c r="F13" s="102">
        <v>1.0869127291238869</v>
      </c>
      <c r="G13" s="102">
        <v>1.1314150307773592</v>
      </c>
      <c r="H13" s="102">
        <v>1.157184416610997</v>
      </c>
      <c r="I13" s="102">
        <v>1.2000498549749401</v>
      </c>
      <c r="J13" s="102">
        <v>1.2390479353613724</v>
      </c>
      <c r="K13" s="102">
        <v>1.2792011471296834</v>
      </c>
      <c r="L13" s="102">
        <v>1.314246043793176</v>
      </c>
      <c r="M13" s="102">
        <v>1.3436258076376568</v>
      </c>
      <c r="N13" s="102">
        <v>1.3667630988487638</v>
      </c>
      <c r="O13" s="102">
        <v>1.3926763637844073</v>
      </c>
      <c r="P13" s="102">
        <v>1.422277019733587</v>
      </c>
      <c r="Q13" s="102">
        <v>1.4550566209722642</v>
      </c>
    </row>
    <row r="14" spans="1:17" s="37" customFormat="1" ht="15" x14ac:dyDescent="0.25">
      <c r="A14" s="39" t="s">
        <v>43</v>
      </c>
      <c r="B14" s="69" t="s">
        <v>44</v>
      </c>
      <c r="C14" s="178"/>
      <c r="D14" s="74"/>
      <c r="E14" s="75">
        <f t="shared" ref="E14:K14" si="4">E13/D13-1</f>
        <v>4.5303170631005862E-2</v>
      </c>
      <c r="F14" s="75">
        <f t="shared" si="4"/>
        <v>3.9806210927077812E-2</v>
      </c>
      <c r="G14" s="75">
        <f t="shared" si="4"/>
        <v>4.0943767113063023E-2</v>
      </c>
      <c r="H14" s="75">
        <f t="shared" si="4"/>
        <v>2.27762449080533E-2</v>
      </c>
      <c r="I14" s="75">
        <f t="shared" si="4"/>
        <v>3.7042875576808632E-2</v>
      </c>
      <c r="J14" s="75">
        <f t="shared" si="4"/>
        <v>3.2497050205673839E-2</v>
      </c>
      <c r="K14" s="76">
        <f t="shared" si="4"/>
        <v>3.2406503915121121E-2</v>
      </c>
      <c r="L14" s="76">
        <f t="shared" ref="L14:Q14" si="5">L13/K13-1</f>
        <v>2.7395923418398693E-2</v>
      </c>
      <c r="M14" s="76">
        <f t="shared" si="5"/>
        <v>2.2354842902691852E-2</v>
      </c>
      <c r="N14" s="76">
        <f t="shared" si="5"/>
        <v>1.7220040787834012E-2</v>
      </c>
      <c r="O14" s="76">
        <f t="shared" si="5"/>
        <v>1.8959587771626651E-2</v>
      </c>
      <c r="P14" s="76">
        <f t="shared" si="5"/>
        <v>2.1254511614416938E-2</v>
      </c>
      <c r="Q14" s="76">
        <f t="shared" si="5"/>
        <v>2.3047269121185154E-2</v>
      </c>
    </row>
    <row r="15" spans="1:17" s="37" customFormat="1" ht="15" x14ac:dyDescent="0.25">
      <c r="A15" s="39" t="s">
        <v>45</v>
      </c>
      <c r="B15" s="150" t="s">
        <v>157</v>
      </c>
      <c r="C15" s="178"/>
      <c r="D15" s="77">
        <f>D11/D13*$Q13</f>
        <v>228189.13511242348</v>
      </c>
      <c r="E15" s="77">
        <f t="shared" ref="E15:Q15" si="6">E11/E13*$Q13</f>
        <v>246162.30875514715</v>
      </c>
      <c r="F15" s="77">
        <f t="shared" si="6"/>
        <v>300416.42238386523</v>
      </c>
      <c r="G15" s="77">
        <f t="shared" si="6"/>
        <v>275383.61939036282</v>
      </c>
      <c r="H15" s="77">
        <f t="shared" si="6"/>
        <v>264598.46519062988</v>
      </c>
      <c r="I15" s="77">
        <f t="shared" si="6"/>
        <v>278333.84514156001</v>
      </c>
      <c r="J15" s="77">
        <f t="shared" si="6"/>
        <v>282824.49906334106</v>
      </c>
      <c r="K15" s="77">
        <f t="shared" si="6"/>
        <v>253252.96241787265</v>
      </c>
      <c r="L15" s="77">
        <f t="shared" si="6"/>
        <v>285999.05482075165</v>
      </c>
      <c r="M15" s="77">
        <f t="shared" si="6"/>
        <v>293425.47803527158</v>
      </c>
      <c r="N15" s="77">
        <f t="shared" si="6"/>
        <v>314763.49551436584</v>
      </c>
      <c r="O15" s="77">
        <f t="shared" si="6"/>
        <v>288512.73867668299</v>
      </c>
      <c r="P15" s="77">
        <f t="shared" si="6"/>
        <v>264776.83167807083</v>
      </c>
      <c r="Q15" s="77">
        <f t="shared" si="6"/>
        <v>269082.4098333203</v>
      </c>
    </row>
    <row r="16" spans="1:17" s="37" customFormat="1" ht="15" x14ac:dyDescent="0.25">
      <c r="A16" s="39"/>
      <c r="B16" s="69"/>
      <c r="C16" s="178"/>
      <c r="D16" s="77"/>
      <c r="E16" s="77"/>
      <c r="F16" s="77"/>
      <c r="G16" s="77"/>
      <c r="H16" s="77"/>
      <c r="I16" s="77"/>
      <c r="J16" s="77"/>
      <c r="K16" s="77"/>
      <c r="L16" s="77"/>
      <c r="M16" s="71"/>
      <c r="N16" s="77"/>
      <c r="O16" s="77"/>
      <c r="P16" s="77"/>
      <c r="Q16" s="77"/>
    </row>
    <row r="17" spans="1:30" s="37" customFormat="1" ht="15" x14ac:dyDescent="0.25">
      <c r="A17" s="39"/>
      <c r="B17" s="69"/>
      <c r="C17" s="178"/>
      <c r="D17" s="85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86"/>
      <c r="P17" s="86"/>
      <c r="Q17" s="86"/>
    </row>
    <row r="18" spans="1:30" s="37" customFormat="1" ht="15" x14ac:dyDescent="0.25">
      <c r="A18" s="39"/>
      <c r="B18" s="69"/>
      <c r="C18" s="178"/>
      <c r="D18" s="87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87"/>
      <c r="P18" s="87"/>
      <c r="Q18" s="87"/>
    </row>
    <row r="19" spans="1:30" s="37" customFormat="1" ht="15" x14ac:dyDescent="0.25">
      <c r="C19" s="48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</row>
    <row r="20" spans="1:30" s="37" customFormat="1" ht="15" x14ac:dyDescent="0.25">
      <c r="A20" s="66" t="s">
        <v>13</v>
      </c>
      <c r="C20" s="48"/>
      <c r="D20" s="71"/>
      <c r="E20" s="71"/>
      <c r="F20" s="71"/>
      <c r="G20" s="71"/>
      <c r="H20" s="144" t="s">
        <v>165</v>
      </c>
      <c r="I20" s="71"/>
      <c r="J20" s="88" t="s">
        <v>109</v>
      </c>
      <c r="K20" s="88" t="s">
        <v>111</v>
      </c>
      <c r="L20" s="88" t="s">
        <v>115</v>
      </c>
      <c r="M20" s="88" t="s">
        <v>116</v>
      </c>
      <c r="N20" s="88" t="s">
        <v>110</v>
      </c>
      <c r="O20" s="88" t="s">
        <v>112</v>
      </c>
      <c r="P20" s="88" t="s">
        <v>113</v>
      </c>
      <c r="Q20" s="88" t="s">
        <v>114</v>
      </c>
    </row>
    <row r="21" spans="1:30" s="37" customFormat="1" ht="15" x14ac:dyDescent="0.25">
      <c r="A21" s="39" t="s">
        <v>10</v>
      </c>
      <c r="C21" s="48"/>
      <c r="D21" s="71"/>
      <c r="E21" s="71"/>
      <c r="F21" s="71"/>
      <c r="G21" s="71"/>
      <c r="H21" s="78">
        <f>AVERAGE(J5:O5)</f>
        <v>945262.75204874168</v>
      </c>
      <c r="I21" s="71"/>
      <c r="J21" s="78">
        <f t="shared" ref="J21:M22" si="7">N5</f>
        <v>968354.5</v>
      </c>
      <c r="K21" s="78">
        <f t="shared" si="7"/>
        <v>984229.5</v>
      </c>
      <c r="L21" s="78">
        <f t="shared" si="7"/>
        <v>1015567.8816321676</v>
      </c>
      <c r="M21" s="78">
        <f t="shared" si="7"/>
        <v>1034036.5505685979</v>
      </c>
      <c r="N21" s="103">
        <f t="shared" ref="N21:Q22" si="8">LN(N5/AVERAGE($J5:$O5))</f>
        <v>2.4135305900469462E-2</v>
      </c>
      <c r="O21" s="103">
        <f t="shared" si="8"/>
        <v>4.0396168222725772E-2</v>
      </c>
      <c r="P21" s="103">
        <f t="shared" si="8"/>
        <v>7.1740290970325013E-2</v>
      </c>
      <c r="Q21" s="103">
        <f t="shared" si="8"/>
        <v>8.9762469813442075E-2</v>
      </c>
    </row>
    <row r="22" spans="1:30" s="37" customFormat="1" ht="15" x14ac:dyDescent="0.25">
      <c r="A22" s="39" t="s">
        <v>15</v>
      </c>
      <c r="C22" s="48"/>
      <c r="D22" s="71"/>
      <c r="E22" s="71"/>
      <c r="F22" s="71"/>
      <c r="G22" s="71"/>
      <c r="H22" s="78">
        <f>AVERAGE(J6:O6)</f>
        <v>35759.178499333335</v>
      </c>
      <c r="I22" s="71"/>
      <c r="J22" s="78">
        <f t="shared" si="7"/>
        <v>36467.860999999997</v>
      </c>
      <c r="K22" s="78">
        <f t="shared" si="7"/>
        <v>36993.039377000001</v>
      </c>
      <c r="L22" s="78">
        <f t="shared" si="7"/>
        <v>37621</v>
      </c>
      <c r="M22" s="78">
        <f t="shared" si="7"/>
        <v>38254</v>
      </c>
      <c r="N22" s="103">
        <f t="shared" si="8"/>
        <v>1.9624374726853903E-2</v>
      </c>
      <c r="O22" s="103">
        <f t="shared" si="8"/>
        <v>3.3922792572843523E-2</v>
      </c>
      <c r="P22" s="103">
        <f t="shared" si="8"/>
        <v>5.0755427697410795E-2</v>
      </c>
      <c r="Q22" s="103">
        <f t="shared" si="8"/>
        <v>6.7441152540624605E-2</v>
      </c>
    </row>
    <row r="23" spans="1:30" s="37" customFormat="1" ht="15" x14ac:dyDescent="0.25">
      <c r="A23" s="39" t="s">
        <v>17</v>
      </c>
      <c r="C23" s="48"/>
      <c r="D23" s="71"/>
      <c r="E23" s="71"/>
      <c r="F23" s="71"/>
      <c r="G23" s="71"/>
      <c r="H23" s="78">
        <f>AVERAGE(J8:O8)</f>
        <v>4192.3897188583333</v>
      </c>
      <c r="I23" s="71"/>
      <c r="J23" s="78">
        <f>N8</f>
        <v>4162.0593220700002</v>
      </c>
      <c r="K23" s="78">
        <f>O8</f>
        <v>4344.0417028000002</v>
      </c>
      <c r="L23" s="78">
        <f>P8</f>
        <v>4344.0417028000002</v>
      </c>
      <c r="M23" s="78">
        <f>Q8</f>
        <v>4344.0417028000002</v>
      </c>
      <c r="N23" s="103">
        <f>LN(N8/AVERAGE($J8:$O8))</f>
        <v>-7.2609288521408638E-3</v>
      </c>
      <c r="O23" s="103">
        <f>LN(O8/AVERAGE($J8:$O8))</f>
        <v>3.5534272695176297E-2</v>
      </c>
      <c r="P23" s="103">
        <f>LN(P8/AVERAGE($J8:$O8))</f>
        <v>3.5534272695176297E-2</v>
      </c>
      <c r="Q23" s="103">
        <f>LN(Q8/AVERAGE($J8:$O8))</f>
        <v>3.5534272695176297E-2</v>
      </c>
    </row>
    <row r="24" spans="1:30" s="37" customFormat="1" ht="15" x14ac:dyDescent="0.25">
      <c r="A24" s="39" t="s">
        <v>20</v>
      </c>
      <c r="C24" s="48"/>
      <c r="D24" s="71"/>
      <c r="E24" s="71"/>
      <c r="F24" s="71"/>
      <c r="G24" s="71"/>
      <c r="H24" s="81">
        <f>AVERAGE(J10:O10)</f>
        <v>0.34659705131904478</v>
      </c>
      <c r="I24" s="71"/>
      <c r="J24" s="89">
        <f>N10</f>
        <v>0.36122497011820909</v>
      </c>
      <c r="K24" s="89">
        <f>O10</f>
        <v>0.3721371739614116</v>
      </c>
      <c r="L24" s="89">
        <f>P10</f>
        <v>0.38513064511841788</v>
      </c>
      <c r="M24" s="89">
        <f>Q10</f>
        <v>0.39773618445129921</v>
      </c>
      <c r="N24" s="103">
        <f>LN(N10/AVERAGE($J10:$O10))</f>
        <v>4.1338080357364436E-2</v>
      </c>
      <c r="O24" s="103">
        <f>LN(O10/AVERAGE($J10:$O10))</f>
        <v>7.1099663711877301E-2</v>
      </c>
      <c r="P24" s="103">
        <f>LN(P10/AVERAGE($J10:$O10))</f>
        <v>0.10541974489677143</v>
      </c>
      <c r="Q24" s="103">
        <f>LN(Q10/AVERAGE($J10:$O10))</f>
        <v>0.13762606256390711</v>
      </c>
    </row>
    <row r="25" spans="1:30" s="37" customFormat="1" ht="15" x14ac:dyDescent="0.25">
      <c r="A25" s="39" t="s">
        <v>93</v>
      </c>
      <c r="B25" s="69"/>
      <c r="C25" s="48"/>
      <c r="D25" s="71"/>
      <c r="E25" s="71"/>
      <c r="F25" s="71"/>
      <c r="G25" s="71"/>
      <c r="H25" s="82">
        <f>AVERAGE(J15:O15)</f>
        <v>286463.03808804764</v>
      </c>
      <c r="I25" s="71"/>
      <c r="J25" s="82">
        <f>N15</f>
        <v>314763.49551436584</v>
      </c>
      <c r="K25" s="82">
        <f>O15</f>
        <v>288512.73867668299</v>
      </c>
      <c r="L25" s="82">
        <f>P15</f>
        <v>264776.83167807083</v>
      </c>
      <c r="M25" s="82">
        <f>Q15</f>
        <v>269082.4098333203</v>
      </c>
      <c r="N25" s="104">
        <f>N15</f>
        <v>314763.49551436584</v>
      </c>
      <c r="O25" s="104">
        <f>O15</f>
        <v>288512.73867668299</v>
      </c>
      <c r="P25" s="104">
        <f>P15</f>
        <v>264776.83167807083</v>
      </c>
      <c r="Q25" s="104">
        <f>Q15</f>
        <v>269082.4098333203</v>
      </c>
    </row>
    <row r="26" spans="1:30" s="37" customFormat="1" ht="15" x14ac:dyDescent="0.25">
      <c r="A26" s="83" t="s">
        <v>96</v>
      </c>
      <c r="C26" s="48"/>
      <c r="D26" s="71"/>
      <c r="E26" s="71"/>
      <c r="F26" s="71"/>
      <c r="G26" s="71"/>
      <c r="H26" s="71"/>
      <c r="I26" s="71"/>
      <c r="J26" s="79">
        <f>J25/$H25-1</f>
        <v>9.8792701547833595E-2</v>
      </c>
      <c r="K26" s="79">
        <f>K25/$H25-1</f>
        <v>7.1552009024122842E-3</v>
      </c>
      <c r="L26" s="79">
        <f>L25/$H25-1</f>
        <v>-7.5703331762163706E-2</v>
      </c>
      <c r="M26" s="79">
        <f>M25/$H25-1</f>
        <v>-6.0673196691383269E-2</v>
      </c>
      <c r="N26" s="71"/>
      <c r="O26" s="71"/>
      <c r="P26" s="71"/>
      <c r="Q26" s="71"/>
    </row>
    <row r="27" spans="1:30" s="37" customFormat="1" ht="15" x14ac:dyDescent="0.25">
      <c r="A27" s="83" t="s">
        <v>94</v>
      </c>
      <c r="C27" s="48"/>
      <c r="D27" s="71"/>
      <c r="E27" s="71"/>
      <c r="F27" s="71"/>
      <c r="G27" s="71"/>
      <c r="H27" s="71"/>
      <c r="I27" s="71"/>
      <c r="J27" s="79">
        <f>'Opex Forecasts'!C30</f>
        <v>3.9429459019533208E-2</v>
      </c>
      <c r="K27" s="79">
        <f>'Opex Forecasts'!D30</f>
        <v>7.2074874489690854E-2</v>
      </c>
      <c r="L27" s="79">
        <f>'Opex Forecasts'!E30</f>
        <v>0.11101375978126415</v>
      </c>
      <c r="M27" s="79">
        <f>'Opex Forecasts'!F30</f>
        <v>0.14077213703911329</v>
      </c>
      <c r="N27" s="80"/>
      <c r="O27" s="80"/>
      <c r="P27" s="80"/>
      <c r="Q27" s="80"/>
    </row>
    <row r="28" spans="1:30" s="37" customFormat="1" ht="15" x14ac:dyDescent="0.25">
      <c r="A28" s="83" t="s">
        <v>95</v>
      </c>
      <c r="C28" s="48"/>
      <c r="D28" s="71"/>
      <c r="E28" s="71"/>
      <c r="F28" s="71"/>
      <c r="G28" s="71"/>
      <c r="H28" s="71"/>
      <c r="I28" s="71"/>
      <c r="J28" s="79">
        <f>J26-J27</f>
        <v>5.9363242528300386E-2</v>
      </c>
      <c r="K28" s="79">
        <f>K26-K27</f>
        <v>-6.491967358727857E-2</v>
      </c>
      <c r="L28" s="79">
        <f>L26-L27</f>
        <v>-0.18671709154342786</v>
      </c>
      <c r="M28" s="79">
        <f>M26-M27</f>
        <v>-0.20144533373049656</v>
      </c>
      <c r="N28" s="80"/>
      <c r="O28" s="80"/>
      <c r="P28" s="80"/>
      <c r="Q28" s="80"/>
    </row>
    <row r="29" spans="1:30" s="37" customFormat="1" ht="11.25" hidden="1" customHeight="1" x14ac:dyDescent="0.25">
      <c r="A29" s="83"/>
      <c r="C29" s="48"/>
      <c r="D29" s="65"/>
      <c r="E29" s="65"/>
      <c r="F29" s="91"/>
      <c r="G29" s="91"/>
      <c r="H29" s="91"/>
      <c r="I29" s="91"/>
      <c r="J29" s="92"/>
      <c r="K29" s="91"/>
      <c r="L29" s="91"/>
      <c r="M29" s="91"/>
      <c r="N29" s="91"/>
      <c r="O29" s="91"/>
      <c r="P29" s="91"/>
      <c r="Q29" s="91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s="37" customFormat="1" ht="15" hidden="1" x14ac:dyDescent="0.25">
      <c r="A30" s="64"/>
      <c r="C30" s="48"/>
      <c r="D30" s="65"/>
      <c r="E30" s="65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1:30" s="37" customFormat="1" ht="15" hidden="1" x14ac:dyDescent="0.25">
      <c r="A31" s="39"/>
      <c r="C31" s="48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30" s="37" customFormat="1" ht="15" hidden="1" x14ac:dyDescent="0.25">
      <c r="A32" s="39"/>
      <c r="C32" s="4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s="37" customFormat="1" ht="15" hidden="1" x14ac:dyDescent="0.25">
      <c r="A33" s="91"/>
      <c r="C33" s="48"/>
      <c r="J33" s="65"/>
      <c r="K33" s="65"/>
      <c r="L33" s="65"/>
      <c r="M33" s="65"/>
      <c r="N33" s="65"/>
      <c r="O33" s="65"/>
      <c r="P33" s="65"/>
      <c r="Q33" s="65"/>
    </row>
    <row r="34" spans="1:17" s="37" customFormat="1" ht="15" hidden="1" x14ac:dyDescent="0.25">
      <c r="A34" s="91"/>
      <c r="B34" s="93"/>
      <c r="C34" s="179"/>
      <c r="D34" s="93"/>
      <c r="E34" s="93"/>
      <c r="F34" s="93"/>
      <c r="G34" s="93"/>
      <c r="H34" s="93"/>
      <c r="I34" s="93"/>
      <c r="J34" s="94"/>
      <c r="K34" s="65"/>
      <c r="L34" s="65"/>
      <c r="M34" s="65"/>
      <c r="N34" s="65"/>
      <c r="O34" s="65"/>
      <c r="P34" s="65"/>
      <c r="Q34" s="65"/>
    </row>
    <row r="35" spans="1:17" s="37" customFormat="1" ht="15" hidden="1" x14ac:dyDescent="0.25">
      <c r="A35" s="91"/>
      <c r="B35" s="93"/>
      <c r="C35" s="179"/>
      <c r="D35" s="93"/>
      <c r="E35" s="93"/>
      <c r="F35" s="93"/>
      <c r="G35" s="93"/>
      <c r="H35" s="93"/>
      <c r="I35" s="93"/>
      <c r="J35" s="94"/>
      <c r="K35" s="65"/>
      <c r="L35" s="65"/>
      <c r="M35" s="65"/>
      <c r="N35" s="65"/>
      <c r="O35" s="65"/>
      <c r="P35" s="65"/>
      <c r="Q35" s="65"/>
    </row>
    <row r="36" spans="1:17" s="37" customFormat="1" ht="15" hidden="1" x14ac:dyDescent="0.25">
      <c r="A36" s="91"/>
      <c r="C36" s="48"/>
    </row>
    <row r="37" spans="1:17" s="37" customFormat="1" ht="15" hidden="1" x14ac:dyDescent="0.25">
      <c r="C37" s="48"/>
      <c r="I37" s="96"/>
    </row>
    <row r="38" spans="1:17" hidden="1" x14ac:dyDescent="0.2">
      <c r="I38" s="97"/>
    </row>
    <row r="39" spans="1:17" hidden="1" x14ac:dyDescent="0.2"/>
    <row r="40" spans="1:17" hidden="1" x14ac:dyDescent="0.2"/>
    <row r="41" spans="1:17" hidden="1" x14ac:dyDescent="0.2"/>
    <row r="42" spans="1:17" hidden="1" x14ac:dyDescent="0.2"/>
    <row r="43" spans="1:17" hidden="1" x14ac:dyDescent="0.2"/>
    <row r="44" spans="1:17" hidden="1" x14ac:dyDescent="0.2"/>
    <row r="45" spans="1:17" hidden="1" x14ac:dyDescent="0.2"/>
    <row r="46" spans="1:17" hidden="1" x14ac:dyDescent="0.2"/>
    <row r="47" spans="1:17" hidden="1" x14ac:dyDescent="0.2"/>
    <row r="48" spans="1:17" hidden="1" x14ac:dyDescent="0.2"/>
  </sheetData>
  <phoneticPr fontId="6" type="noConversion"/>
  <dataValidations disablePrompts="1" count="1">
    <dataValidation allowBlank="1" showInputMessage="1" showErrorMessage="1" sqref="Q18"/>
  </dataValidation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E25" sqref="E25"/>
    </sheetView>
  </sheetViews>
  <sheetFormatPr defaultColWidth="9.140625" defaultRowHeight="15" zeroHeight="1" x14ac:dyDescent="0.25"/>
  <cols>
    <col min="1" max="1" width="11.42578125" style="3" customWidth="1"/>
    <col min="2" max="2" width="10.28515625" style="3" customWidth="1"/>
    <col min="3" max="3" width="11.140625" style="3" customWidth="1"/>
    <col min="4" max="6" width="9.140625" style="3"/>
    <col min="7" max="7" width="12.85546875" style="4" customWidth="1"/>
    <col min="8" max="8" width="9.140625" style="3"/>
    <col min="9" max="9" width="11.140625" style="3" customWidth="1"/>
    <col min="10" max="11" width="9.140625" style="3"/>
    <col min="12" max="12" width="11.140625" style="3" customWidth="1"/>
    <col min="13" max="16" width="9.140625" style="3"/>
    <col min="17" max="19" width="9.140625" style="1"/>
    <col min="20" max="20" width="13" style="1" customWidth="1"/>
    <col min="21" max="16384" width="9.140625" style="1"/>
  </cols>
  <sheetData>
    <row r="1" spans="1:27" x14ac:dyDescent="0.25">
      <c r="A1" s="2" t="s">
        <v>64</v>
      </c>
      <c r="P1" s="1"/>
    </row>
    <row r="2" spans="1:27" x14ac:dyDescent="0.25">
      <c r="A2" s="105" t="s">
        <v>152</v>
      </c>
      <c r="P2" s="1"/>
    </row>
    <row r="3" spans="1:27" x14ac:dyDescent="0.25">
      <c r="A3" s="2"/>
      <c r="P3" s="1"/>
    </row>
    <row r="4" spans="1:27" x14ac:dyDescent="0.25">
      <c r="A4" s="2" t="s">
        <v>158</v>
      </c>
      <c r="H4" s="113" t="s">
        <v>153</v>
      </c>
      <c r="O4" s="113" t="s">
        <v>142</v>
      </c>
      <c r="Q4" s="3"/>
      <c r="R4" s="3"/>
      <c r="S4" s="3"/>
      <c r="T4" s="3"/>
      <c r="V4" s="2" t="s">
        <v>159</v>
      </c>
      <c r="W4" s="3"/>
      <c r="X4" s="3"/>
      <c r="Y4" s="3"/>
      <c r="Z4" s="3"/>
      <c r="AA4" s="3"/>
    </row>
    <row r="5" spans="1:27" x14ac:dyDescent="0.25">
      <c r="G5" s="3"/>
      <c r="N5" s="1"/>
      <c r="Q5" s="3"/>
      <c r="R5" s="3"/>
      <c r="S5" s="3"/>
      <c r="T5" s="3"/>
      <c r="V5" s="3"/>
      <c r="W5" s="3"/>
      <c r="X5" s="3"/>
      <c r="Y5" s="3"/>
      <c r="Z5" s="3"/>
      <c r="AA5" s="3"/>
    </row>
    <row r="6" spans="1:27" x14ac:dyDescent="0.25">
      <c r="A6" s="5" t="s">
        <v>117</v>
      </c>
      <c r="E6" s="2" t="s">
        <v>65</v>
      </c>
      <c r="G6" s="3"/>
      <c r="H6" s="2" t="s">
        <v>117</v>
      </c>
      <c r="L6" s="2" t="s">
        <v>65</v>
      </c>
      <c r="N6" s="1"/>
      <c r="O6" s="2" t="s">
        <v>117</v>
      </c>
      <c r="Q6" s="3"/>
      <c r="R6" s="3"/>
      <c r="S6" s="2" t="s">
        <v>65</v>
      </c>
      <c r="T6" s="3"/>
      <c r="V6" s="5" t="s">
        <v>117</v>
      </c>
      <c r="W6" s="3"/>
      <c r="X6" s="3"/>
      <c r="Y6" s="3"/>
      <c r="Z6" s="2" t="s">
        <v>65</v>
      </c>
      <c r="AA6" s="3"/>
    </row>
    <row r="7" spans="1:27" x14ac:dyDescent="0.25">
      <c r="A7" s="5"/>
      <c r="E7" s="2"/>
      <c r="G7" s="3"/>
      <c r="H7" s="2"/>
      <c r="L7" s="2"/>
      <c r="N7" s="1"/>
      <c r="O7" s="2"/>
      <c r="Q7" s="3"/>
      <c r="R7" s="3"/>
      <c r="S7" s="2"/>
      <c r="T7" s="3"/>
      <c r="V7" s="5"/>
      <c r="W7" s="3"/>
      <c r="X7" s="3"/>
      <c r="Y7" s="3"/>
      <c r="Z7" s="2"/>
      <c r="AA7" s="3"/>
    </row>
    <row r="8" spans="1:27" ht="15.75" thickBot="1" x14ac:dyDescent="0.3">
      <c r="E8" s="6" t="s">
        <v>63</v>
      </c>
      <c r="F8" s="6" t="s">
        <v>50</v>
      </c>
      <c r="G8" s="3"/>
      <c r="L8" s="114" t="s">
        <v>63</v>
      </c>
      <c r="M8" s="114" t="s">
        <v>146</v>
      </c>
      <c r="N8" s="1"/>
      <c r="Q8" s="3"/>
      <c r="R8" s="3"/>
      <c r="S8" s="114" t="s">
        <v>63</v>
      </c>
      <c r="T8" s="114" t="s">
        <v>147</v>
      </c>
      <c r="V8" s="3"/>
      <c r="W8" s="3"/>
      <c r="X8" s="3"/>
      <c r="Y8" s="3"/>
      <c r="Z8" s="6" t="s">
        <v>63</v>
      </c>
      <c r="AA8" s="6" t="s">
        <v>50</v>
      </c>
    </row>
    <row r="9" spans="1:27" ht="30.75" thickBot="1" x14ac:dyDescent="0.3">
      <c r="A9" s="28" t="s">
        <v>7</v>
      </c>
      <c r="B9" s="29" t="s">
        <v>8</v>
      </c>
      <c r="C9" s="29" t="s">
        <v>30</v>
      </c>
      <c r="E9" s="5" t="s">
        <v>51</v>
      </c>
      <c r="F9" s="98">
        <v>0.4330657</v>
      </c>
      <c r="G9" s="7"/>
      <c r="H9" s="115" t="s">
        <v>7</v>
      </c>
      <c r="I9" s="116" t="s">
        <v>8</v>
      </c>
      <c r="J9" s="116" t="s">
        <v>30</v>
      </c>
      <c r="L9" s="2" t="s">
        <v>51</v>
      </c>
      <c r="M9" s="98">
        <v>0.40248542256869979</v>
      </c>
      <c r="N9" s="1"/>
      <c r="O9" s="115" t="s">
        <v>7</v>
      </c>
      <c r="P9" s="116" t="s">
        <v>8</v>
      </c>
      <c r="Q9" s="116" t="s">
        <v>30</v>
      </c>
      <c r="R9" s="3"/>
      <c r="S9" s="2" t="s">
        <v>51</v>
      </c>
      <c r="T9" s="117">
        <v>0.39031120364250843</v>
      </c>
      <c r="V9" s="28" t="s">
        <v>7</v>
      </c>
      <c r="W9" s="29" t="s">
        <v>8</v>
      </c>
      <c r="X9" s="29" t="s">
        <v>30</v>
      </c>
      <c r="Y9" s="3"/>
      <c r="Z9" s="5" t="s">
        <v>51</v>
      </c>
      <c r="AA9" s="98">
        <v>0.44503039999999999</v>
      </c>
    </row>
    <row r="10" spans="1:27" x14ac:dyDescent="0.25">
      <c r="A10" s="30" t="s">
        <v>22</v>
      </c>
      <c r="B10" s="99">
        <v>0.71199999999999997</v>
      </c>
      <c r="C10" s="100">
        <v>7.4</v>
      </c>
      <c r="E10" s="5" t="s">
        <v>52</v>
      </c>
      <c r="F10" s="98">
        <v>0.4294598</v>
      </c>
      <c r="G10" s="7"/>
      <c r="H10" s="30" t="s">
        <v>22</v>
      </c>
      <c r="I10" s="118">
        <v>0.68156810000000001</v>
      </c>
      <c r="J10" s="119">
        <v>10.1</v>
      </c>
      <c r="L10" s="2" t="s">
        <v>52</v>
      </c>
      <c r="M10" s="98">
        <v>0.40847833564712244</v>
      </c>
      <c r="N10" s="1"/>
      <c r="O10" s="30" t="s">
        <v>22</v>
      </c>
      <c r="P10" s="118">
        <v>0.50699119999999998</v>
      </c>
      <c r="Q10" s="119">
        <v>6.76</v>
      </c>
      <c r="R10" s="3"/>
      <c r="S10" s="2" t="s">
        <v>52</v>
      </c>
      <c r="T10" s="117">
        <v>0.44387170988591379</v>
      </c>
      <c r="V10" s="30" t="s">
        <v>22</v>
      </c>
      <c r="W10" s="99">
        <v>0.66</v>
      </c>
      <c r="X10" s="100">
        <v>7.59</v>
      </c>
      <c r="Y10" s="3"/>
      <c r="Z10" s="5" t="s">
        <v>52</v>
      </c>
      <c r="AA10" s="98">
        <v>0.49232350000000002</v>
      </c>
    </row>
    <row r="11" spans="1:27" x14ac:dyDescent="0.25">
      <c r="A11" s="31" t="s">
        <v>23</v>
      </c>
      <c r="B11" s="99">
        <v>0.16900000000000001</v>
      </c>
      <c r="C11" s="100">
        <v>3.24</v>
      </c>
      <c r="E11" s="5" t="s">
        <v>53</v>
      </c>
      <c r="F11" s="98">
        <v>0.78828909999999996</v>
      </c>
      <c r="G11" s="7"/>
      <c r="H11" s="31" t="s">
        <v>23</v>
      </c>
      <c r="I11" s="118">
        <v>0.11878180000000001</v>
      </c>
      <c r="J11" s="119">
        <v>3.47</v>
      </c>
      <c r="L11" s="2" t="s">
        <v>53</v>
      </c>
      <c r="M11" s="98">
        <v>0.77931254537573036</v>
      </c>
      <c r="N11" s="1"/>
      <c r="O11" s="31" t="s">
        <v>23</v>
      </c>
      <c r="P11" s="118">
        <v>0.13591639999999999</v>
      </c>
      <c r="Q11" s="119">
        <v>4.51</v>
      </c>
      <c r="R11" s="3"/>
      <c r="S11" s="2" t="s">
        <v>53</v>
      </c>
      <c r="T11" s="117">
        <v>0.79651039409973456</v>
      </c>
      <c r="V11" s="31" t="s">
        <v>23</v>
      </c>
      <c r="W11" s="99">
        <v>0.17100000000000001</v>
      </c>
      <c r="X11" s="100">
        <v>3.17</v>
      </c>
      <c r="Y11" s="3"/>
      <c r="Z11" s="5" t="s">
        <v>53</v>
      </c>
      <c r="AA11" s="98">
        <v>0.91555529999999996</v>
      </c>
    </row>
    <row r="12" spans="1:27" x14ac:dyDescent="0.25">
      <c r="A12" s="31" t="s">
        <v>24</v>
      </c>
      <c r="B12" s="99">
        <v>0.11899999999999999</v>
      </c>
      <c r="C12" s="100">
        <v>1.39</v>
      </c>
      <c r="E12" s="5" t="s">
        <v>54</v>
      </c>
      <c r="F12" s="98">
        <v>0.56729560000000001</v>
      </c>
      <c r="G12" s="7"/>
      <c r="H12" s="31" t="s">
        <v>24</v>
      </c>
      <c r="I12" s="118">
        <v>0.2071586</v>
      </c>
      <c r="J12" s="119">
        <v>2.81</v>
      </c>
      <c r="L12" s="2" t="s">
        <v>54</v>
      </c>
      <c r="M12" s="98">
        <v>0.54064970782773192</v>
      </c>
      <c r="N12" s="1"/>
      <c r="O12" s="31" t="s">
        <v>24</v>
      </c>
      <c r="P12" s="118">
        <v>0.3380687</v>
      </c>
      <c r="Q12" s="119">
        <v>5.04</v>
      </c>
      <c r="R12" s="3"/>
      <c r="S12" s="2" t="s">
        <v>54</v>
      </c>
      <c r="T12" s="117">
        <v>0.59262651579437242</v>
      </c>
      <c r="V12" s="31" t="s">
        <v>24</v>
      </c>
      <c r="W12" s="99">
        <v>0.14899999999999999</v>
      </c>
      <c r="X12" s="100">
        <v>1.1200000000000001</v>
      </c>
      <c r="Y12" s="3"/>
      <c r="Z12" s="5" t="s">
        <v>54</v>
      </c>
      <c r="AA12" s="98">
        <v>0.61025750000000001</v>
      </c>
    </row>
    <row r="13" spans="1:27" x14ac:dyDescent="0.25">
      <c r="A13" s="31" t="s">
        <v>25</v>
      </c>
      <c r="B13" s="99">
        <v>-0.111</v>
      </c>
      <c r="C13" s="100">
        <v>-2.2599999999999998</v>
      </c>
      <c r="E13" s="5" t="s">
        <v>55</v>
      </c>
      <c r="F13" s="98">
        <v>0.58721760000000001</v>
      </c>
      <c r="G13" s="7"/>
      <c r="H13" s="31" t="s">
        <v>25</v>
      </c>
      <c r="I13" s="118">
        <v>-0.1948262</v>
      </c>
      <c r="J13" s="119">
        <v>-7.19</v>
      </c>
      <c r="L13" s="2" t="s">
        <v>55</v>
      </c>
      <c r="M13" s="98">
        <v>0.56086238869128957</v>
      </c>
      <c r="N13" s="1"/>
      <c r="O13" s="31" t="s">
        <v>123</v>
      </c>
      <c r="P13" s="118">
        <v>-0.56413500000000005</v>
      </c>
      <c r="Q13" s="119">
        <v>-2.0699999999999998</v>
      </c>
      <c r="R13" s="3"/>
      <c r="S13" s="2" t="s">
        <v>55</v>
      </c>
      <c r="T13" s="117">
        <v>0.59734639961448788</v>
      </c>
      <c r="V13" s="31" t="s">
        <v>123</v>
      </c>
      <c r="W13" s="118">
        <v>-0.218</v>
      </c>
      <c r="X13" s="119">
        <v>-2.0699999999999998</v>
      </c>
      <c r="Y13" s="3"/>
      <c r="Z13" s="5" t="s">
        <v>55</v>
      </c>
      <c r="AA13" s="98">
        <v>0.63178849999999998</v>
      </c>
    </row>
    <row r="14" spans="1:27" x14ac:dyDescent="0.25">
      <c r="A14" s="31" t="s">
        <v>26</v>
      </c>
      <c r="B14" s="99">
        <v>1.6E-2</v>
      </c>
      <c r="C14" s="100">
        <v>5.88</v>
      </c>
      <c r="E14" s="5" t="s">
        <v>56</v>
      </c>
      <c r="F14" s="98">
        <v>0.54438640000000005</v>
      </c>
      <c r="G14" s="7"/>
      <c r="H14" s="31" t="s">
        <v>26</v>
      </c>
      <c r="I14" s="118">
        <v>1.7580499999999999E-2</v>
      </c>
      <c r="J14" s="119">
        <v>4.03</v>
      </c>
      <c r="L14" s="2" t="s">
        <v>56</v>
      </c>
      <c r="M14" s="98">
        <v>0.54537502592623555</v>
      </c>
      <c r="N14" s="1"/>
      <c r="O14" s="31" t="s">
        <v>124</v>
      </c>
      <c r="P14" s="118">
        <v>0.17675070000000001</v>
      </c>
      <c r="Q14" s="119">
        <v>1.86</v>
      </c>
      <c r="R14" s="3"/>
      <c r="S14" s="2" t="s">
        <v>56</v>
      </c>
      <c r="T14" s="117">
        <v>0.6063222309454257</v>
      </c>
      <c r="V14" s="31" t="s">
        <v>124</v>
      </c>
      <c r="W14" s="118">
        <v>-9.4E-2</v>
      </c>
      <c r="X14" s="119">
        <v>1.86</v>
      </c>
      <c r="Y14" s="3"/>
      <c r="Z14" s="5" t="s">
        <v>56</v>
      </c>
      <c r="AA14" s="98">
        <v>0.63018269999999998</v>
      </c>
    </row>
    <row r="15" spans="1:27" x14ac:dyDescent="0.25">
      <c r="A15" s="31" t="s">
        <v>27</v>
      </c>
      <c r="B15" s="99">
        <v>6.4000000000000001E-2</v>
      </c>
      <c r="C15" s="100">
        <v>0.63</v>
      </c>
      <c r="E15" s="5" t="s">
        <v>57</v>
      </c>
      <c r="F15" s="98">
        <v>0.59404520000000005</v>
      </c>
      <c r="G15" s="7"/>
      <c r="H15" s="31" t="s">
        <v>27</v>
      </c>
      <c r="I15" s="118">
        <v>-0.3003073</v>
      </c>
      <c r="J15" s="119">
        <v>-1.52</v>
      </c>
      <c r="L15" s="2" t="s">
        <v>57</v>
      </c>
      <c r="M15" s="98">
        <v>0.60101805698385935</v>
      </c>
      <c r="N15" s="1"/>
      <c r="O15" s="31" t="s">
        <v>125</v>
      </c>
      <c r="P15" s="118">
        <v>0.31748470000000001</v>
      </c>
      <c r="Q15" s="119">
        <v>1.49</v>
      </c>
      <c r="R15" s="3"/>
      <c r="S15" s="2" t="s">
        <v>57</v>
      </c>
      <c r="T15" s="117">
        <v>0.6707275903998059</v>
      </c>
      <c r="V15" s="31" t="s">
        <v>125</v>
      </c>
      <c r="W15" s="118">
        <v>0.312</v>
      </c>
      <c r="X15" s="119">
        <v>1.49</v>
      </c>
      <c r="Y15" s="3"/>
      <c r="Z15" s="5" t="s">
        <v>57</v>
      </c>
      <c r="AA15" s="98">
        <v>0.6912507</v>
      </c>
    </row>
    <row r="16" spans="1:27" x14ac:dyDescent="0.25">
      <c r="A16" s="31" t="s">
        <v>28</v>
      </c>
      <c r="B16" s="99">
        <v>0.316</v>
      </c>
      <c r="C16" s="100">
        <v>3.37</v>
      </c>
      <c r="E16" s="5" t="s">
        <v>58</v>
      </c>
      <c r="F16" s="98">
        <v>0.60760530000000001</v>
      </c>
      <c r="G16" s="7"/>
      <c r="H16" s="31" t="s">
        <v>28</v>
      </c>
      <c r="I16" s="118">
        <v>-0.1236584</v>
      </c>
      <c r="J16" s="119">
        <v>-0.63</v>
      </c>
      <c r="L16" s="2" t="s">
        <v>58</v>
      </c>
      <c r="M16" s="98">
        <v>0.58304931959025641</v>
      </c>
      <c r="N16" s="1"/>
      <c r="O16" s="31" t="s">
        <v>126</v>
      </c>
      <c r="P16" s="118">
        <v>3.8359400000000002E-2</v>
      </c>
      <c r="Q16" s="119">
        <v>0.9</v>
      </c>
      <c r="R16" s="3"/>
      <c r="S16" s="2" t="s">
        <v>58</v>
      </c>
      <c r="T16" s="117">
        <v>0.50574251643938084</v>
      </c>
      <c r="V16" s="31" t="s">
        <v>126</v>
      </c>
      <c r="W16" s="118">
        <v>0.1787</v>
      </c>
      <c r="X16" s="119">
        <v>0.9</v>
      </c>
      <c r="Y16" s="3"/>
      <c r="Z16" s="5" t="s">
        <v>58</v>
      </c>
      <c r="AA16" s="98">
        <v>0.60880009999999996</v>
      </c>
    </row>
    <row r="17" spans="1:27" ht="15.75" thickBot="1" x14ac:dyDescent="0.3">
      <c r="A17" s="110" t="s">
        <v>29</v>
      </c>
      <c r="B17" s="111">
        <v>-21.911999999999999</v>
      </c>
      <c r="C17" s="112">
        <v>-4.09</v>
      </c>
      <c r="E17" s="5" t="s">
        <v>59</v>
      </c>
      <c r="F17" s="98">
        <v>0.95101880000000005</v>
      </c>
      <c r="G17" s="7"/>
      <c r="H17" s="31" t="s">
        <v>127</v>
      </c>
      <c r="I17" s="118">
        <v>-1.478E-2</v>
      </c>
      <c r="J17" s="119">
        <v>-7.0000000000000007E-2</v>
      </c>
      <c r="L17" s="2" t="s">
        <v>59</v>
      </c>
      <c r="M17" s="98">
        <v>1</v>
      </c>
      <c r="N17" s="1"/>
      <c r="O17" s="31" t="s">
        <v>128</v>
      </c>
      <c r="P17" s="118">
        <v>-0.20568690000000001</v>
      </c>
      <c r="Q17" s="119">
        <v>-2.85</v>
      </c>
      <c r="R17" s="3"/>
      <c r="S17" s="2" t="s">
        <v>59</v>
      </c>
      <c r="T17" s="117">
        <v>1</v>
      </c>
      <c r="V17" s="31" t="s">
        <v>128</v>
      </c>
      <c r="W17" s="118">
        <v>-0.10199999999999999</v>
      </c>
      <c r="X17" s="119">
        <v>-2.85</v>
      </c>
      <c r="Y17" s="3"/>
      <c r="Z17" s="5" t="s">
        <v>59</v>
      </c>
      <c r="AA17" s="98">
        <v>0.94704370000000004</v>
      </c>
    </row>
    <row r="18" spans="1:27" x14ac:dyDescent="0.25">
      <c r="E18" s="5" t="s">
        <v>60</v>
      </c>
      <c r="F18" s="98">
        <v>0.71946869999999996</v>
      </c>
      <c r="G18" s="7"/>
      <c r="H18" s="31" t="s">
        <v>129</v>
      </c>
      <c r="I18" s="118">
        <v>-0.66075329999999999</v>
      </c>
      <c r="J18" s="119">
        <v>-3.21</v>
      </c>
      <c r="L18" s="2" t="s">
        <v>60</v>
      </c>
      <c r="M18" s="98">
        <v>0.68141061203947606</v>
      </c>
      <c r="N18" s="1"/>
      <c r="O18" s="31" t="s">
        <v>130</v>
      </c>
      <c r="P18" s="118">
        <v>3.9582000000000003E-3</v>
      </c>
      <c r="Q18" s="119">
        <v>0.02</v>
      </c>
      <c r="R18" s="3"/>
      <c r="S18" s="2" t="s">
        <v>60</v>
      </c>
      <c r="T18" s="117">
        <v>0.73497102670150671</v>
      </c>
      <c r="V18" s="31" t="s">
        <v>130</v>
      </c>
      <c r="W18" s="118">
        <v>-0.151</v>
      </c>
      <c r="X18" s="119">
        <v>0.02</v>
      </c>
      <c r="Y18" s="3"/>
      <c r="Z18" s="5" t="s">
        <v>60</v>
      </c>
      <c r="AA18" s="98">
        <v>0.76814190000000004</v>
      </c>
    </row>
    <row r="19" spans="1:27" x14ac:dyDescent="0.25">
      <c r="E19" s="5" t="s">
        <v>118</v>
      </c>
      <c r="F19" s="98">
        <v>0.67323940000000004</v>
      </c>
      <c r="G19" s="7"/>
      <c r="H19" s="31" t="s">
        <v>131</v>
      </c>
      <c r="I19" s="118">
        <v>-0.29511270000000001</v>
      </c>
      <c r="J19" s="119">
        <v>-1.46</v>
      </c>
      <c r="L19" s="2" t="s">
        <v>118</v>
      </c>
      <c r="M19" s="98">
        <v>0.67132869737090139</v>
      </c>
      <c r="N19" s="1"/>
      <c r="O19" s="31" t="s">
        <v>25</v>
      </c>
      <c r="P19" s="118">
        <v>-0.15893309999999999</v>
      </c>
      <c r="Q19" s="119">
        <v>-5.98</v>
      </c>
      <c r="R19" s="3"/>
      <c r="S19" s="2" t="s">
        <v>118</v>
      </c>
      <c r="T19" s="117">
        <v>0.62017145428720366</v>
      </c>
      <c r="V19" s="31" t="s">
        <v>25</v>
      </c>
      <c r="W19" s="118">
        <v>-6.3E-2</v>
      </c>
      <c r="X19" s="119">
        <v>-5.98</v>
      </c>
      <c r="Y19" s="3"/>
      <c r="Z19" s="5" t="s">
        <v>118</v>
      </c>
      <c r="AA19" s="98">
        <v>0.64108889999999996</v>
      </c>
    </row>
    <row r="20" spans="1:27" x14ac:dyDescent="0.25">
      <c r="E20" s="5" t="s">
        <v>61</v>
      </c>
      <c r="F20" s="98">
        <v>0.73742359999999996</v>
      </c>
      <c r="G20" s="7"/>
      <c r="H20" s="31" t="s">
        <v>132</v>
      </c>
      <c r="I20" s="118">
        <v>-0.33181670000000002</v>
      </c>
      <c r="J20" s="119">
        <v>-1.62</v>
      </c>
      <c r="L20" s="2" t="s">
        <v>61</v>
      </c>
      <c r="M20" s="98">
        <v>0.70599762889514162</v>
      </c>
      <c r="N20" s="1"/>
      <c r="O20" s="31" t="s">
        <v>26</v>
      </c>
      <c r="P20" s="118">
        <v>1.8875300000000001E-2</v>
      </c>
      <c r="Q20" s="119">
        <v>4.54</v>
      </c>
      <c r="R20" s="3"/>
      <c r="S20" s="2" t="s">
        <v>61</v>
      </c>
      <c r="T20" s="117">
        <v>0.6972466200710643</v>
      </c>
      <c r="V20" s="31" t="s">
        <v>26</v>
      </c>
      <c r="W20" s="118">
        <v>1.4999999999999999E-2</v>
      </c>
      <c r="X20" s="119">
        <v>4.54</v>
      </c>
      <c r="Y20" s="3"/>
      <c r="Z20" s="5" t="s">
        <v>61</v>
      </c>
      <c r="AA20" s="98">
        <v>0.72553219999999996</v>
      </c>
    </row>
    <row r="21" spans="1:27" x14ac:dyDescent="0.25">
      <c r="E21" s="5" t="s">
        <v>62</v>
      </c>
      <c r="F21" s="98">
        <v>0.75473299999999999</v>
      </c>
      <c r="G21" s="7"/>
      <c r="H21" s="31" t="s">
        <v>133</v>
      </c>
      <c r="I21" s="118">
        <v>-0.3038148</v>
      </c>
      <c r="J21" s="119">
        <v>-1.41</v>
      </c>
      <c r="L21" s="2" t="s">
        <v>62</v>
      </c>
      <c r="M21" s="98">
        <v>0.75082761062943049</v>
      </c>
      <c r="N21" s="1"/>
      <c r="O21" s="31" t="s">
        <v>27</v>
      </c>
      <c r="P21" s="118">
        <v>-0.421047</v>
      </c>
      <c r="Q21" s="119">
        <v>-2.35</v>
      </c>
      <c r="R21" s="3"/>
      <c r="S21" s="2" t="s">
        <v>62</v>
      </c>
      <c r="T21" s="117">
        <v>0.66344401968844868</v>
      </c>
      <c r="V21" s="31" t="s">
        <v>27</v>
      </c>
      <c r="W21" s="99">
        <v>-2.5000000000000001E-2</v>
      </c>
      <c r="X21" s="100">
        <v>0.63</v>
      </c>
      <c r="Y21" s="3"/>
      <c r="Z21" s="5" t="s">
        <v>62</v>
      </c>
      <c r="AA21" s="98">
        <v>0.77019519999999997</v>
      </c>
    </row>
    <row r="22" spans="1:27" x14ac:dyDescent="0.25">
      <c r="G22" s="3"/>
      <c r="H22" s="31" t="s">
        <v>134</v>
      </c>
      <c r="I22" s="118">
        <v>-0.40096609999999999</v>
      </c>
      <c r="J22" s="119">
        <v>-1.74</v>
      </c>
      <c r="K22" s="1"/>
      <c r="L22" s="1"/>
      <c r="M22" s="1"/>
      <c r="N22" s="1"/>
      <c r="O22" s="31" t="s">
        <v>28</v>
      </c>
      <c r="P22" s="118">
        <v>-0.23240330000000001</v>
      </c>
      <c r="Q22" s="119">
        <v>-1.3</v>
      </c>
      <c r="V22" s="31" t="s">
        <v>28</v>
      </c>
      <c r="W22" s="99">
        <v>0.28799999999999998</v>
      </c>
      <c r="X22" s="100">
        <v>3.37</v>
      </c>
    </row>
    <row r="23" spans="1:27" ht="15.75" thickBot="1" x14ac:dyDescent="0.3">
      <c r="G23" s="3"/>
      <c r="H23" s="31" t="s">
        <v>135</v>
      </c>
      <c r="I23" s="118">
        <v>-0.37061290000000002</v>
      </c>
      <c r="J23" s="119">
        <v>-1.88</v>
      </c>
      <c r="K23" s="1"/>
      <c r="L23" s="1"/>
      <c r="M23" s="1"/>
      <c r="N23" s="1"/>
      <c r="O23" s="31" t="s">
        <v>127</v>
      </c>
      <c r="P23" s="118">
        <v>-0.12859119999999999</v>
      </c>
      <c r="Q23" s="119">
        <v>-0.62</v>
      </c>
      <c r="V23" s="110" t="s">
        <v>29</v>
      </c>
      <c r="W23" s="111">
        <v>-21.198</v>
      </c>
      <c r="X23" s="112">
        <v>-4.09</v>
      </c>
    </row>
    <row r="24" spans="1:27" x14ac:dyDescent="0.25">
      <c r="G24" s="3"/>
      <c r="H24" s="31" t="s">
        <v>136</v>
      </c>
      <c r="I24" s="118">
        <v>-0.91009640000000003</v>
      </c>
      <c r="J24" s="119">
        <v>-4.21</v>
      </c>
      <c r="K24" s="1"/>
      <c r="L24" s="1"/>
      <c r="M24" s="1"/>
      <c r="N24" s="1"/>
      <c r="O24" s="31" t="s">
        <v>129</v>
      </c>
      <c r="P24" s="118">
        <v>-0.71329580000000004</v>
      </c>
      <c r="Q24" s="119">
        <v>-3.84</v>
      </c>
    </row>
    <row r="25" spans="1:27" x14ac:dyDescent="0.25">
      <c r="G25" s="3"/>
      <c r="H25" s="31" t="s">
        <v>137</v>
      </c>
      <c r="I25" s="118">
        <v>-0.52650620000000004</v>
      </c>
      <c r="J25" s="119">
        <v>-2.56</v>
      </c>
      <c r="K25" s="1"/>
      <c r="L25" s="1"/>
      <c r="M25" s="1"/>
      <c r="N25" s="1"/>
      <c r="O25" s="31" t="s">
        <v>131</v>
      </c>
      <c r="P25" s="118">
        <v>-0.41761999999999999</v>
      </c>
      <c r="Q25" s="119">
        <v>-2.25</v>
      </c>
    </row>
    <row r="26" spans="1:27" x14ac:dyDescent="0.25">
      <c r="H26" s="31" t="s">
        <v>138</v>
      </c>
      <c r="I26" s="118">
        <v>-0.51160000000000005</v>
      </c>
      <c r="J26" s="119">
        <v>-2.5</v>
      </c>
      <c r="O26" s="31" t="s">
        <v>132</v>
      </c>
      <c r="P26" s="118">
        <v>-0.42555280000000001</v>
      </c>
      <c r="Q26" s="119">
        <v>-2.2200000000000002</v>
      </c>
    </row>
    <row r="27" spans="1:27" x14ac:dyDescent="0.25">
      <c r="E27" s="9"/>
      <c r="H27" s="31" t="s">
        <v>139</v>
      </c>
      <c r="I27" s="118">
        <v>-0.56195300000000004</v>
      </c>
      <c r="J27" s="119">
        <v>-2.4900000000000002</v>
      </c>
      <c r="O27" s="31" t="s">
        <v>133</v>
      </c>
      <c r="P27" s="118">
        <v>-0.4404672</v>
      </c>
      <c r="Q27" s="119">
        <v>-2.06</v>
      </c>
    </row>
    <row r="28" spans="1:27" x14ac:dyDescent="0.25">
      <c r="E28" s="9"/>
      <c r="H28" s="31" t="s">
        <v>140</v>
      </c>
      <c r="I28" s="118">
        <v>-0.62351719999999999</v>
      </c>
      <c r="J28" s="119">
        <v>-3.03</v>
      </c>
      <c r="O28" s="31" t="s">
        <v>134</v>
      </c>
      <c r="P28" s="118">
        <v>-0.54141870000000003</v>
      </c>
      <c r="Q28" s="119">
        <v>-2.31</v>
      </c>
    </row>
    <row r="29" spans="1:27" x14ac:dyDescent="0.25">
      <c r="E29" s="9"/>
      <c r="H29" s="31" t="s">
        <v>29</v>
      </c>
      <c r="I29" s="118">
        <v>-25.2349</v>
      </c>
      <c r="J29" s="119">
        <v>-2.87</v>
      </c>
      <c r="O29" s="31" t="s">
        <v>135</v>
      </c>
      <c r="P29" s="118">
        <v>-0.25908330000000002</v>
      </c>
      <c r="Q29" s="119">
        <v>-1.42</v>
      </c>
    </row>
    <row r="30" spans="1:27" x14ac:dyDescent="0.25">
      <c r="E30" s="9"/>
      <c r="O30" s="31" t="s">
        <v>136</v>
      </c>
      <c r="P30" s="118">
        <v>-0.94081090000000001</v>
      </c>
      <c r="Q30" s="119">
        <v>-4.62</v>
      </c>
    </row>
    <row r="31" spans="1:27" x14ac:dyDescent="0.25">
      <c r="E31" s="9"/>
      <c r="O31" s="31" t="s">
        <v>137</v>
      </c>
      <c r="P31" s="118">
        <v>-0.63288670000000002</v>
      </c>
      <c r="Q31" s="119">
        <v>-3.27</v>
      </c>
    </row>
    <row r="32" spans="1:27" x14ac:dyDescent="0.25">
      <c r="E32" s="9"/>
      <c r="O32" s="31" t="s">
        <v>138</v>
      </c>
      <c r="P32" s="118">
        <v>-0.46305160000000001</v>
      </c>
      <c r="Q32" s="119">
        <v>-2.37</v>
      </c>
    </row>
    <row r="33" spans="5:17" x14ac:dyDescent="0.25">
      <c r="E33" s="9"/>
      <c r="O33" s="31" t="s">
        <v>139</v>
      </c>
      <c r="P33" s="118">
        <v>-0.58019480000000001</v>
      </c>
      <c r="Q33" s="119">
        <v>-2.83</v>
      </c>
    </row>
    <row r="34" spans="5:17" x14ac:dyDescent="0.25">
      <c r="E34" s="9"/>
      <c r="O34" s="31" t="s">
        <v>140</v>
      </c>
      <c r="P34" s="118">
        <v>-0.53050010000000003</v>
      </c>
      <c r="Q34" s="119">
        <v>-2.76</v>
      </c>
    </row>
    <row r="35" spans="5:17" x14ac:dyDescent="0.25">
      <c r="E35" s="9"/>
      <c r="O35" s="31" t="s">
        <v>29</v>
      </c>
      <c r="P35" s="118">
        <v>-27.781829999999999</v>
      </c>
      <c r="Q35" s="119">
        <v>-3.32</v>
      </c>
    </row>
    <row r="36" spans="5:17" x14ac:dyDescent="0.25">
      <c r="E36" s="9"/>
    </row>
    <row r="37" spans="5:17" hidden="1" x14ac:dyDescent="0.25">
      <c r="E37" s="9"/>
    </row>
    <row r="38" spans="5:17" hidden="1" x14ac:dyDescent="0.25">
      <c r="E38" s="9"/>
    </row>
    <row r="39" spans="5:17" hidden="1" x14ac:dyDescent="0.25">
      <c r="E39" s="9"/>
    </row>
  </sheetData>
  <phoneticPr fontId="2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Q77"/>
  <sheetViews>
    <sheetView topLeftCell="A55" zoomScaleNormal="100" workbookViewId="0">
      <selection activeCell="K64" sqref="K64"/>
    </sheetView>
  </sheetViews>
  <sheetFormatPr defaultColWidth="9.140625" defaultRowHeight="15" zeroHeight="1" x14ac:dyDescent="0.25"/>
  <cols>
    <col min="1" max="1" width="9.140625" style="3"/>
    <col min="2" max="2" width="10.28515625" style="3" customWidth="1"/>
    <col min="3" max="3" width="13.42578125" style="168" customWidth="1"/>
    <col min="4" max="4" width="9.140625" style="3"/>
    <col min="5" max="5" width="11.140625" style="3" customWidth="1"/>
    <col min="6" max="6" width="13.28515625" style="3" customWidth="1"/>
    <col min="7" max="8" width="9.140625" style="3"/>
    <col min="9" max="9" width="11.5703125" style="3" customWidth="1"/>
    <col min="10" max="10" width="10.42578125" style="3" customWidth="1"/>
    <col min="11" max="11" width="23" style="1" customWidth="1"/>
    <col min="12" max="12" width="9.140625" style="1"/>
    <col min="13" max="13" width="13" style="1" customWidth="1"/>
    <col min="14" max="14" width="11.7109375" style="1" bestFit="1" customWidth="1"/>
    <col min="15" max="15" width="10.5703125" style="1" customWidth="1"/>
    <col min="16" max="16" width="10.85546875" style="1" customWidth="1"/>
    <col min="17" max="17" width="22.5703125" style="1" customWidth="1"/>
    <col min="18" max="16384" width="9.140625" style="1"/>
  </cols>
  <sheetData>
    <row r="1" spans="1:17" x14ac:dyDescent="0.25">
      <c r="A1" s="2" t="s">
        <v>71</v>
      </c>
    </row>
    <row r="2" spans="1:17" x14ac:dyDescent="0.25"/>
    <row r="3" spans="1:17" x14ac:dyDescent="0.25">
      <c r="A3" s="2" t="s">
        <v>145</v>
      </c>
      <c r="C3" s="169"/>
      <c r="E3" s="2" t="s">
        <v>66</v>
      </c>
    </row>
    <row r="4" spans="1:17" s="14" customFormat="1" ht="30" x14ac:dyDescent="0.2">
      <c r="A4" s="11"/>
      <c r="B4" s="12"/>
      <c r="C4" s="170"/>
      <c r="D4" s="12"/>
      <c r="E4" s="11"/>
      <c r="F4" s="13" t="s">
        <v>67</v>
      </c>
      <c r="G4" s="12"/>
      <c r="I4" s="13" t="s">
        <v>69</v>
      </c>
      <c r="J4" s="13" t="s">
        <v>40</v>
      </c>
      <c r="K4" s="18" t="s">
        <v>72</v>
      </c>
      <c r="N4" s="125" t="s">
        <v>143</v>
      </c>
    </row>
    <row r="5" spans="1:17" s="14" customFormat="1" ht="32.25" customHeight="1" x14ac:dyDescent="0.2">
      <c r="A5" s="13" t="s">
        <v>63</v>
      </c>
      <c r="B5" s="15" t="s">
        <v>39</v>
      </c>
      <c r="C5" s="171"/>
      <c r="D5" s="19"/>
      <c r="E5" s="13" t="s">
        <v>63</v>
      </c>
      <c r="F5" s="19" t="s">
        <v>68</v>
      </c>
      <c r="G5" s="19"/>
      <c r="H5" s="13" t="s">
        <v>63</v>
      </c>
      <c r="I5" s="20" t="s">
        <v>70</v>
      </c>
      <c r="J5" s="19"/>
      <c r="K5" s="17"/>
      <c r="N5" s="125" t="s">
        <v>144</v>
      </c>
      <c r="O5" s="18" t="s">
        <v>69</v>
      </c>
      <c r="P5" s="18" t="s">
        <v>40</v>
      </c>
      <c r="Q5" s="18" t="s">
        <v>72</v>
      </c>
    </row>
    <row r="6" spans="1:17" x14ac:dyDescent="0.25">
      <c r="A6" s="5" t="s">
        <v>59</v>
      </c>
      <c r="B6" s="27">
        <f>'Opex Modelling Results'!F17</f>
        <v>0.95101880000000005</v>
      </c>
      <c r="C6" s="172"/>
      <c r="E6" s="3" t="str">
        <f>A6</f>
        <v>PCR</v>
      </c>
      <c r="F6" s="16">
        <v>0</v>
      </c>
      <c r="H6" s="2" t="s">
        <v>54</v>
      </c>
      <c r="I6" s="142">
        <f>OEFs!B3/100</f>
        <v>0.12942700744916746</v>
      </c>
      <c r="J6" s="25">
        <f>$F$19/(1+I6)</f>
        <v>0.66405353781462106</v>
      </c>
      <c r="K6" s="26">
        <f>MAX((1- B15/$J6),0)</f>
        <v>0.14570803753722683</v>
      </c>
      <c r="N6" s="1" t="str">
        <f>A3</f>
        <v>CD SFA</v>
      </c>
      <c r="O6" s="148">
        <f>I6</f>
        <v>0.12942700744916746</v>
      </c>
      <c r="P6" s="126">
        <f t="shared" ref="P6:Q6" si="0">J6</f>
        <v>0.66405353781462106</v>
      </c>
      <c r="Q6" s="126">
        <f t="shared" si="0"/>
        <v>0.14570803753722683</v>
      </c>
    </row>
    <row r="7" spans="1:17" x14ac:dyDescent="0.25">
      <c r="A7" s="5" t="s">
        <v>53</v>
      </c>
      <c r="B7" s="27">
        <f>'Opex Modelling Results'!F11</f>
        <v>0.78828909999999996</v>
      </c>
      <c r="C7" s="172"/>
      <c r="E7" s="3" t="str">
        <f t="shared" ref="E7:E18" si="1">A7</f>
        <v>CIT</v>
      </c>
      <c r="F7" s="16">
        <v>0</v>
      </c>
      <c r="H7" s="5"/>
      <c r="I7" s="5"/>
      <c r="J7" s="5"/>
      <c r="K7" s="5"/>
      <c r="N7" s="1" t="str">
        <f>A22</f>
        <v>CD LSE</v>
      </c>
      <c r="O7" s="148">
        <f>I25</f>
        <v>0.12942700744916746</v>
      </c>
      <c r="P7" s="126">
        <f t="shared" ref="P7:Q7" si="2">J25</f>
        <v>0.66405353781462106</v>
      </c>
      <c r="Q7" s="126">
        <f t="shared" si="2"/>
        <v>0.18583415787981072</v>
      </c>
    </row>
    <row r="8" spans="1:17" x14ac:dyDescent="0.25">
      <c r="A8" s="5" t="s">
        <v>62</v>
      </c>
      <c r="B8" s="27">
        <f>'Opex Modelling Results'!F21</f>
        <v>0.75473299999999999</v>
      </c>
      <c r="C8" s="172"/>
      <c r="E8" s="3" t="str">
        <f t="shared" si="1"/>
        <v>UED</v>
      </c>
      <c r="F8" s="16">
        <v>0</v>
      </c>
      <c r="N8" s="1" t="str">
        <f>A41</f>
        <v>Translog LSE</v>
      </c>
      <c r="O8" s="148">
        <f>I44</f>
        <v>0.12942700744916746</v>
      </c>
      <c r="P8" s="126">
        <f t="shared" ref="P8:Q8" si="3">J44</f>
        <v>0.66405353781462106</v>
      </c>
      <c r="Q8" s="126">
        <f t="shared" si="3"/>
        <v>0.10756214364178029</v>
      </c>
    </row>
    <row r="9" spans="1:17" x14ac:dyDescent="0.25">
      <c r="A9" s="5" t="s">
        <v>61</v>
      </c>
      <c r="B9" s="27">
        <f>'Opex Modelling Results'!F20</f>
        <v>0.73742359999999996</v>
      </c>
      <c r="C9" s="172"/>
      <c r="E9" s="3" t="str">
        <f t="shared" si="1"/>
        <v>TND</v>
      </c>
      <c r="F9" s="16">
        <v>0</v>
      </c>
      <c r="N9" s="147" t="s">
        <v>150</v>
      </c>
      <c r="O9" s="148">
        <f>I63</f>
        <v>0.12942700744916746</v>
      </c>
      <c r="P9" s="126">
        <f>J63</f>
        <v>0.66405353781462106</v>
      </c>
      <c r="Q9" s="126">
        <f>K63</f>
        <v>8.1011597335452934E-2</v>
      </c>
    </row>
    <row r="10" spans="1:17" x14ac:dyDescent="0.25">
      <c r="A10" s="5" t="s">
        <v>60</v>
      </c>
      <c r="B10" s="27">
        <f>'Opex Modelling Results'!F18</f>
        <v>0.71946869999999996</v>
      </c>
      <c r="C10" s="172"/>
      <c r="E10" s="3" t="str">
        <f t="shared" si="1"/>
        <v>SAP</v>
      </c>
      <c r="F10" s="16">
        <v>1</v>
      </c>
    </row>
    <row r="11" spans="1:17" x14ac:dyDescent="0.25">
      <c r="A11" s="5" t="s">
        <v>118</v>
      </c>
      <c r="B11" s="27">
        <f>'Opex Modelling Results'!F19</f>
        <v>0.67323940000000004</v>
      </c>
      <c r="C11" s="172"/>
      <c r="E11" s="3" t="str">
        <f t="shared" si="1"/>
        <v>AND</v>
      </c>
      <c r="F11" s="16">
        <v>0</v>
      </c>
    </row>
    <row r="12" spans="1:17" x14ac:dyDescent="0.25">
      <c r="A12" s="5" t="s">
        <v>58</v>
      </c>
      <c r="B12" s="27">
        <f>'Opex Modelling Results'!F16</f>
        <v>0.60760530000000001</v>
      </c>
      <c r="C12" s="172"/>
      <c r="E12" s="3" t="str">
        <f t="shared" si="1"/>
        <v>JEN</v>
      </c>
      <c r="F12" s="16">
        <v>0</v>
      </c>
    </row>
    <row r="13" spans="1:17" x14ac:dyDescent="0.25">
      <c r="A13" s="5" t="s">
        <v>57</v>
      </c>
      <c r="B13" s="27">
        <f>'Opex Modelling Results'!F15</f>
        <v>0.59404520000000005</v>
      </c>
      <c r="C13" s="172"/>
      <c r="E13" s="3" t="str">
        <f t="shared" si="1"/>
        <v>ESS</v>
      </c>
      <c r="F13" s="16">
        <v>0</v>
      </c>
    </row>
    <row r="14" spans="1:17" x14ac:dyDescent="0.25">
      <c r="A14" s="5" t="s">
        <v>55</v>
      </c>
      <c r="B14" s="27">
        <f>'Opex Modelling Results'!F13</f>
        <v>0.58721760000000001</v>
      </c>
      <c r="C14" s="172"/>
      <c r="E14" s="3" t="str">
        <f t="shared" si="1"/>
        <v>ENX</v>
      </c>
      <c r="F14" s="16">
        <v>0</v>
      </c>
    </row>
    <row r="15" spans="1:17" x14ac:dyDescent="0.25">
      <c r="A15" s="5" t="s">
        <v>54</v>
      </c>
      <c r="B15" s="27">
        <f>'Opex Modelling Results'!F12</f>
        <v>0.56729560000000001</v>
      </c>
      <c r="C15" s="172"/>
      <c r="E15" s="3" t="str">
        <f t="shared" si="1"/>
        <v>END</v>
      </c>
      <c r="F15" s="16">
        <v>0</v>
      </c>
    </row>
    <row r="16" spans="1:17" x14ac:dyDescent="0.25">
      <c r="A16" s="5" t="s">
        <v>56</v>
      </c>
      <c r="B16" s="27">
        <f>'Opex Modelling Results'!F14</f>
        <v>0.54438640000000005</v>
      </c>
      <c r="C16" s="172"/>
      <c r="E16" s="3" t="str">
        <f t="shared" si="1"/>
        <v>ERG</v>
      </c>
      <c r="F16" s="16">
        <v>0</v>
      </c>
    </row>
    <row r="17" spans="1:11" x14ac:dyDescent="0.25">
      <c r="A17" s="5" t="s">
        <v>51</v>
      </c>
      <c r="B17" s="27">
        <f>'Opex Modelling Results'!F9</f>
        <v>0.4330657</v>
      </c>
      <c r="C17" s="172"/>
      <c r="E17" s="3" t="str">
        <f t="shared" si="1"/>
        <v>ACT</v>
      </c>
      <c r="F17" s="16">
        <v>0</v>
      </c>
    </row>
    <row r="18" spans="1:11" x14ac:dyDescent="0.25">
      <c r="A18" s="5" t="s">
        <v>52</v>
      </c>
      <c r="B18" s="27">
        <f>'Opex Modelling Results'!F10</f>
        <v>0.4294598</v>
      </c>
      <c r="C18" s="172"/>
      <c r="E18" s="3" t="str">
        <f t="shared" si="1"/>
        <v>AGD</v>
      </c>
      <c r="F18" s="16">
        <v>0</v>
      </c>
    </row>
    <row r="19" spans="1:11" x14ac:dyDescent="0.25">
      <c r="A19" s="5"/>
      <c r="C19" s="173"/>
      <c r="E19" s="8" t="s">
        <v>119</v>
      </c>
      <c r="F19" s="32">
        <v>0.75</v>
      </c>
      <c r="G19" s="167"/>
    </row>
    <row r="20" spans="1:11" ht="16.5" customHeight="1" x14ac:dyDescent="0.25">
      <c r="C20" s="169"/>
      <c r="E20" s="1"/>
    </row>
    <row r="21" spans="1:11" x14ac:dyDescent="0.25">
      <c r="C21" s="169"/>
    </row>
    <row r="22" spans="1:11" x14ac:dyDescent="0.25">
      <c r="A22" s="2" t="s">
        <v>141</v>
      </c>
      <c r="C22" s="169"/>
      <c r="E22" s="2" t="s">
        <v>66</v>
      </c>
    </row>
    <row r="23" spans="1:11" ht="30" x14ac:dyDescent="0.25">
      <c r="A23" s="11"/>
      <c r="B23" s="12"/>
      <c r="C23" s="170"/>
      <c r="D23" s="12"/>
      <c r="E23" s="11"/>
      <c r="F23" s="18" t="s">
        <v>67</v>
      </c>
      <c r="H23" s="14"/>
      <c r="I23" s="18" t="s">
        <v>69</v>
      </c>
      <c r="J23" s="18" t="s">
        <v>40</v>
      </c>
      <c r="K23" s="18" t="s">
        <v>72</v>
      </c>
    </row>
    <row r="24" spans="1:11" ht="30" x14ac:dyDescent="0.25">
      <c r="A24" s="18" t="s">
        <v>63</v>
      </c>
      <c r="B24" s="120" t="s">
        <v>39</v>
      </c>
      <c r="C24" s="171"/>
      <c r="D24" s="17"/>
      <c r="E24" s="18" t="s">
        <v>63</v>
      </c>
      <c r="F24" s="17" t="s">
        <v>68</v>
      </c>
      <c r="H24" s="18" t="s">
        <v>63</v>
      </c>
      <c r="I24" s="121" t="s">
        <v>70</v>
      </c>
      <c r="J24" s="17"/>
      <c r="K24" s="17"/>
    </row>
    <row r="25" spans="1:11" x14ac:dyDescent="0.25">
      <c r="A25" s="2" t="s">
        <v>59</v>
      </c>
      <c r="B25" s="27">
        <f>'Opex Modelling Results'!M17</f>
        <v>1</v>
      </c>
      <c r="C25" s="172"/>
      <c r="E25" s="3" t="str">
        <f>A25</f>
        <v>PCR</v>
      </c>
      <c r="F25" s="16">
        <v>0</v>
      </c>
      <c r="H25" s="2" t="s">
        <v>54</v>
      </c>
      <c r="I25" s="146">
        <f>I6</f>
        <v>0.12942700744916746</v>
      </c>
      <c r="J25" s="122">
        <f>$F$38/(1+I25)</f>
        <v>0.66405353781462106</v>
      </c>
      <c r="K25" s="122">
        <f>MAX((1- B35/$J25),0)</f>
        <v>0.18583415787981072</v>
      </c>
    </row>
    <row r="26" spans="1:11" x14ac:dyDescent="0.25">
      <c r="A26" s="2" t="s">
        <v>53</v>
      </c>
      <c r="B26" s="27">
        <f>'Opex Modelling Results'!M11</f>
        <v>0.77931254537573036</v>
      </c>
      <c r="C26" s="172"/>
      <c r="E26" s="3" t="str">
        <f t="shared" ref="E26:E37" si="4">A26</f>
        <v>CIT</v>
      </c>
      <c r="F26" s="16">
        <v>0</v>
      </c>
    </row>
    <row r="27" spans="1:11" x14ac:dyDescent="0.25">
      <c r="A27" s="2" t="s">
        <v>62</v>
      </c>
      <c r="B27" s="27">
        <f>'Opex Modelling Results'!M21</f>
        <v>0.75082761062943049</v>
      </c>
      <c r="C27" s="172"/>
      <c r="E27" s="3" t="str">
        <f t="shared" si="4"/>
        <v>UED</v>
      </c>
      <c r="F27" s="16">
        <v>0</v>
      </c>
    </row>
    <row r="28" spans="1:11" x14ac:dyDescent="0.25">
      <c r="A28" s="2" t="s">
        <v>61</v>
      </c>
      <c r="B28" s="27">
        <f>'Opex Modelling Results'!M20</f>
        <v>0.70599762889514162</v>
      </c>
      <c r="C28" s="172"/>
      <c r="E28" s="3" t="str">
        <f t="shared" si="4"/>
        <v>TND</v>
      </c>
      <c r="F28" s="16">
        <v>0</v>
      </c>
    </row>
    <row r="29" spans="1:11" x14ac:dyDescent="0.25">
      <c r="A29" s="2" t="s">
        <v>60</v>
      </c>
      <c r="B29" s="27">
        <f>'Opex Modelling Results'!M18</f>
        <v>0.68141061203947606</v>
      </c>
      <c r="C29" s="172"/>
      <c r="E29" s="3" t="str">
        <f t="shared" si="4"/>
        <v>SAP</v>
      </c>
      <c r="F29" s="16">
        <v>1</v>
      </c>
    </row>
    <row r="30" spans="1:11" x14ac:dyDescent="0.25">
      <c r="A30" s="2" t="s">
        <v>118</v>
      </c>
      <c r="B30" s="27">
        <f>'Opex Modelling Results'!M19</f>
        <v>0.67132869737090139</v>
      </c>
      <c r="C30" s="172"/>
      <c r="E30" s="3" t="str">
        <f t="shared" si="4"/>
        <v>AND</v>
      </c>
      <c r="F30" s="16">
        <v>0</v>
      </c>
    </row>
    <row r="31" spans="1:11" x14ac:dyDescent="0.25">
      <c r="A31" s="2" t="s">
        <v>57</v>
      </c>
      <c r="B31" s="27">
        <f>'Opex Modelling Results'!M15</f>
        <v>0.60101805698385935</v>
      </c>
      <c r="C31" s="172"/>
      <c r="E31" s="3" t="str">
        <f t="shared" si="4"/>
        <v>ESS</v>
      </c>
      <c r="F31" s="16">
        <v>0</v>
      </c>
    </row>
    <row r="32" spans="1:11" x14ac:dyDescent="0.25">
      <c r="A32" s="2" t="s">
        <v>58</v>
      </c>
      <c r="B32" s="27">
        <f>'Opex Modelling Results'!M16</f>
        <v>0.58304931959025641</v>
      </c>
      <c r="C32" s="172"/>
      <c r="E32" s="3" t="str">
        <f t="shared" si="4"/>
        <v>JEN</v>
      </c>
      <c r="F32" s="16">
        <v>0</v>
      </c>
    </row>
    <row r="33" spans="1:11" x14ac:dyDescent="0.25">
      <c r="A33" s="2" t="s">
        <v>55</v>
      </c>
      <c r="B33" s="27">
        <f>'Opex Modelling Results'!M13</f>
        <v>0.56086238869128957</v>
      </c>
      <c r="C33" s="172"/>
      <c r="E33" s="3" t="str">
        <f t="shared" si="4"/>
        <v>ENX</v>
      </c>
      <c r="F33" s="16">
        <v>0</v>
      </c>
    </row>
    <row r="34" spans="1:11" x14ac:dyDescent="0.25">
      <c r="A34" s="2" t="s">
        <v>56</v>
      </c>
      <c r="B34" s="27">
        <f>'Opex Modelling Results'!M14</f>
        <v>0.54537502592623555</v>
      </c>
      <c r="C34" s="172"/>
      <c r="E34" s="3" t="str">
        <f t="shared" si="4"/>
        <v>ERG</v>
      </c>
      <c r="F34" s="16">
        <v>0</v>
      </c>
    </row>
    <row r="35" spans="1:11" x14ac:dyDescent="0.25">
      <c r="A35" s="2" t="s">
        <v>54</v>
      </c>
      <c r="B35" s="27">
        <f>'Opex Modelling Results'!M12</f>
        <v>0.54064970782773192</v>
      </c>
      <c r="C35" s="172"/>
      <c r="E35" s="3" t="str">
        <f t="shared" si="4"/>
        <v>END</v>
      </c>
      <c r="F35" s="16">
        <v>0</v>
      </c>
    </row>
    <row r="36" spans="1:11" x14ac:dyDescent="0.25">
      <c r="A36" s="2" t="s">
        <v>52</v>
      </c>
      <c r="B36" s="27">
        <f>'Opex Modelling Results'!M10</f>
        <v>0.40847833564712244</v>
      </c>
      <c r="C36" s="172"/>
      <c r="E36" s="3" t="str">
        <f t="shared" si="4"/>
        <v>AGD</v>
      </c>
      <c r="F36" s="16">
        <v>0</v>
      </c>
    </row>
    <row r="37" spans="1:11" x14ac:dyDescent="0.25">
      <c r="A37" s="2" t="s">
        <v>51</v>
      </c>
      <c r="B37" s="27">
        <f>'Opex Modelling Results'!M9</f>
        <v>0.40248542256869979</v>
      </c>
      <c r="C37" s="172"/>
      <c r="E37" s="3" t="str">
        <f t="shared" si="4"/>
        <v>ACT</v>
      </c>
      <c r="F37" s="16">
        <v>0</v>
      </c>
    </row>
    <row r="38" spans="1:11" x14ac:dyDescent="0.25">
      <c r="A38" s="2"/>
      <c r="C38" s="173"/>
      <c r="E38" s="123" t="s">
        <v>119</v>
      </c>
      <c r="F38" s="32">
        <v>0.75</v>
      </c>
    </row>
    <row r="39" spans="1:11" x14ac:dyDescent="0.25"/>
    <row r="40" spans="1:11" x14ac:dyDescent="0.25"/>
    <row r="41" spans="1:11" x14ac:dyDescent="0.25">
      <c r="A41" s="2" t="s">
        <v>142</v>
      </c>
      <c r="C41" s="169"/>
      <c r="E41" s="2" t="s">
        <v>66</v>
      </c>
    </row>
    <row r="42" spans="1:11" ht="30" x14ac:dyDescent="0.25">
      <c r="A42" s="11"/>
      <c r="B42" s="12"/>
      <c r="C42" s="170"/>
      <c r="D42" s="12"/>
      <c r="E42" s="11"/>
      <c r="F42" s="18" t="s">
        <v>67</v>
      </c>
      <c r="H42" s="14"/>
      <c r="I42" s="18" t="s">
        <v>69</v>
      </c>
      <c r="J42" s="18" t="s">
        <v>40</v>
      </c>
      <c r="K42" s="18" t="s">
        <v>72</v>
      </c>
    </row>
    <row r="43" spans="1:11" ht="30" x14ac:dyDescent="0.25">
      <c r="A43" s="18" t="s">
        <v>63</v>
      </c>
      <c r="B43" s="120" t="s">
        <v>39</v>
      </c>
      <c r="C43" s="171"/>
      <c r="D43" s="17"/>
      <c r="E43" s="18" t="s">
        <v>63</v>
      </c>
      <c r="F43" s="17" t="s">
        <v>68</v>
      </c>
      <c r="H43" s="18" t="s">
        <v>63</v>
      </c>
      <c r="I43" s="121" t="s">
        <v>70</v>
      </c>
      <c r="J43" s="17"/>
      <c r="K43" s="17"/>
    </row>
    <row r="44" spans="1:11" x14ac:dyDescent="0.25">
      <c r="A44" s="2" t="s">
        <v>59</v>
      </c>
      <c r="B44" s="124">
        <f>'Opex Modelling Results'!T17</f>
        <v>1</v>
      </c>
      <c r="C44" s="172"/>
      <c r="E44" s="3" t="str">
        <f>A44</f>
        <v>PCR</v>
      </c>
      <c r="F44" s="16">
        <v>0</v>
      </c>
      <c r="H44" s="2" t="s">
        <v>54</v>
      </c>
      <c r="I44" s="146">
        <f>I6</f>
        <v>0.12942700744916746</v>
      </c>
      <c r="J44" s="122">
        <f>$F$57/(1+I44)</f>
        <v>0.66405353781462106</v>
      </c>
      <c r="K44" s="122">
        <f>MAX((1- B53/$J44),0)</f>
        <v>0.10756214364178029</v>
      </c>
    </row>
    <row r="45" spans="1:11" x14ac:dyDescent="0.25">
      <c r="A45" s="2" t="s">
        <v>53</v>
      </c>
      <c r="B45" s="124">
        <f>'Opex Modelling Results'!T11</f>
        <v>0.79651039409973456</v>
      </c>
      <c r="C45" s="172"/>
      <c r="E45" s="3" t="str">
        <f t="shared" ref="E45:E56" si="5">A45</f>
        <v>CIT</v>
      </c>
      <c r="F45" s="16">
        <v>0</v>
      </c>
    </row>
    <row r="46" spans="1:11" x14ac:dyDescent="0.25">
      <c r="A46" s="2" t="s">
        <v>60</v>
      </c>
      <c r="B46" s="124">
        <f>'Opex Modelling Results'!T18</f>
        <v>0.73497102670150671</v>
      </c>
      <c r="C46" s="172"/>
      <c r="E46" s="3" t="str">
        <f t="shared" si="5"/>
        <v>SAP</v>
      </c>
      <c r="F46" s="16">
        <v>0</v>
      </c>
    </row>
    <row r="47" spans="1:11" x14ac:dyDescent="0.25">
      <c r="A47" s="2" t="s">
        <v>61</v>
      </c>
      <c r="B47" s="124">
        <f>'Opex Modelling Results'!T20</f>
        <v>0.6972466200710643</v>
      </c>
      <c r="C47" s="172"/>
      <c r="E47" s="3" t="str">
        <f t="shared" si="5"/>
        <v>TND</v>
      </c>
      <c r="F47" s="16">
        <v>0</v>
      </c>
    </row>
    <row r="48" spans="1:11" x14ac:dyDescent="0.25">
      <c r="A48" s="2" t="s">
        <v>57</v>
      </c>
      <c r="B48" s="124">
        <f>'Opex Modelling Results'!T15</f>
        <v>0.6707275903998059</v>
      </c>
      <c r="C48" s="172"/>
      <c r="E48" s="3" t="str">
        <f t="shared" si="5"/>
        <v>ESS</v>
      </c>
      <c r="F48" s="16">
        <v>1</v>
      </c>
    </row>
    <row r="49" spans="1:11" x14ac:dyDescent="0.25">
      <c r="A49" s="2" t="s">
        <v>62</v>
      </c>
      <c r="B49" s="124">
        <f>'Opex Modelling Results'!T21</f>
        <v>0.66344401968844868</v>
      </c>
      <c r="C49" s="172"/>
      <c r="E49" s="3" t="str">
        <f t="shared" si="5"/>
        <v>UED</v>
      </c>
      <c r="F49" s="16">
        <v>0</v>
      </c>
    </row>
    <row r="50" spans="1:11" x14ac:dyDescent="0.25">
      <c r="A50" s="2" t="s">
        <v>118</v>
      </c>
      <c r="B50" s="124">
        <f>'Opex Modelling Results'!T19</f>
        <v>0.62017145428720366</v>
      </c>
      <c r="C50" s="172"/>
      <c r="E50" s="3" t="str">
        <f t="shared" si="5"/>
        <v>AND</v>
      </c>
      <c r="F50" s="16">
        <v>0</v>
      </c>
    </row>
    <row r="51" spans="1:11" x14ac:dyDescent="0.25">
      <c r="A51" s="2" t="s">
        <v>56</v>
      </c>
      <c r="B51" s="124">
        <f>'Opex Modelling Results'!T14</f>
        <v>0.6063222309454257</v>
      </c>
      <c r="C51" s="172"/>
      <c r="E51" s="3" t="str">
        <f t="shared" si="5"/>
        <v>ERG</v>
      </c>
      <c r="F51" s="16">
        <v>0</v>
      </c>
    </row>
    <row r="52" spans="1:11" x14ac:dyDescent="0.25">
      <c r="A52" s="2" t="s">
        <v>55</v>
      </c>
      <c r="B52" s="124">
        <f>'Opex Modelling Results'!T13</f>
        <v>0.59734639961448788</v>
      </c>
      <c r="C52" s="172"/>
      <c r="E52" s="3" t="str">
        <f t="shared" si="5"/>
        <v>ENX</v>
      </c>
      <c r="F52" s="16">
        <v>0</v>
      </c>
    </row>
    <row r="53" spans="1:11" x14ac:dyDescent="0.25">
      <c r="A53" s="2" t="s">
        <v>54</v>
      </c>
      <c r="B53" s="124">
        <f>'Opex Modelling Results'!T12</f>
        <v>0.59262651579437242</v>
      </c>
      <c r="C53" s="172"/>
      <c r="E53" s="3" t="str">
        <f t="shared" si="5"/>
        <v>END</v>
      </c>
      <c r="F53" s="16">
        <v>0</v>
      </c>
    </row>
    <row r="54" spans="1:11" x14ac:dyDescent="0.25">
      <c r="A54" s="2" t="s">
        <v>58</v>
      </c>
      <c r="B54" s="124">
        <f>'Opex Modelling Results'!T16</f>
        <v>0.50574251643938084</v>
      </c>
      <c r="C54" s="172"/>
      <c r="E54" s="3" t="str">
        <f t="shared" si="5"/>
        <v>JEN</v>
      </c>
      <c r="F54" s="16">
        <v>0</v>
      </c>
    </row>
    <row r="55" spans="1:11" x14ac:dyDescent="0.25">
      <c r="A55" s="2" t="s">
        <v>52</v>
      </c>
      <c r="B55" s="124">
        <f>'Opex Modelling Results'!T10</f>
        <v>0.44387170988591379</v>
      </c>
      <c r="C55" s="172"/>
      <c r="E55" s="3" t="str">
        <f t="shared" si="5"/>
        <v>AGD</v>
      </c>
      <c r="F55" s="16">
        <v>0</v>
      </c>
    </row>
    <row r="56" spans="1:11" x14ac:dyDescent="0.25">
      <c r="A56" s="2" t="s">
        <v>51</v>
      </c>
      <c r="B56" s="124">
        <f>'Opex Modelling Results'!T9</f>
        <v>0.39031120364250843</v>
      </c>
      <c r="C56" s="172"/>
      <c r="E56" s="3" t="str">
        <f t="shared" si="5"/>
        <v>ACT</v>
      </c>
      <c r="F56" s="16">
        <v>0</v>
      </c>
    </row>
    <row r="57" spans="1:11" x14ac:dyDescent="0.25">
      <c r="A57" s="2"/>
      <c r="C57" s="173"/>
      <c r="E57" s="123" t="s">
        <v>119</v>
      </c>
      <c r="F57" s="32">
        <v>0.75</v>
      </c>
    </row>
    <row r="58" spans="1:11" x14ac:dyDescent="0.25"/>
    <row r="59" spans="1:11" x14ac:dyDescent="0.25"/>
    <row r="60" spans="1:11" x14ac:dyDescent="0.25">
      <c r="A60" s="2" t="s">
        <v>150</v>
      </c>
      <c r="C60" s="169"/>
      <c r="E60" s="2" t="s">
        <v>66</v>
      </c>
    </row>
    <row r="61" spans="1:11" ht="30" x14ac:dyDescent="0.25">
      <c r="A61" s="11"/>
      <c r="B61" s="12"/>
      <c r="C61" s="170"/>
      <c r="D61" s="12"/>
      <c r="E61" s="11"/>
      <c r="F61" s="18" t="s">
        <v>67</v>
      </c>
      <c r="H61" s="14"/>
      <c r="I61" s="18" t="s">
        <v>69</v>
      </c>
      <c r="J61" s="18" t="s">
        <v>40</v>
      </c>
      <c r="K61" s="18" t="s">
        <v>72</v>
      </c>
    </row>
    <row r="62" spans="1:11" ht="30" x14ac:dyDescent="0.25">
      <c r="A62" s="18" t="s">
        <v>63</v>
      </c>
      <c r="B62" s="120" t="s">
        <v>39</v>
      </c>
      <c r="C62" s="171"/>
      <c r="D62" s="17"/>
      <c r="E62" s="18" t="s">
        <v>63</v>
      </c>
      <c r="F62" s="17" t="s">
        <v>68</v>
      </c>
      <c r="H62" s="18" t="s">
        <v>63</v>
      </c>
      <c r="I62" s="121" t="s">
        <v>70</v>
      </c>
      <c r="J62" s="17"/>
      <c r="K62" s="17"/>
    </row>
    <row r="63" spans="1:11" x14ac:dyDescent="0.25">
      <c r="A63" s="5" t="s">
        <v>59</v>
      </c>
      <c r="B63" s="124">
        <f>'Opex Modelling Results'!AA17</f>
        <v>0.94704370000000004</v>
      </c>
      <c r="C63" s="172"/>
      <c r="E63" s="3" t="str">
        <f>A63</f>
        <v>PCR</v>
      </c>
      <c r="F63" s="16">
        <v>0</v>
      </c>
      <c r="H63" s="2" t="s">
        <v>54</v>
      </c>
      <c r="I63" s="146">
        <f>I25</f>
        <v>0.12942700744916746</v>
      </c>
      <c r="J63" s="122">
        <f>$F$76/(1+I63)</f>
        <v>0.66405353781462106</v>
      </c>
      <c r="K63" s="122">
        <f>MAX((1- B72/$J63),0)</f>
        <v>8.1011597335452934E-2</v>
      </c>
    </row>
    <row r="64" spans="1:11" x14ac:dyDescent="0.25">
      <c r="A64" s="5" t="s">
        <v>53</v>
      </c>
      <c r="B64" s="124">
        <f>'Opex Modelling Results'!AA11</f>
        <v>0.91555529999999996</v>
      </c>
      <c r="C64" s="172"/>
      <c r="E64" s="3" t="str">
        <f t="shared" ref="E64:E75" si="6">A64</f>
        <v>CIT</v>
      </c>
      <c r="F64" s="16">
        <v>0</v>
      </c>
    </row>
    <row r="65" spans="1:6" x14ac:dyDescent="0.25">
      <c r="A65" s="5" t="s">
        <v>62</v>
      </c>
      <c r="B65" s="124">
        <f>'Opex Modelling Results'!AA21</f>
        <v>0.77019519999999997</v>
      </c>
      <c r="C65" s="172"/>
      <c r="E65" s="3" t="str">
        <f t="shared" si="6"/>
        <v>UED</v>
      </c>
      <c r="F65" s="16">
        <v>0</v>
      </c>
    </row>
    <row r="66" spans="1:6" x14ac:dyDescent="0.25">
      <c r="A66" s="5" t="s">
        <v>60</v>
      </c>
      <c r="B66" s="124">
        <f>'Opex Modelling Results'!AA18</f>
        <v>0.76814190000000004</v>
      </c>
      <c r="C66" s="172"/>
      <c r="E66" s="3" t="str">
        <f t="shared" si="6"/>
        <v>SAP</v>
      </c>
      <c r="F66" s="16">
        <v>0</v>
      </c>
    </row>
    <row r="67" spans="1:6" x14ac:dyDescent="0.25">
      <c r="A67" s="5" t="s">
        <v>61</v>
      </c>
      <c r="B67" s="124">
        <f>'Opex Modelling Results'!AA20</f>
        <v>0.72553219999999996</v>
      </c>
      <c r="C67" s="172"/>
      <c r="E67" s="3" t="str">
        <f t="shared" si="6"/>
        <v>TND</v>
      </c>
      <c r="F67" s="16">
        <v>1</v>
      </c>
    </row>
    <row r="68" spans="1:6" x14ac:dyDescent="0.25">
      <c r="A68" s="5" t="s">
        <v>57</v>
      </c>
      <c r="B68" s="124">
        <f>'Opex Modelling Results'!AA15</f>
        <v>0.6912507</v>
      </c>
      <c r="C68" s="172"/>
      <c r="E68" s="3" t="str">
        <f t="shared" si="6"/>
        <v>ESS</v>
      </c>
      <c r="F68" s="16">
        <v>0</v>
      </c>
    </row>
    <row r="69" spans="1:6" x14ac:dyDescent="0.25">
      <c r="A69" s="5" t="s">
        <v>118</v>
      </c>
      <c r="B69" s="124">
        <f>'Opex Modelling Results'!AA19</f>
        <v>0.64108889999999996</v>
      </c>
      <c r="C69" s="172"/>
      <c r="E69" s="3" t="str">
        <f t="shared" si="6"/>
        <v>AND</v>
      </c>
      <c r="F69" s="16">
        <v>0</v>
      </c>
    </row>
    <row r="70" spans="1:6" x14ac:dyDescent="0.25">
      <c r="A70" s="5" t="s">
        <v>55</v>
      </c>
      <c r="B70" s="124">
        <f>'Opex Modelling Results'!AA13</f>
        <v>0.63178849999999998</v>
      </c>
      <c r="C70" s="172"/>
      <c r="E70" s="3" t="str">
        <f t="shared" si="6"/>
        <v>ENX</v>
      </c>
      <c r="F70" s="16">
        <v>0</v>
      </c>
    </row>
    <row r="71" spans="1:6" x14ac:dyDescent="0.25">
      <c r="A71" s="5" t="s">
        <v>56</v>
      </c>
      <c r="B71" s="124">
        <f>'Opex Modelling Results'!AA14</f>
        <v>0.63018269999999998</v>
      </c>
      <c r="C71" s="172"/>
      <c r="E71" s="3" t="str">
        <f t="shared" si="6"/>
        <v>ERG</v>
      </c>
      <c r="F71" s="16">
        <v>0</v>
      </c>
    </row>
    <row r="72" spans="1:6" x14ac:dyDescent="0.25">
      <c r="A72" s="5" t="s">
        <v>54</v>
      </c>
      <c r="B72" s="124">
        <f>'Opex Modelling Results'!AA12</f>
        <v>0.61025750000000001</v>
      </c>
      <c r="C72" s="172"/>
      <c r="E72" s="3" t="str">
        <f t="shared" si="6"/>
        <v>END</v>
      </c>
      <c r="F72" s="16">
        <v>0</v>
      </c>
    </row>
    <row r="73" spans="1:6" x14ac:dyDescent="0.25">
      <c r="A73" s="5" t="s">
        <v>58</v>
      </c>
      <c r="B73" s="124">
        <f>'Opex Modelling Results'!AA16</f>
        <v>0.60880009999999996</v>
      </c>
      <c r="C73" s="172"/>
      <c r="E73" s="3" t="str">
        <f t="shared" si="6"/>
        <v>JEN</v>
      </c>
      <c r="F73" s="16">
        <v>0</v>
      </c>
    </row>
    <row r="74" spans="1:6" x14ac:dyDescent="0.25">
      <c r="A74" s="5" t="s">
        <v>52</v>
      </c>
      <c r="B74" s="124">
        <f>'Opex Modelling Results'!AA10</f>
        <v>0.49232350000000002</v>
      </c>
      <c r="C74" s="172"/>
      <c r="E74" s="3" t="str">
        <f t="shared" si="6"/>
        <v>AGD</v>
      </c>
      <c r="F74" s="16">
        <v>0</v>
      </c>
    </row>
    <row r="75" spans="1:6" x14ac:dyDescent="0.25">
      <c r="A75" s="5" t="s">
        <v>51</v>
      </c>
      <c r="B75" s="124">
        <f>'Opex Modelling Results'!AA9</f>
        <v>0.44503039999999999</v>
      </c>
      <c r="C75" s="172"/>
      <c r="E75" s="3" t="str">
        <f t="shared" si="6"/>
        <v>ACT</v>
      </c>
      <c r="F75" s="16">
        <v>0</v>
      </c>
    </row>
    <row r="76" spans="1:6" x14ac:dyDescent="0.25">
      <c r="A76" s="2"/>
      <c r="C76" s="173"/>
      <c r="E76" s="123" t="s">
        <v>119</v>
      </c>
      <c r="F76" s="32">
        <v>0.75</v>
      </c>
    </row>
    <row r="77" spans="1:6" x14ac:dyDescent="0.25"/>
  </sheetData>
  <sortState ref="A63:B75">
    <sortCondition descending="1" ref="B63"/>
  </sortState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topLeftCell="A4" workbookViewId="0">
      <pane xSplit="1" topLeftCell="G1" activePane="topRight" state="frozen"/>
      <selection activeCell="E30" sqref="E30"/>
      <selection pane="topRight" activeCell="U6" sqref="U6"/>
    </sheetView>
  </sheetViews>
  <sheetFormatPr defaultColWidth="8.7109375" defaultRowHeight="12.75" zeroHeight="1" x14ac:dyDescent="0.2"/>
  <cols>
    <col min="1" max="1" width="45" customWidth="1"/>
    <col min="2" max="7" width="11.7109375" customWidth="1"/>
    <col min="8" max="8" width="11.7109375" style="132" customWidth="1"/>
    <col min="9" max="13" width="11.7109375" customWidth="1"/>
    <col min="14" max="14" width="11.7109375" style="132" customWidth="1"/>
    <col min="15" max="19" width="11.7109375" customWidth="1"/>
    <col min="20" max="20" width="11.7109375" style="132" customWidth="1"/>
    <col min="21" max="25" width="11.7109375" customWidth="1"/>
  </cols>
  <sheetData>
    <row r="1" spans="1:25" s="37" customFormat="1" ht="15" x14ac:dyDescent="0.25">
      <c r="A1" s="21" t="s">
        <v>175</v>
      </c>
      <c r="H1" s="127"/>
      <c r="J1" s="10" t="s">
        <v>151</v>
      </c>
      <c r="N1" s="127"/>
      <c r="T1" s="127"/>
    </row>
    <row r="2" spans="1:25" s="37" customFormat="1" ht="15" x14ac:dyDescent="0.25">
      <c r="A2" s="36"/>
      <c r="H2" s="127"/>
      <c r="N2" s="127"/>
      <c r="T2" s="127"/>
    </row>
    <row r="3" spans="1:25" s="37" customFormat="1" ht="15" x14ac:dyDescent="0.25">
      <c r="B3" s="2" t="str">
        <f>'Opex Modelling Results'!A4</f>
        <v xml:space="preserve">Cobb-Douglas SFA </v>
      </c>
      <c r="H3" s="133" t="str">
        <f>'Opex Modelling Results'!H4</f>
        <v xml:space="preserve">Cobb-Douglas LSE </v>
      </c>
      <c r="N3" s="133" t="str">
        <f>'Opex Modelling Results'!O4</f>
        <v>Translog LSE</v>
      </c>
      <c r="T3" s="133" t="str">
        <f>'Opex Modelling Results'!V4</f>
        <v xml:space="preserve">Translog SFA </v>
      </c>
    </row>
    <row r="4" spans="1:25" s="37" customFormat="1" ht="15" x14ac:dyDescent="0.25">
      <c r="A4" s="36"/>
      <c r="H4" s="127"/>
      <c r="N4" s="127"/>
      <c r="T4" s="127"/>
    </row>
    <row r="5" spans="1:25" s="37" customFormat="1" ht="15" x14ac:dyDescent="0.25">
      <c r="A5" s="36" t="s">
        <v>1</v>
      </c>
      <c r="B5" s="38" t="s">
        <v>31</v>
      </c>
      <c r="C5" s="36" t="s">
        <v>2</v>
      </c>
      <c r="D5" s="36"/>
      <c r="E5" s="2" t="s">
        <v>121</v>
      </c>
      <c r="H5" s="134" t="s">
        <v>31</v>
      </c>
      <c r="I5" s="36" t="s">
        <v>2</v>
      </c>
      <c r="J5" s="36"/>
      <c r="K5" s="2" t="s">
        <v>121</v>
      </c>
      <c r="N5" s="134" t="s">
        <v>31</v>
      </c>
      <c r="O5" s="36" t="s">
        <v>2</v>
      </c>
      <c r="P5" s="36"/>
      <c r="Q5" s="2" t="s">
        <v>121</v>
      </c>
      <c r="T5" s="134" t="s">
        <v>31</v>
      </c>
      <c r="U5" s="36" t="s">
        <v>2</v>
      </c>
      <c r="V5" s="36"/>
      <c r="W5" s="2" t="s">
        <v>121</v>
      </c>
    </row>
    <row r="6" spans="1:25" s="37" customFormat="1" ht="15" x14ac:dyDescent="0.25">
      <c r="A6" s="39" t="s">
        <v>10</v>
      </c>
      <c r="B6" s="40">
        <f>'Opex Modelling Results'!B10</f>
        <v>0.71199999999999997</v>
      </c>
      <c r="C6" s="41">
        <f>B6/SUM(B$6:B$8)</f>
        <v>0.71199999999999997</v>
      </c>
      <c r="D6" s="42"/>
      <c r="E6" s="10" t="s">
        <v>54</v>
      </c>
      <c r="F6" s="43">
        <f>'Efficiency Target Option'!K6</f>
        <v>0.14570803753722683</v>
      </c>
      <c r="H6" s="135">
        <f>'Opex Modelling Results'!I10</f>
        <v>0.68156810000000001</v>
      </c>
      <c r="I6" s="41">
        <f>H6/SUM(H$6:H$8)</f>
        <v>0.67648868471084855</v>
      </c>
      <c r="J6" s="42"/>
      <c r="K6" s="10" t="s">
        <v>54</v>
      </c>
      <c r="L6" s="43">
        <f>'Efficiency Target Option'!K25</f>
        <v>0.18583415787981072</v>
      </c>
      <c r="N6" s="135">
        <f>'Opex Modelling Results'!P10</f>
        <v>0.50699119999999998</v>
      </c>
      <c r="O6" s="41">
        <f>N6/SUM(N$6:N$8)</f>
        <v>0.51682308736714633</v>
      </c>
      <c r="P6" s="42"/>
      <c r="Q6" s="10" t="s">
        <v>54</v>
      </c>
      <c r="R6" s="43">
        <f>'Efficiency Target Option'!K44</f>
        <v>0.10756214364178029</v>
      </c>
      <c r="T6" s="135">
        <f>'Opex Modelling Results'!W10</f>
        <v>0.66</v>
      </c>
      <c r="U6" s="41">
        <f>T6/SUM(T$6:T$8)</f>
        <v>0.67346938775510201</v>
      </c>
      <c r="V6" s="42"/>
      <c r="W6" s="10" t="s">
        <v>54</v>
      </c>
      <c r="X6" s="43">
        <f>'Efficiency Target Option'!K63</f>
        <v>8.1011597335452934E-2</v>
      </c>
    </row>
    <row r="7" spans="1:25" s="37" customFormat="1" ht="15" x14ac:dyDescent="0.25">
      <c r="A7" s="39" t="s">
        <v>15</v>
      </c>
      <c r="B7" s="40">
        <f>'Opex Modelling Results'!B11</f>
        <v>0.16900000000000001</v>
      </c>
      <c r="C7" s="41">
        <f>B7/SUM(B$6:B$8)</f>
        <v>0.16900000000000001</v>
      </c>
      <c r="D7" s="42"/>
      <c r="E7" s="42"/>
      <c r="F7" s="42"/>
      <c r="G7" s="42"/>
      <c r="H7" s="135">
        <f>'Opex Modelling Results'!I11</f>
        <v>0.11878180000000001</v>
      </c>
      <c r="I7" s="41">
        <f>H7/SUM(H$6:H$8)</f>
        <v>0.11789657357729487</v>
      </c>
      <c r="J7" s="42"/>
      <c r="K7" s="42"/>
      <c r="L7" s="42"/>
      <c r="M7" s="42"/>
      <c r="N7" s="135">
        <f>'Opex Modelling Results'!P11</f>
        <v>0.13591639999999999</v>
      </c>
      <c r="O7" s="41">
        <f>N7/SUM(N$6:N$8)</f>
        <v>0.13855217501177142</v>
      </c>
      <c r="P7" s="42"/>
      <c r="Q7" s="42"/>
      <c r="R7" s="42"/>
      <c r="S7" s="42"/>
      <c r="T7" s="135">
        <f>'Opex Modelling Results'!W11</f>
        <v>0.17100000000000001</v>
      </c>
      <c r="U7" s="41">
        <f>T7/SUM(T$6:T$8)</f>
        <v>0.17448979591836736</v>
      </c>
      <c r="V7" s="42"/>
      <c r="W7" s="42"/>
      <c r="X7" s="42"/>
      <c r="Y7" s="42"/>
    </row>
    <row r="8" spans="1:25" s="37" customFormat="1" ht="15" x14ac:dyDescent="0.25">
      <c r="A8" s="39" t="s">
        <v>17</v>
      </c>
      <c r="B8" s="40">
        <f>'Opex Modelling Results'!B12</f>
        <v>0.11899999999999999</v>
      </c>
      <c r="C8" s="41">
        <f>B8/SUM(B$6:B$8)</f>
        <v>0.11899999999999999</v>
      </c>
      <c r="D8" s="42"/>
      <c r="E8" s="42"/>
      <c r="F8" s="42"/>
      <c r="G8" s="95"/>
      <c r="H8" s="135">
        <f>'Opex Modelling Results'!I12</f>
        <v>0.2071586</v>
      </c>
      <c r="I8" s="41">
        <f>H8/SUM(H$6:H$8)</f>
        <v>0.20561474171185651</v>
      </c>
      <c r="J8" s="42"/>
      <c r="K8" s="42"/>
      <c r="L8" s="42"/>
      <c r="M8" s="95"/>
      <c r="N8" s="135">
        <f>'Opex Modelling Results'!P12</f>
        <v>0.3380687</v>
      </c>
      <c r="O8" s="41">
        <f>N8/SUM(N$6:N$8)</f>
        <v>0.3446247376210822</v>
      </c>
      <c r="P8" s="42"/>
      <c r="Q8" s="42"/>
      <c r="R8" s="42"/>
      <c r="S8" s="95"/>
      <c r="T8" s="135">
        <f>'Opex Modelling Results'!W12</f>
        <v>0.14899999999999999</v>
      </c>
      <c r="U8" s="41">
        <f>T8/SUM(T$6:T$8)</f>
        <v>0.1520408163265306</v>
      </c>
      <c r="V8" s="42"/>
      <c r="W8" s="42"/>
      <c r="X8" s="42"/>
      <c r="Y8" s="95"/>
    </row>
    <row r="9" spans="1:25" s="37" customFormat="1" ht="12.75" customHeight="1" x14ac:dyDescent="0.25">
      <c r="A9" s="39" t="s">
        <v>20</v>
      </c>
      <c r="B9" s="40">
        <f>'Opex Modelling Results'!B13</f>
        <v>-0.111</v>
      </c>
      <c r="G9" s="44"/>
      <c r="H9" s="135">
        <f>'Opex Modelling Results'!I13</f>
        <v>-0.1948262</v>
      </c>
      <c r="M9" s="44"/>
      <c r="N9" s="135">
        <f>'Opex Modelling Results'!P19</f>
        <v>-0.15893309999999999</v>
      </c>
      <c r="S9" s="44"/>
      <c r="T9" s="135">
        <f>'Opex Modelling Results'!W19</f>
        <v>-6.3E-2</v>
      </c>
      <c r="Y9" s="44"/>
    </row>
    <row r="10" spans="1:25" s="37" customFormat="1" ht="12.75" customHeight="1" x14ac:dyDescent="0.25">
      <c r="A10" s="39" t="s">
        <v>0</v>
      </c>
      <c r="B10" s="40">
        <f>'Opex Modelling Results'!B14</f>
        <v>1.6E-2</v>
      </c>
      <c r="H10" s="135">
        <f>'Opex Modelling Results'!I14</f>
        <v>1.7580499999999999E-2</v>
      </c>
      <c r="N10" s="135">
        <f>'Opex Modelling Results'!P20</f>
        <v>1.8875300000000001E-2</v>
      </c>
      <c r="T10" s="135">
        <f>'Opex Modelling Results'!W20</f>
        <v>1.4999999999999999E-2</v>
      </c>
    </row>
    <row r="11" spans="1:25" s="37" customFormat="1" ht="15" x14ac:dyDescent="0.25">
      <c r="B11" s="42"/>
      <c r="G11" s="48"/>
      <c r="H11" s="136"/>
      <c r="M11" s="48"/>
      <c r="N11" s="136"/>
      <c r="S11" s="48"/>
      <c r="T11" s="136"/>
      <c r="Y11" s="48"/>
    </row>
    <row r="12" spans="1:25" s="37" customFormat="1" ht="15" x14ac:dyDescent="0.25">
      <c r="A12" s="21" t="s">
        <v>166</v>
      </c>
      <c r="C12" s="141" t="s">
        <v>174</v>
      </c>
      <c r="D12" s="141" t="s">
        <v>174</v>
      </c>
      <c r="E12" s="141" t="s">
        <v>174</v>
      </c>
      <c r="F12" s="141" t="s">
        <v>174</v>
      </c>
      <c r="H12" s="127"/>
      <c r="I12" s="141" t="s">
        <v>174</v>
      </c>
      <c r="J12" s="141" t="s">
        <v>174</v>
      </c>
      <c r="K12" s="141" t="s">
        <v>174</v>
      </c>
      <c r="L12" s="141" t="s">
        <v>174</v>
      </c>
      <c r="N12" s="127"/>
      <c r="O12" s="141" t="s">
        <v>174</v>
      </c>
      <c r="P12" s="141" t="s">
        <v>174</v>
      </c>
      <c r="Q12" s="141" t="s">
        <v>174</v>
      </c>
      <c r="R12" s="141" t="s">
        <v>174</v>
      </c>
      <c r="T12" s="127"/>
      <c r="U12" s="141" t="s">
        <v>174</v>
      </c>
      <c r="V12" s="141" t="s">
        <v>174</v>
      </c>
      <c r="W12" s="141" t="s">
        <v>174</v>
      </c>
      <c r="X12" s="141" t="s">
        <v>174</v>
      </c>
    </row>
    <row r="13" spans="1:25" s="37" customFormat="1" ht="15" x14ac:dyDescent="0.25">
      <c r="C13" s="45">
        <v>2016</v>
      </c>
      <c r="D13" s="54">
        <v>2017</v>
      </c>
      <c r="E13" s="45">
        <v>2018</v>
      </c>
      <c r="F13" s="54">
        <v>2019</v>
      </c>
      <c r="H13" s="127"/>
      <c r="I13" s="45">
        <v>2016</v>
      </c>
      <c r="J13" s="54">
        <v>2017</v>
      </c>
      <c r="K13" s="45">
        <v>2018</v>
      </c>
      <c r="L13" s="54">
        <v>2019</v>
      </c>
      <c r="N13" s="127"/>
      <c r="O13" s="45">
        <v>2016</v>
      </c>
      <c r="P13" s="54">
        <v>2017</v>
      </c>
      <c r="Q13" s="45">
        <v>2018</v>
      </c>
      <c r="R13" s="54">
        <v>2019</v>
      </c>
      <c r="T13" s="127"/>
      <c r="U13" s="45">
        <v>2016</v>
      </c>
      <c r="V13" s="54">
        <v>2017</v>
      </c>
      <c r="W13" s="45">
        <v>2018</v>
      </c>
      <c r="X13" s="54">
        <v>2019</v>
      </c>
    </row>
    <row r="14" spans="1:25" s="48" customFormat="1" ht="15" x14ac:dyDescent="0.25">
      <c r="A14" s="46" t="s">
        <v>10</v>
      </c>
      <c r="B14" s="46"/>
      <c r="C14" s="90">
        <f>'Cost Drivers'!N21</f>
        <v>2.4135305900469462E-2</v>
      </c>
      <c r="D14" s="90">
        <f>'Cost Drivers'!O21</f>
        <v>4.0396168222725772E-2</v>
      </c>
      <c r="E14" s="90">
        <f>'Cost Drivers'!P21</f>
        <v>7.1740290970325013E-2</v>
      </c>
      <c r="F14" s="90">
        <f>'Cost Drivers'!Q21</f>
        <v>8.9762469813442075E-2</v>
      </c>
      <c r="H14" s="137"/>
      <c r="I14" s="90">
        <f t="shared" ref="I14:L18" si="0">C14</f>
        <v>2.4135305900469462E-2</v>
      </c>
      <c r="J14" s="90">
        <f t="shared" si="0"/>
        <v>4.0396168222725772E-2</v>
      </c>
      <c r="K14" s="90">
        <f t="shared" si="0"/>
        <v>7.1740290970325013E-2</v>
      </c>
      <c r="L14" s="90">
        <f t="shared" si="0"/>
        <v>8.9762469813442075E-2</v>
      </c>
      <c r="N14" s="137"/>
      <c r="O14" s="90">
        <f t="shared" ref="O14:R18" si="1">I14</f>
        <v>2.4135305900469462E-2</v>
      </c>
      <c r="P14" s="90">
        <f t="shared" si="1"/>
        <v>4.0396168222725772E-2</v>
      </c>
      <c r="Q14" s="90">
        <f t="shared" si="1"/>
        <v>7.1740290970325013E-2</v>
      </c>
      <c r="R14" s="90">
        <f t="shared" si="1"/>
        <v>8.9762469813442075E-2</v>
      </c>
      <c r="T14" s="137"/>
      <c r="U14" s="90">
        <f>O14</f>
        <v>2.4135305900469462E-2</v>
      </c>
      <c r="V14" s="90">
        <f t="shared" ref="V14:X16" si="2">P14</f>
        <v>4.0396168222725772E-2</v>
      </c>
      <c r="W14" s="90">
        <f t="shared" si="2"/>
        <v>7.1740290970325013E-2</v>
      </c>
      <c r="X14" s="90">
        <f t="shared" si="2"/>
        <v>8.9762469813442075E-2</v>
      </c>
    </row>
    <row r="15" spans="1:25" s="48" customFormat="1" ht="12.75" customHeight="1" x14ac:dyDescent="0.25">
      <c r="A15" s="46" t="s">
        <v>15</v>
      </c>
      <c r="B15" s="46"/>
      <c r="C15" s="90">
        <f>'Cost Drivers'!N22</f>
        <v>1.9624374726853903E-2</v>
      </c>
      <c r="D15" s="90">
        <f>'Cost Drivers'!O22</f>
        <v>3.3922792572843523E-2</v>
      </c>
      <c r="E15" s="90">
        <f>'Cost Drivers'!P22</f>
        <v>5.0755427697410795E-2</v>
      </c>
      <c r="F15" s="90">
        <f>'Cost Drivers'!Q22</f>
        <v>6.7441152540624605E-2</v>
      </c>
      <c r="H15" s="137"/>
      <c r="I15" s="90">
        <f t="shared" si="0"/>
        <v>1.9624374726853903E-2</v>
      </c>
      <c r="J15" s="90">
        <f t="shared" si="0"/>
        <v>3.3922792572843523E-2</v>
      </c>
      <c r="K15" s="90">
        <f t="shared" si="0"/>
        <v>5.0755427697410795E-2</v>
      </c>
      <c r="L15" s="90">
        <f t="shared" si="0"/>
        <v>6.7441152540624605E-2</v>
      </c>
      <c r="N15" s="137"/>
      <c r="O15" s="90">
        <f t="shared" si="1"/>
        <v>1.9624374726853903E-2</v>
      </c>
      <c r="P15" s="90">
        <f t="shared" si="1"/>
        <v>3.3922792572843523E-2</v>
      </c>
      <c r="Q15" s="90">
        <f t="shared" si="1"/>
        <v>5.0755427697410795E-2</v>
      </c>
      <c r="R15" s="90">
        <f t="shared" si="1"/>
        <v>6.7441152540624605E-2</v>
      </c>
      <c r="T15" s="137"/>
      <c r="U15" s="90">
        <f>O15</f>
        <v>1.9624374726853903E-2</v>
      </c>
      <c r="V15" s="90">
        <f t="shared" si="2"/>
        <v>3.3922792572843523E-2</v>
      </c>
      <c r="W15" s="90">
        <f t="shared" si="2"/>
        <v>5.0755427697410795E-2</v>
      </c>
      <c r="X15" s="90">
        <f t="shared" si="2"/>
        <v>6.7441152540624605E-2</v>
      </c>
    </row>
    <row r="16" spans="1:25" s="48" customFormat="1" ht="13.5" customHeight="1" x14ac:dyDescent="0.25">
      <c r="A16" s="46" t="s">
        <v>17</v>
      </c>
      <c r="B16" s="46"/>
      <c r="C16" s="90">
        <f>'Cost Drivers'!N23</f>
        <v>-7.2609288521408638E-3</v>
      </c>
      <c r="D16" s="90">
        <f>'Cost Drivers'!O23</f>
        <v>3.5534272695176297E-2</v>
      </c>
      <c r="E16" s="90">
        <f>'Cost Drivers'!P23</f>
        <v>3.5534272695176297E-2</v>
      </c>
      <c r="F16" s="90">
        <f>'Cost Drivers'!Q23</f>
        <v>3.5534272695176297E-2</v>
      </c>
      <c r="H16" s="137"/>
      <c r="I16" s="90">
        <f t="shared" si="0"/>
        <v>-7.2609288521408638E-3</v>
      </c>
      <c r="J16" s="90">
        <f t="shared" si="0"/>
        <v>3.5534272695176297E-2</v>
      </c>
      <c r="K16" s="90">
        <f t="shared" si="0"/>
        <v>3.5534272695176297E-2</v>
      </c>
      <c r="L16" s="90">
        <f t="shared" si="0"/>
        <v>3.5534272695176297E-2</v>
      </c>
      <c r="N16" s="137"/>
      <c r="O16" s="90">
        <f t="shared" si="1"/>
        <v>-7.2609288521408638E-3</v>
      </c>
      <c r="P16" s="90">
        <f t="shared" si="1"/>
        <v>3.5534272695176297E-2</v>
      </c>
      <c r="Q16" s="90">
        <f t="shared" si="1"/>
        <v>3.5534272695176297E-2</v>
      </c>
      <c r="R16" s="90">
        <f t="shared" si="1"/>
        <v>3.5534272695176297E-2</v>
      </c>
      <c r="T16" s="137"/>
      <c r="U16" s="90">
        <f>O16</f>
        <v>-7.2609288521408638E-3</v>
      </c>
      <c r="V16" s="90">
        <f t="shared" si="2"/>
        <v>3.5534272695176297E-2</v>
      </c>
      <c r="W16" s="90">
        <f t="shared" si="2"/>
        <v>3.5534272695176297E-2</v>
      </c>
      <c r="X16" s="90">
        <f t="shared" si="2"/>
        <v>3.5534272695176297E-2</v>
      </c>
    </row>
    <row r="17" spans="1:24" s="49" customFormat="1" ht="15" x14ac:dyDescent="0.25">
      <c r="A17" s="49" t="s">
        <v>46</v>
      </c>
      <c r="C17" s="50">
        <f>$C6*C14+$C7*C15+$C8*C16</f>
        <v>1.9636806596567805E-2</v>
      </c>
      <c r="D17" s="50">
        <f>$C6*D14+$C7*D15+$C8*D16</f>
        <v>3.8723602170117284E-2</v>
      </c>
      <c r="E17" s="50">
        <f>$C6*E14+$C7*E15+$C8*E16</f>
        <v>6.3885332902459818E-2</v>
      </c>
      <c r="F17" s="50">
        <f>$C6*F14+$C7*F15+$C8*F16</f>
        <v>7.9537011737262298E-2</v>
      </c>
      <c r="H17" s="129"/>
      <c r="I17" s="149">
        <f>$I6*C14+$I7*C15+$I8*C16</f>
        <v>1.7147953872074396E-2</v>
      </c>
      <c r="J17" s="149">
        <f>$I6*D14+$I7*D15+$I8*D16</f>
        <v>3.8633302020998843E-2</v>
      </c>
      <c r="K17" s="149">
        <f>$I6*E14+$I7*E15+$I8*E16</f>
        <v>6.1821756397400951E-2</v>
      </c>
      <c r="L17" s="149">
        <f>$I6*F14+$I7*F15+$I8*F16</f>
        <v>7.5980746245273345E-2</v>
      </c>
      <c r="N17" s="129"/>
      <c r="O17" s="149">
        <f>$O6*C14+$O7*C15+$O8*C16</f>
        <v>1.2690387411128386E-2</v>
      </c>
      <c r="P17" s="149">
        <f>$O6*D14+$O7*D15+$O8*D16</f>
        <v>3.7823738476243499E-2</v>
      </c>
      <c r="Q17" s="149">
        <f>$O6*E14+$O7*E15+$O8*E16</f>
        <v>5.6355302973160867E-2</v>
      </c>
      <c r="R17" s="149">
        <f>$O6*F14+$O7*F15+$O8*F16</f>
        <v>6.7981424552618713E-2</v>
      </c>
      <c r="T17" s="129"/>
      <c r="U17" s="149">
        <f>$U6*I14+$U7*I15+$U8*I16</f>
        <v>1.8574685279217219E-2</v>
      </c>
      <c r="V17" s="149">
        <f t="shared" ref="V17:X17" si="3">$U6*J14+$U7*J15+$U8*J16</f>
        <v>3.8527423661771962E-2</v>
      </c>
      <c r="W17" s="149">
        <f t="shared" si="3"/>
        <v>6.2573853885972475E-2</v>
      </c>
      <c r="X17" s="149">
        <f t="shared" si="3"/>
        <v>7.7622728360101881E-2</v>
      </c>
    </row>
    <row r="18" spans="1:24" s="48" customFormat="1" ht="15" x14ac:dyDescent="0.25">
      <c r="A18" s="46" t="s">
        <v>20</v>
      </c>
      <c r="B18" s="46"/>
      <c r="C18" s="90">
        <f>'Cost Drivers'!N24</f>
        <v>4.1338080357364436E-2</v>
      </c>
      <c r="D18" s="90">
        <f>'Cost Drivers'!O24</f>
        <v>7.1099663711877301E-2</v>
      </c>
      <c r="E18" s="90">
        <f>'Cost Drivers'!P24</f>
        <v>0.10541974489677143</v>
      </c>
      <c r="F18" s="90">
        <f>'Cost Drivers'!Q24</f>
        <v>0.13762606256390711</v>
      </c>
      <c r="H18" s="137"/>
      <c r="I18" s="90">
        <f t="shared" si="0"/>
        <v>4.1338080357364436E-2</v>
      </c>
      <c r="J18" s="90">
        <f t="shared" si="0"/>
        <v>7.1099663711877301E-2</v>
      </c>
      <c r="K18" s="90">
        <f t="shared" si="0"/>
        <v>0.10541974489677143</v>
      </c>
      <c r="L18" s="90">
        <f t="shared" si="0"/>
        <v>0.13762606256390711</v>
      </c>
      <c r="N18" s="137"/>
      <c r="O18" s="90">
        <f t="shared" si="1"/>
        <v>4.1338080357364436E-2</v>
      </c>
      <c r="P18" s="90">
        <f t="shared" si="1"/>
        <v>7.1099663711877301E-2</v>
      </c>
      <c r="Q18" s="90">
        <f t="shared" si="1"/>
        <v>0.10541974489677143</v>
      </c>
      <c r="R18" s="90">
        <f t="shared" si="1"/>
        <v>0.13762606256390711</v>
      </c>
      <c r="T18" s="137"/>
      <c r="U18" s="90">
        <f>O18</f>
        <v>4.1338080357364436E-2</v>
      </c>
      <c r="V18" s="90">
        <f t="shared" ref="V18:X18" si="4">P18</f>
        <v>7.1099663711877301E-2</v>
      </c>
      <c r="W18" s="90">
        <f t="shared" si="4"/>
        <v>0.10541974489677143</v>
      </c>
      <c r="X18" s="90">
        <f t="shared" si="4"/>
        <v>0.13762606256390711</v>
      </c>
    </row>
    <row r="19" spans="1:24" s="48" customFormat="1" ht="15" x14ac:dyDescent="0.25">
      <c r="F19" s="52"/>
      <c r="H19" s="128"/>
      <c r="L19" s="52"/>
      <c r="N19" s="128"/>
      <c r="R19" s="52"/>
      <c r="T19" s="128"/>
      <c r="X19" s="52"/>
    </row>
    <row r="20" spans="1:24" s="48" customFormat="1" ht="15" x14ac:dyDescent="0.25">
      <c r="A20" s="49" t="s">
        <v>6</v>
      </c>
      <c r="B20" s="49"/>
      <c r="C20" s="49"/>
      <c r="D20" s="49"/>
      <c r="F20" s="53"/>
      <c r="H20" s="129"/>
      <c r="I20" s="49"/>
      <c r="J20" s="49"/>
      <c r="L20" s="53"/>
      <c r="N20" s="129"/>
      <c r="O20" s="49"/>
      <c r="P20" s="49"/>
      <c r="R20" s="53"/>
      <c r="T20" s="129"/>
      <c r="U20" s="49"/>
      <c r="V20" s="49"/>
      <c r="X20" s="53"/>
    </row>
    <row r="21" spans="1:24" s="48" customFormat="1" ht="15" x14ac:dyDescent="0.25">
      <c r="E21" s="54"/>
      <c r="H21" s="128"/>
      <c r="K21" s="54"/>
      <c r="N21" s="128"/>
      <c r="Q21" s="54"/>
      <c r="T21" s="128"/>
      <c r="W21" s="54"/>
    </row>
    <row r="22" spans="1:24" s="48" customFormat="1" ht="15" x14ac:dyDescent="0.25">
      <c r="A22" s="48" t="s">
        <v>3</v>
      </c>
      <c r="C22" s="55">
        <f>-B10*1.5</f>
        <v>-2.4E-2</v>
      </c>
      <c r="D22" s="55">
        <f>-B10*2.5</f>
        <v>-0.04</v>
      </c>
      <c r="E22" s="55">
        <f>-B10*3.5</f>
        <v>-5.6000000000000001E-2</v>
      </c>
      <c r="F22" s="55">
        <f>-B10*4.5</f>
        <v>-7.2000000000000008E-2</v>
      </c>
      <c r="H22" s="128"/>
      <c r="I22" s="55">
        <f>-H10*1.5</f>
        <v>-2.6370749999999998E-2</v>
      </c>
      <c r="J22" s="55">
        <f>-H10*2.5</f>
        <v>-4.3951249999999997E-2</v>
      </c>
      <c r="K22" s="55">
        <f>-H10*3.5</f>
        <v>-6.1531749999999996E-2</v>
      </c>
      <c r="L22" s="55">
        <f>-H10*4.5</f>
        <v>-7.9112249999999995E-2</v>
      </c>
      <c r="N22" s="128"/>
      <c r="O22" s="55">
        <f>-N10*1.5</f>
        <v>-2.8312950000000003E-2</v>
      </c>
      <c r="P22" s="55">
        <f>-N10*2.5</f>
        <v>-4.7188250000000001E-2</v>
      </c>
      <c r="Q22" s="55">
        <f>-N10*3.5</f>
        <v>-6.6063549999999999E-2</v>
      </c>
      <c r="R22" s="55">
        <f>-N10*4.5</f>
        <v>-8.493885000000001E-2</v>
      </c>
      <c r="T22" s="128"/>
      <c r="U22" s="55">
        <f>-T10*1.5</f>
        <v>-2.2499999999999999E-2</v>
      </c>
      <c r="V22" s="55">
        <f>-T10*2.5</f>
        <v>-3.7499999999999999E-2</v>
      </c>
      <c r="W22" s="55">
        <f>-T10*3.5</f>
        <v>-5.2499999999999998E-2</v>
      </c>
      <c r="X22" s="55">
        <f>-T10*4.5</f>
        <v>-6.7500000000000004E-2</v>
      </c>
    </row>
    <row r="23" spans="1:24" s="48" customFormat="1" ht="15" x14ac:dyDescent="0.25">
      <c r="A23" s="48" t="s">
        <v>4</v>
      </c>
      <c r="C23" s="55">
        <f>(1-B6-B7-B8)*C17</f>
        <v>5.4503087034051837E-19</v>
      </c>
      <c r="D23" s="55">
        <f>(1-B6-B7-B8)*D17</f>
        <v>1.0747958681422222E-18</v>
      </c>
      <c r="E23" s="55">
        <f>(1-B6-B7-B8)*E17</f>
        <v>1.7731741881038493E-18</v>
      </c>
      <c r="F23" s="55">
        <f>(1-B6-B7-B8)*F17</f>
        <v>2.2075955435147481E-18</v>
      </c>
      <c r="H23" s="128"/>
      <c r="I23" s="55">
        <f>(1-H6-H7-H8)*I17</f>
        <v>-1.2875541164847061E-4</v>
      </c>
      <c r="J23" s="55">
        <f>(1-H6-H7-H8)*J17</f>
        <v>-2.9007814822466988E-4</v>
      </c>
      <c r="K23" s="55">
        <f>(1-H6-H7-H8)*K17</f>
        <v>-4.6418865790988514E-4</v>
      </c>
      <c r="L23" s="55">
        <f>(1-H6-H7-H8)*L17</f>
        <v>-5.70501433182635E-4</v>
      </c>
      <c r="N23" s="128"/>
      <c r="O23" s="55">
        <f>(1-N6-N7-N8)*O17</f>
        <v>2.4141812299308349E-4</v>
      </c>
      <c r="P23" s="55">
        <f>(1-N6-N7-N8)*P17</f>
        <v>7.1954745365051468E-4</v>
      </c>
      <c r="Q23" s="55">
        <f>(1-N6-N7-N8)*Q17</f>
        <v>1.0720863771705221E-3</v>
      </c>
      <c r="R23" s="55">
        <f>(1-N6-N7-N8)*R17</f>
        <v>1.2932582262616548E-3</v>
      </c>
      <c r="T23" s="128"/>
      <c r="U23" s="55">
        <f>(1-T6-T7-T8)*U17</f>
        <v>3.7149370558434369E-4</v>
      </c>
      <c r="V23" s="55">
        <f>(1-T6-T7-T8)*V17</f>
        <v>7.7054847323543773E-4</v>
      </c>
      <c r="W23" s="55">
        <f>(1-T6-T7-T8)*W17</f>
        <v>1.2514770777194472E-3</v>
      </c>
      <c r="X23" s="55">
        <f>(1-T6-T7-T8)*X17</f>
        <v>1.5524545672020347E-3</v>
      </c>
    </row>
    <row r="24" spans="1:24" s="48" customFormat="1" ht="15" x14ac:dyDescent="0.25">
      <c r="A24" s="48" t="s">
        <v>5</v>
      </c>
      <c r="C24" s="55">
        <f>B9*C18</f>
        <v>-4.5885269196674523E-3</v>
      </c>
      <c r="D24" s="55">
        <f>B9*D18</f>
        <v>-7.8920626720183802E-3</v>
      </c>
      <c r="E24" s="55">
        <f>B9*E18</f>
        <v>-1.1701591683541629E-2</v>
      </c>
      <c r="F24" s="55">
        <f>B9*F18</f>
        <v>-1.5276492944593689E-2</v>
      </c>
      <c r="H24" s="128"/>
      <c r="I24" s="55">
        <f>H9*I18</f>
        <v>-8.0537411113199547E-3</v>
      </c>
      <c r="J24" s="55">
        <f>H9*J18</f>
        <v>-1.385207730226295E-2</v>
      </c>
      <c r="K24" s="55">
        <f>H9*K18</f>
        <v>-2.0538528303207369E-2</v>
      </c>
      <c r="L24" s="55">
        <f>H9*L18</f>
        <v>-2.6813162790288281E-2</v>
      </c>
      <c r="N24" s="128"/>
      <c r="O24" s="55">
        <f>N9*O18</f>
        <v>-6.5699892592450378E-3</v>
      </c>
      <c r="P24" s="55">
        <f>N9*P18</f>
        <v>-1.1300089962686166E-2</v>
      </c>
      <c r="Q24" s="55">
        <f>N9*Q18</f>
        <v>-1.6754686857653064E-2</v>
      </c>
      <c r="R24" s="55">
        <f>N9*R18</f>
        <v>-2.1873336764075706E-2</v>
      </c>
      <c r="T24" s="128"/>
      <c r="U24" s="55">
        <f>T9*U18</f>
        <v>-2.6042990625139593E-3</v>
      </c>
      <c r="V24" s="55">
        <f>T9*V18</f>
        <v>-4.4792788138482698E-3</v>
      </c>
      <c r="W24" s="55">
        <f>T9*W18</f>
        <v>-6.6414439284966003E-3</v>
      </c>
      <c r="X24" s="55">
        <f>T9*X18</f>
        <v>-8.6704419415261479E-3</v>
      </c>
    </row>
    <row r="25" spans="1:24" s="48" customFormat="1" ht="15" x14ac:dyDescent="0.25">
      <c r="E25" s="52"/>
      <c r="H25" s="128"/>
      <c r="K25" s="52"/>
      <c r="N25" s="128"/>
      <c r="Q25" s="52"/>
      <c r="T25" s="128"/>
      <c r="W25" s="52"/>
    </row>
    <row r="26" spans="1:24" s="48" customFormat="1" ht="15" x14ac:dyDescent="0.25">
      <c r="A26" s="49" t="s">
        <v>48</v>
      </c>
      <c r="B26" s="49"/>
      <c r="C26" s="56">
        <f>C22+C23-C24</f>
        <v>-1.9411473080332548E-2</v>
      </c>
      <c r="D26" s="56">
        <f>D22+D23-D24</f>
        <v>-3.2107937327981617E-2</v>
      </c>
      <c r="E26" s="56">
        <f>E22+E23-E24</f>
        <v>-4.4298408316458371E-2</v>
      </c>
      <c r="F26" s="56">
        <f>F22+F23-F24</f>
        <v>-5.6723507055406318E-2</v>
      </c>
      <c r="H26" s="129"/>
      <c r="I26" s="56">
        <f>I22+I23-I24</f>
        <v>-1.8445764300328515E-2</v>
      </c>
      <c r="J26" s="56">
        <f>J22+J23-J24</f>
        <v>-3.0389250845961717E-2</v>
      </c>
      <c r="K26" s="56">
        <f>K22+K23-K24</f>
        <v>-4.1457410354702511E-2</v>
      </c>
      <c r="L26" s="56">
        <f>L22+L23-L24</f>
        <v>-5.2869588642894344E-2</v>
      </c>
      <c r="N26" s="129"/>
      <c r="O26" s="56">
        <f>O22+O23-O24</f>
        <v>-2.1501542617761882E-2</v>
      </c>
      <c r="P26" s="56">
        <f>P22+P23-P24</f>
        <v>-3.5168612583663321E-2</v>
      </c>
      <c r="Q26" s="56">
        <f>Q22+Q23-Q24</f>
        <v>-4.8236776765176417E-2</v>
      </c>
      <c r="R26" s="56">
        <f>R22+R23-R24</f>
        <v>-6.1772255009662651E-2</v>
      </c>
      <c r="T26" s="129"/>
      <c r="U26" s="56">
        <f>U22+U23-U24</f>
        <v>-1.9524207231901694E-2</v>
      </c>
      <c r="V26" s="56">
        <f>V22+V23-V24</f>
        <v>-3.2250172712916289E-2</v>
      </c>
      <c r="W26" s="56">
        <f>W22+W23-W24</f>
        <v>-4.4607078993783945E-2</v>
      </c>
      <c r="X26" s="56">
        <f>X22+X23-X24</f>
        <v>-5.7277103491271825E-2</v>
      </c>
    </row>
    <row r="27" spans="1:24" s="48" customFormat="1" ht="15" x14ac:dyDescent="0.25">
      <c r="H27" s="128"/>
      <c r="N27" s="128"/>
      <c r="T27" s="128"/>
    </row>
    <row r="28" spans="1:24" s="57" customFormat="1" ht="15" x14ac:dyDescent="0.25">
      <c r="A28" s="57" t="s">
        <v>47</v>
      </c>
      <c r="C28" s="33">
        <v>0</v>
      </c>
      <c r="D28" s="33">
        <v>0</v>
      </c>
      <c r="E28" s="33">
        <v>0</v>
      </c>
      <c r="F28" s="33">
        <v>0</v>
      </c>
      <c r="H28" s="129"/>
      <c r="I28" s="33">
        <v>0</v>
      </c>
      <c r="J28" s="33">
        <v>0</v>
      </c>
      <c r="K28" s="33">
        <v>0</v>
      </c>
      <c r="L28" s="33">
        <v>0</v>
      </c>
      <c r="N28" s="129"/>
      <c r="O28" s="33">
        <v>0</v>
      </c>
      <c r="P28" s="33">
        <v>0</v>
      </c>
      <c r="Q28" s="33">
        <v>0</v>
      </c>
      <c r="R28" s="33">
        <v>0</v>
      </c>
      <c r="T28" s="129"/>
      <c r="U28" s="33">
        <v>0</v>
      </c>
      <c r="V28" s="33">
        <v>0</v>
      </c>
      <c r="W28" s="33">
        <v>0</v>
      </c>
      <c r="X28" s="33">
        <v>0</v>
      </c>
    </row>
    <row r="29" spans="1:24" s="48" customFormat="1" ht="15" x14ac:dyDescent="0.25">
      <c r="B29" s="58"/>
      <c r="C29" s="58"/>
      <c r="D29" s="58"/>
      <c r="H29" s="138"/>
      <c r="I29" s="58"/>
      <c r="J29" s="58"/>
      <c r="N29" s="138"/>
      <c r="O29" s="58"/>
      <c r="P29" s="58"/>
      <c r="T29" s="138"/>
      <c r="U29" s="58"/>
      <c r="V29" s="58"/>
    </row>
    <row r="30" spans="1:24" s="47" customFormat="1" ht="15" x14ac:dyDescent="0.25">
      <c r="A30" s="51" t="s">
        <v>49</v>
      </c>
      <c r="C30" s="59">
        <f>(1+C17)*(1+C28)*(1-C26)-1</f>
        <v>3.9429459019533208E-2</v>
      </c>
      <c r="D30" s="59">
        <f>(1+D17)*(1+D28)*(1-D26)-1</f>
        <v>7.2074874489690854E-2</v>
      </c>
      <c r="E30" s="59">
        <f>(1+E17)*(1+E28)*(1-E26)-1</f>
        <v>0.11101375978126415</v>
      </c>
      <c r="F30" s="59">
        <f>(1+F17)*(1+F28)*(1-F26)-1</f>
        <v>0.14077213703911329</v>
      </c>
      <c r="H30" s="130"/>
      <c r="I30" s="59">
        <f>(1+I17)*(1+I28)*(1-I26)-1</f>
        <v>3.5910025287760217E-2</v>
      </c>
      <c r="J30" s="59">
        <f>(1+J17)*(1+J28)*(1-J26)-1</f>
        <v>7.0196589973084533E-2</v>
      </c>
      <c r="K30" s="59">
        <f>(1+K17)*(1+K28)*(1-K26)-1</f>
        <v>0.1058421366759188</v>
      </c>
      <c r="L30" s="59">
        <f>(1+L17)*(1+L28)*(1-L26)-1</f>
        <v>0.13286740568693522</v>
      </c>
      <c r="N30" s="130"/>
      <c r="O30" s="59">
        <f>(1+O17)*(1+O28)*(1-O26)-1</f>
        <v>3.4464792934646438E-2</v>
      </c>
      <c r="P30" s="59">
        <f>(1+P17)*(1+P28)*(1-P26)-1</f>
        <v>7.4322559464843341E-2</v>
      </c>
      <c r="Q30" s="59">
        <f>(1+Q17)*(1+Q28)*(1-Q26)-1</f>
        <v>0.10731047790738746</v>
      </c>
      <c r="R30" s="59">
        <f>(1+R17)*(1+R28)*(1-R26)-1</f>
        <v>0.13395304545566589</v>
      </c>
      <c r="T30" s="130"/>
      <c r="U30" s="59">
        <f>(1+U17)*(1+U28)*(1-U26)-1</f>
        <v>3.8461548515777766E-2</v>
      </c>
      <c r="V30" s="59">
        <f>(1+V17)*(1+V28)*(1-V26)-1</f>
        <v>7.2020112441963935E-2</v>
      </c>
      <c r="W30" s="59">
        <f>(1+W17)*(1+W28)*(1-W26)-1</f>
        <v>0.10997216972299362</v>
      </c>
      <c r="X30" s="59">
        <f>(1+X17)*(1+X28)*(1-X26)-1</f>
        <v>0.13934583689693003</v>
      </c>
    </row>
    <row r="31" spans="1:24" s="48" customFormat="1" ht="15" x14ac:dyDescent="0.25">
      <c r="B31" s="145" t="s">
        <v>149</v>
      </c>
      <c r="C31" s="48" t="s">
        <v>120</v>
      </c>
      <c r="D31" s="48" t="s">
        <v>120</v>
      </c>
      <c r="E31" s="48" t="s">
        <v>120</v>
      </c>
      <c r="F31" s="48" t="s">
        <v>120</v>
      </c>
      <c r="H31" s="145" t="s">
        <v>149</v>
      </c>
      <c r="I31" s="48" t="s">
        <v>120</v>
      </c>
      <c r="J31" s="48" t="s">
        <v>120</v>
      </c>
      <c r="K31" s="48" t="s">
        <v>120</v>
      </c>
      <c r="L31" s="48" t="s">
        <v>120</v>
      </c>
      <c r="N31" s="145" t="s">
        <v>149</v>
      </c>
      <c r="O31" s="48" t="s">
        <v>120</v>
      </c>
      <c r="P31" s="48" t="s">
        <v>120</v>
      </c>
      <c r="Q31" s="48" t="s">
        <v>120</v>
      </c>
      <c r="R31" s="48" t="s">
        <v>120</v>
      </c>
      <c r="T31" s="145" t="s">
        <v>149</v>
      </c>
      <c r="U31" s="48" t="s">
        <v>120</v>
      </c>
      <c r="V31" s="48" t="s">
        <v>120</v>
      </c>
      <c r="W31" s="48" t="s">
        <v>120</v>
      </c>
      <c r="X31" s="48" t="s">
        <v>120</v>
      </c>
    </row>
    <row r="32" spans="1:24" s="61" customFormat="1" ht="15" x14ac:dyDescent="0.25">
      <c r="A32" s="151" t="s">
        <v>167</v>
      </c>
      <c r="B32" s="34">
        <f>AVERAGE('Cost Drivers'!$J$15:'Cost Drivers'!$O$15)*(1-F6)</f>
        <v>244723.07098128635</v>
      </c>
      <c r="C32" s="62">
        <f>$B32*(1+C30)</f>
        <v>254372.36927967731</v>
      </c>
      <c r="D32" s="62">
        <f>$B32*(1+D30)</f>
        <v>262361.45560699428</v>
      </c>
      <c r="E32" s="62">
        <f>$B32*(1+E30)</f>
        <v>271890.69919613615</v>
      </c>
      <c r="F32" s="62">
        <f>$B32*(1+F30)</f>
        <v>279173.26066609664</v>
      </c>
      <c r="H32" s="34">
        <f>AVERAGE('Cost Drivers'!$J$15:'Cost Drivers'!$O$15)*(1-L6)</f>
        <v>233228.42064126316</v>
      </c>
      <c r="I32" s="62">
        <f>$H32*(1+I30)</f>
        <v>241603.65912431531</v>
      </c>
      <c r="J32" s="62">
        <f t="shared" ref="J32:L32" si="5">$H32*(1+J30)</f>
        <v>249600.26045508799</v>
      </c>
      <c r="K32" s="62">
        <f t="shared" si="5"/>
        <v>257913.8150154844</v>
      </c>
      <c r="L32" s="62">
        <f t="shared" si="5"/>
        <v>264216.87582432904</v>
      </c>
      <c r="N32" s="34">
        <f>AVERAGE('Cost Drivers'!$J$15:'Cost Drivers'!$O$15)*(1-R6)</f>
        <v>255650.4596371603</v>
      </c>
      <c r="O32" s="62">
        <f>$N32*(1+O30)</f>
        <v>264461.39979220222</v>
      </c>
      <c r="P32" s="62">
        <f t="shared" ref="P32:R32" si="6">$N32*(1+P30)</f>
        <v>274651.05612575769</v>
      </c>
      <c r="Q32" s="62">
        <f t="shared" si="6"/>
        <v>283084.43263806723</v>
      </c>
      <c r="R32" s="62">
        <f t="shared" si="6"/>
        <v>289895.61727769871</v>
      </c>
      <c r="T32" s="34">
        <f>AVERAGE('Cost Drivers'!$J$15:'Cost Drivers'!$O$15)*(1-X6)</f>
        <v>263256.20979496819</v>
      </c>
      <c r="U32" s="62">
        <f>$T32*(1+U30)</f>
        <v>273381.4512800771</v>
      </c>
      <c r="V32" s="62">
        <f t="shared" ref="V32:X32" si="7">$T32*(1+V30)</f>
        <v>282215.95162544702</v>
      </c>
      <c r="W32" s="62">
        <f t="shared" si="7"/>
        <v>292207.06637917244</v>
      </c>
      <c r="X32" s="62">
        <f t="shared" si="7"/>
        <v>299939.86666716181</v>
      </c>
    </row>
    <row r="33" spans="1:25" s="61" customFormat="1" ht="15" x14ac:dyDescent="0.25">
      <c r="A33" s="60"/>
      <c r="H33" s="131"/>
      <c r="N33" s="131"/>
      <c r="T33" s="131"/>
    </row>
    <row r="34" spans="1:25" s="61" customFormat="1" ht="15" hidden="1" x14ac:dyDescent="0.25">
      <c r="A34" s="108"/>
      <c r="H34" s="131"/>
      <c r="N34" s="131"/>
      <c r="T34" s="131"/>
    </row>
    <row r="35" spans="1:25" s="61" customFormat="1" ht="15" hidden="1" x14ac:dyDescent="0.25">
      <c r="A35" s="63"/>
      <c r="B35" s="35"/>
      <c r="C35" s="35"/>
      <c r="D35" s="35"/>
      <c r="E35" s="35"/>
      <c r="F35" s="35"/>
      <c r="G35" s="63"/>
      <c r="H35" s="139"/>
      <c r="I35" s="35"/>
      <c r="J35" s="35"/>
      <c r="K35" s="35"/>
      <c r="L35" s="35"/>
      <c r="M35" s="63"/>
      <c r="N35" s="139"/>
      <c r="O35" s="35"/>
      <c r="P35" s="35"/>
      <c r="Q35" s="35"/>
      <c r="R35" s="35"/>
      <c r="S35" s="63"/>
      <c r="T35" s="139"/>
      <c r="U35" s="35"/>
      <c r="V35" s="35"/>
      <c r="W35" s="35"/>
      <c r="X35" s="35"/>
      <c r="Y35" s="63"/>
    </row>
    <row r="36" spans="1:25" s="48" customFormat="1" ht="15" hidden="1" x14ac:dyDescent="0.25">
      <c r="A36" s="64"/>
      <c r="C36" s="106"/>
      <c r="D36" s="106"/>
      <c r="E36" s="106"/>
      <c r="F36" s="106"/>
      <c r="H36" s="128"/>
      <c r="I36" s="106"/>
      <c r="J36" s="106"/>
      <c r="K36" s="106"/>
      <c r="L36" s="106"/>
      <c r="N36" s="128"/>
      <c r="O36" s="106"/>
      <c r="P36" s="106"/>
      <c r="Q36" s="106"/>
      <c r="R36" s="106"/>
      <c r="T36" s="128"/>
      <c r="U36" s="106"/>
      <c r="V36" s="106"/>
      <c r="W36" s="106"/>
      <c r="X36" s="106"/>
    </row>
    <row r="37" spans="1:25" s="48" customFormat="1" ht="15" hidden="1" x14ac:dyDescent="0.25">
      <c r="A37" s="64"/>
      <c r="C37" s="107"/>
      <c r="D37" s="107"/>
      <c r="E37" s="107"/>
      <c r="F37" s="107"/>
      <c r="H37" s="128"/>
      <c r="I37" s="107"/>
      <c r="J37" s="107"/>
      <c r="K37" s="107"/>
      <c r="L37" s="107"/>
      <c r="N37" s="128"/>
      <c r="O37" s="107"/>
      <c r="P37" s="107"/>
      <c r="Q37" s="107"/>
      <c r="R37" s="107"/>
      <c r="T37" s="128"/>
      <c r="U37" s="107"/>
      <c r="V37" s="107"/>
      <c r="W37" s="107"/>
      <c r="X37" s="107"/>
    </row>
    <row r="38" spans="1:25" s="48" customFormat="1" ht="15" hidden="1" x14ac:dyDescent="0.25">
      <c r="H38" s="128"/>
      <c r="N38" s="128"/>
      <c r="T38" s="128"/>
    </row>
    <row r="39" spans="1:25" s="37" customFormat="1" ht="15" hidden="1" x14ac:dyDescent="0.25">
      <c r="A39" s="108"/>
      <c r="H39" s="127"/>
      <c r="N39" s="127"/>
      <c r="T39" s="127"/>
    </row>
    <row r="40" spans="1:25" ht="15" hidden="1" x14ac:dyDescent="0.25">
      <c r="A40" s="63"/>
      <c r="C40" s="109"/>
      <c r="D40" s="109"/>
      <c r="E40" s="109"/>
      <c r="F40" s="109"/>
      <c r="I40" s="109"/>
      <c r="J40" s="109"/>
      <c r="K40" s="109"/>
      <c r="L40" s="109"/>
      <c r="O40" s="109"/>
      <c r="P40" s="109"/>
      <c r="Q40" s="109"/>
      <c r="R40" s="109"/>
      <c r="U40" s="109"/>
      <c r="V40" s="109"/>
      <c r="W40" s="109"/>
      <c r="X40" s="109"/>
    </row>
    <row r="41" spans="1:25" ht="15" hidden="1" x14ac:dyDescent="0.2">
      <c r="A41" s="64"/>
      <c r="C41" s="109"/>
      <c r="D41" s="109"/>
      <c r="E41" s="109"/>
      <c r="F41" s="109"/>
      <c r="I41" s="109"/>
      <c r="J41" s="109"/>
      <c r="K41" s="109"/>
      <c r="L41" s="109"/>
      <c r="O41" s="109"/>
      <c r="P41" s="109"/>
      <c r="Q41" s="109"/>
      <c r="R41" s="109"/>
      <c r="U41" s="109"/>
      <c r="V41" s="109"/>
      <c r="W41" s="109"/>
      <c r="X41" s="109"/>
    </row>
    <row r="42" spans="1:25" ht="15" hidden="1" x14ac:dyDescent="0.25">
      <c r="A42" s="64"/>
      <c r="C42" s="107"/>
      <c r="D42" s="107"/>
      <c r="E42" s="107"/>
      <c r="F42" s="107"/>
      <c r="I42" s="107"/>
      <c r="J42" s="107"/>
      <c r="K42" s="107"/>
      <c r="L42" s="107"/>
      <c r="O42" s="107"/>
      <c r="P42" s="107"/>
      <c r="Q42" s="107"/>
      <c r="R42" s="107"/>
      <c r="U42" s="107"/>
      <c r="V42" s="107"/>
      <c r="W42" s="107"/>
      <c r="X42" s="107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F13" sqref="F13"/>
    </sheetView>
  </sheetViews>
  <sheetFormatPr defaultRowHeight="12.75" zeroHeight="1" x14ac:dyDescent="0.2"/>
  <cols>
    <col min="1" max="1" width="21.7109375" customWidth="1"/>
    <col min="2" max="2" width="17.140625" customWidth="1"/>
  </cols>
  <sheetData>
    <row r="1" spans="1:2" x14ac:dyDescent="0.2"/>
    <row r="2" spans="1:2" ht="13.5" thickBot="1" x14ac:dyDescent="0.25">
      <c r="B2" s="158" t="s">
        <v>54</v>
      </c>
    </row>
    <row r="3" spans="1:2" ht="13.5" thickBot="1" x14ac:dyDescent="0.25">
      <c r="A3" s="152" t="s">
        <v>161</v>
      </c>
      <c r="B3" s="153">
        <v>12.942700744916745</v>
      </c>
    </row>
    <row r="4" spans="1:2" x14ac:dyDescent="0.2">
      <c r="A4" s="154" t="s">
        <v>162</v>
      </c>
      <c r="B4" s="155"/>
    </row>
    <row r="5" spans="1:2" ht="13.5" thickBot="1" x14ac:dyDescent="0.25">
      <c r="A5" s="156" t="s">
        <v>163</v>
      </c>
      <c r="B5" s="157"/>
    </row>
    <row r="6" spans="1:2" x14ac:dyDescent="0.2"/>
    <row r="7" spans="1:2" x14ac:dyDescent="0.2"/>
    <row r="8" spans="1:2" x14ac:dyDescent="0.2"/>
    <row r="9" spans="1:2" x14ac:dyDescent="0.2"/>
    <row r="10" spans="1:2" x14ac:dyDescent="0.2"/>
    <row r="11" spans="1:2" x14ac:dyDescent="0.2"/>
    <row r="12" spans="1:2" x14ac:dyDescent="0.2"/>
    <row r="13" spans="1:2" x14ac:dyDescent="0.2"/>
    <row r="14" spans="1:2" x14ac:dyDescent="0.2"/>
    <row r="15" spans="1:2" x14ac:dyDescent="0.2"/>
    <row r="16" spans="1: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5" zoomScaleNormal="85" workbookViewId="0">
      <selection activeCell="E14" sqref="E14"/>
    </sheetView>
  </sheetViews>
  <sheetFormatPr defaultColWidth="0" defaultRowHeight="12.75" zeroHeight="1" x14ac:dyDescent="0.2"/>
  <cols>
    <col min="1" max="1" width="45.42578125" style="161" customWidth="1"/>
    <col min="2" max="14" width="9.140625" style="161" customWidth="1"/>
    <col min="15" max="16384" width="9.140625" style="161" hidden="1"/>
  </cols>
  <sheetData>
    <row r="1" spans="1:5" x14ac:dyDescent="0.2">
      <c r="A1" s="181" t="s">
        <v>176</v>
      </c>
    </row>
    <row r="2" spans="1:5" x14ac:dyDescent="0.2">
      <c r="A2" s="181" t="s">
        <v>122</v>
      </c>
    </row>
    <row r="3" spans="1:5" x14ac:dyDescent="0.2">
      <c r="A3" s="181" t="s">
        <v>164</v>
      </c>
    </row>
    <row r="4" spans="1:5" x14ac:dyDescent="0.2">
      <c r="A4" s="181"/>
    </row>
    <row r="5" spans="1:5" x14ac:dyDescent="0.2">
      <c r="A5" s="181" t="s">
        <v>168</v>
      </c>
    </row>
    <row r="6" spans="1:5" x14ac:dyDescent="0.2"/>
    <row r="7" spans="1:5" x14ac:dyDescent="0.2">
      <c r="A7" s="182" t="str">
        <f>'Opex Forecasts'!A32</f>
        <v>Target opex ($'000RY2019)</v>
      </c>
      <c r="B7" s="181" t="s">
        <v>154</v>
      </c>
      <c r="C7" s="181" t="s">
        <v>155</v>
      </c>
      <c r="D7" s="181" t="s">
        <v>160</v>
      </c>
      <c r="E7" s="181" t="s">
        <v>156</v>
      </c>
    </row>
    <row r="8" spans="1:5" x14ac:dyDescent="0.2">
      <c r="A8" s="161" t="str">
        <f>'Opex Modelling Results'!A4</f>
        <v xml:space="preserve">Cobb-Douglas SFA </v>
      </c>
      <c r="B8" s="183">
        <f>'Opex Forecasts'!C32/1000</f>
        <v>254.37236927967732</v>
      </c>
      <c r="C8" s="183">
        <f>'Opex Forecasts'!D32/1000</f>
        <v>262.3614556069943</v>
      </c>
      <c r="D8" s="183">
        <f>'Opex Forecasts'!E32/1000</f>
        <v>271.89069919613615</v>
      </c>
      <c r="E8" s="183">
        <f>'Opex Forecasts'!F32/1000</f>
        <v>279.17326066609667</v>
      </c>
    </row>
    <row r="9" spans="1:5" x14ac:dyDescent="0.2">
      <c r="A9" s="161" t="str">
        <f>'Opex Modelling Results'!H4</f>
        <v xml:space="preserve">Cobb-Douglas LSE </v>
      </c>
      <c r="B9" s="183">
        <f>'Opex Forecasts'!I32/1000</f>
        <v>241.6036591243153</v>
      </c>
      <c r="C9" s="183">
        <f>'Opex Forecasts'!J32/1000</f>
        <v>249.60026045508801</v>
      </c>
      <c r="D9" s="183">
        <f>'Opex Forecasts'!K32/1000</f>
        <v>257.91381501548443</v>
      </c>
      <c r="E9" s="183">
        <f>'Opex Forecasts'!L32/1000</f>
        <v>264.21687582432901</v>
      </c>
    </row>
    <row r="10" spans="1:5" x14ac:dyDescent="0.2">
      <c r="A10" s="161" t="str">
        <f>'Opex Modelling Results'!O4</f>
        <v>Translog LSE</v>
      </c>
      <c r="B10" s="183">
        <f>'Opex Forecasts'!O32/1000</f>
        <v>264.4613997922022</v>
      </c>
      <c r="C10" s="183">
        <f>'Opex Forecasts'!P32/1000</f>
        <v>274.65105612575769</v>
      </c>
      <c r="D10" s="183">
        <f>'Opex Forecasts'!Q32/1000</f>
        <v>283.08443263806726</v>
      </c>
      <c r="E10" s="183">
        <f>'Opex Forecasts'!R32/1000</f>
        <v>289.8956172776987</v>
      </c>
    </row>
    <row r="11" spans="1:5" x14ac:dyDescent="0.2">
      <c r="A11" s="161" t="s">
        <v>150</v>
      </c>
      <c r="B11" s="183">
        <f>'Opex Forecasts'!U32/1000</f>
        <v>273.3814512800771</v>
      </c>
      <c r="C11" s="183">
        <f>'Opex Forecasts'!V32/1000</f>
        <v>282.21595162544702</v>
      </c>
      <c r="D11" s="183">
        <f>'Opex Forecasts'!W32/1000</f>
        <v>292.20706637917243</v>
      </c>
      <c r="E11" s="183">
        <f>'Opex Forecasts'!X32/1000</f>
        <v>299.93986666716182</v>
      </c>
    </row>
    <row r="12" spans="1:5" x14ac:dyDescent="0.2">
      <c r="A12" s="181"/>
    </row>
    <row r="13" spans="1:5" x14ac:dyDescent="0.2">
      <c r="A13" s="181"/>
    </row>
    <row r="14" spans="1:5" x14ac:dyDescent="0.2">
      <c r="A14" s="181" t="s">
        <v>177</v>
      </c>
      <c r="B14" s="183">
        <f>'Cost Drivers'!J25/1000</f>
        <v>314.76349551436584</v>
      </c>
      <c r="C14" s="183">
        <f>'Cost Drivers'!K25/1000</f>
        <v>288.512738676683</v>
      </c>
      <c r="D14" s="183">
        <f>'Cost Drivers'!L25/1000</f>
        <v>264.77683167807083</v>
      </c>
      <c r="E14" s="183">
        <f>'Cost Drivers'!M25/1000</f>
        <v>269.0824098333203</v>
      </c>
    </row>
    <row r="15" spans="1:5" x14ac:dyDescent="0.2">
      <c r="A15" s="181"/>
      <c r="B15" s="183"/>
      <c r="C15" s="183"/>
      <c r="D15" s="183"/>
      <c r="E15" s="183"/>
    </row>
    <row r="16" spans="1:5" x14ac:dyDescent="0.2">
      <c r="A16" s="181"/>
      <c r="B16" s="183"/>
      <c r="C16" s="183"/>
      <c r="D16" s="183"/>
      <c r="E16" s="183"/>
    </row>
    <row r="17" spans="1:5" x14ac:dyDescent="0.2">
      <c r="A17" s="181"/>
      <c r="B17" s="183"/>
      <c r="C17" s="183"/>
      <c r="D17" s="183"/>
      <c r="E17" s="183"/>
    </row>
    <row r="18" spans="1:5" x14ac:dyDescent="0.2">
      <c r="A18" s="181"/>
      <c r="B18" s="184"/>
      <c r="C18" s="184"/>
      <c r="D18" s="184"/>
      <c r="E18" s="184"/>
    </row>
    <row r="19" spans="1:5" x14ac:dyDescent="0.2">
      <c r="A19" s="181"/>
    </row>
    <row r="20" spans="1:5" x14ac:dyDescent="0.2">
      <c r="A20" s="181"/>
    </row>
    <row r="21" spans="1:5" x14ac:dyDescent="0.2">
      <c r="A21" s="181"/>
      <c r="B21" s="183"/>
      <c r="C21" s="183"/>
      <c r="D21" s="183"/>
      <c r="E21" s="183"/>
    </row>
    <row r="22" spans="1:5" x14ac:dyDescent="0.2">
      <c r="A22" s="181"/>
      <c r="B22" s="183"/>
      <c r="C22" s="183"/>
      <c r="D22" s="183"/>
      <c r="E22" s="183"/>
    </row>
    <row r="23" spans="1:5" x14ac:dyDescent="0.2">
      <c r="A23" s="181"/>
      <c r="B23" s="184"/>
      <c r="C23" s="184"/>
      <c r="D23" s="184"/>
      <c r="E23" s="184"/>
    </row>
    <row r="24" spans="1:5" x14ac:dyDescent="0.2"/>
    <row r="25" spans="1:5" x14ac:dyDescent="0.2"/>
    <row r="26" spans="1:5" x14ac:dyDescent="0.2"/>
    <row r="27" spans="1:5" x14ac:dyDescent="0.2"/>
    <row r="28" spans="1:5" x14ac:dyDescent="0.2"/>
    <row r="29" spans="1:5" x14ac:dyDescent="0.2"/>
    <row r="30" spans="1:5" x14ac:dyDescent="0.2"/>
    <row r="31" spans="1:5" x14ac:dyDescent="0.2"/>
    <row r="32" spans="1:5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</sheetData>
  <phoneticPr fontId="25" type="noConversion"/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OEFs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2018-10-27T06:43:13Z</dcterms:created>
  <dcterms:modified xsi:type="dcterms:W3CDTF">2018-10-27T06:43:41Z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