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0" yWindow="105" windowWidth="3195" windowHeight="960"/>
  </bookViews>
  <sheets>
    <sheet name="Vegetation management summary" sheetId="21" r:id="rId1"/>
    <sheet name="Divison of responsibility" sheetId="17" r:id="rId2"/>
    <sheet name="Bushfire obligations" sheetId="20" r:id="rId3"/>
    <sheet name="Customer weights" sheetId="16" r:id="rId4"/>
  </sheets>
  <externalReferences>
    <externalReference r:id="rId5"/>
    <externalReference r:id="rId6"/>
  </externalReferences>
  <definedNames>
    <definedName name="Capex_base">[1]Capex!$B$6</definedName>
    <definedName name="Capex_Base_Index">[1]Capex!$B$8</definedName>
    <definedName name="Capex_Years">[2]Capex!$C$1:$CZ$1</definedName>
  </definedNames>
  <calcPr calcId="162913"/>
</workbook>
</file>

<file path=xl/calcChain.xml><?xml version="1.0" encoding="utf-8"?>
<calcChain xmlns="http://schemas.openxmlformats.org/spreadsheetml/2006/main">
  <c r="C49" i="17" l="1"/>
  <c r="P35" i="20" l="1"/>
  <c r="P32" i="20"/>
  <c r="J25" i="20"/>
  <c r="J24" i="20"/>
  <c r="J22" i="20"/>
  <c r="J21" i="20"/>
  <c r="J16" i="20"/>
  <c r="J15" i="20"/>
  <c r="J14" i="20"/>
  <c r="J13" i="20"/>
  <c r="J12" i="20"/>
  <c r="D52" i="20" l="1"/>
  <c r="D50" i="20"/>
  <c r="D49" i="20"/>
  <c r="D48" i="20"/>
  <c r="D40" i="20"/>
  <c r="D41" i="20"/>
  <c r="D43" i="20"/>
  <c r="D39" i="20"/>
  <c r="F4" i="16" l="1"/>
  <c r="F5" i="16"/>
  <c r="F7" i="16"/>
  <c r="F3" i="16"/>
  <c r="F8" i="16" s="1"/>
  <c r="O40" i="20" l="1"/>
  <c r="O35" i="20"/>
  <c r="N35" i="20"/>
  <c r="N40" i="20"/>
  <c r="O32" i="20"/>
  <c r="N32" i="20"/>
  <c r="L31" i="17" l="1"/>
  <c r="K31" i="17"/>
  <c r="J31" i="17"/>
  <c r="I31" i="17"/>
  <c r="H31" i="17"/>
  <c r="G31" i="17"/>
  <c r="F31" i="17"/>
  <c r="E31" i="17"/>
  <c r="D31" i="17"/>
  <c r="L30" i="17"/>
  <c r="K30" i="17"/>
  <c r="J30" i="17"/>
  <c r="I30" i="17"/>
  <c r="H30" i="17"/>
  <c r="G30" i="17"/>
  <c r="F30" i="17"/>
  <c r="E30" i="17"/>
  <c r="D30" i="17"/>
  <c r="D22" i="17"/>
  <c r="E22" i="17"/>
  <c r="F22" i="17"/>
  <c r="G22" i="17"/>
  <c r="H22" i="17"/>
  <c r="I22" i="17"/>
  <c r="J22" i="17"/>
  <c r="K22" i="17"/>
  <c r="L22" i="17"/>
  <c r="D23" i="17"/>
  <c r="E23" i="17"/>
  <c r="F23" i="17"/>
  <c r="G23" i="17"/>
  <c r="H23" i="17"/>
  <c r="I23" i="17"/>
  <c r="J23" i="17"/>
  <c r="K23" i="17"/>
  <c r="L23" i="17"/>
  <c r="C22" i="17" l="1"/>
  <c r="C30" i="17"/>
  <c r="C35" i="17" s="1"/>
  <c r="D35" i="17"/>
  <c r="C23" i="17"/>
  <c r="C31" i="17"/>
  <c r="D36" i="17"/>
  <c r="C36" i="17" l="1"/>
  <c r="C50" i="20" l="1"/>
  <c r="C41" i="20"/>
  <c r="C33" i="20" l="1"/>
  <c r="C8" i="16" l="1"/>
  <c r="C30" i="20"/>
  <c r="C31" i="20"/>
  <c r="C34" i="20"/>
  <c r="C39" i="20" l="1"/>
  <c r="C48" i="20"/>
  <c r="C43" i="20"/>
  <c r="D44" i="20" s="1"/>
  <c r="H44" i="20" s="1"/>
  <c r="C52" i="20"/>
  <c r="C40" i="20"/>
  <c r="C49" i="20"/>
  <c r="D53" i="20" l="1"/>
  <c r="H53" i="20" s="1"/>
  <c r="B40" i="17"/>
  <c r="B39" i="17"/>
  <c r="E9" i="17"/>
  <c r="F9" i="17" s="1"/>
  <c r="C15" i="17" s="1"/>
  <c r="C40" i="17" l="1"/>
  <c r="C45" i="17" s="1"/>
  <c r="D3" i="17" s="1"/>
  <c r="B3" i="21" s="1"/>
  <c r="B5" i="21" s="1"/>
  <c r="C39" i="17"/>
  <c r="C44" i="17" s="1"/>
  <c r="D4" i="17" s="1"/>
  <c r="C3" i="21" s="1"/>
  <c r="D40" i="17"/>
  <c r="D45" i="17" s="1"/>
  <c r="E3" i="17" s="1"/>
  <c r="B8" i="21" s="1"/>
  <c r="B10" i="21" s="1"/>
  <c r="D39" i="17"/>
  <c r="D44" i="17" s="1"/>
  <c r="E4" i="17" s="1"/>
  <c r="C8" i="21" s="1"/>
  <c r="K7" i="20"/>
  <c r="L7" i="20"/>
  <c r="K4" i="20" l="1"/>
  <c r="C4" i="21" s="1"/>
  <c r="C5" i="21" s="1"/>
  <c r="L4" i="20"/>
  <c r="C9" i="21" s="1"/>
  <c r="C10" i="21" s="1"/>
  <c r="D7" i="16"/>
  <c r="D4" i="16" l="1"/>
  <c r="D6" i="16"/>
  <c r="D3" i="16"/>
  <c r="C35" i="20" s="1"/>
  <c r="H35" i="20" s="1"/>
  <c r="D5" i="16"/>
  <c r="J6" i="20" l="1"/>
  <c r="J3" i="20" s="1"/>
  <c r="D8" i="16"/>
  <c r="L3" i="20" l="1"/>
  <c r="K3" i="20"/>
</calcChain>
</file>

<file path=xl/comments1.xml><?xml version="1.0" encoding="utf-8"?>
<comments xmlns="http://schemas.openxmlformats.org/spreadsheetml/2006/main">
  <authors>
    <author>Author</author>
  </authors>
  <commentList>
    <comment ref="C12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2014 Electric Line Clearance regulations RIS (ESV)</t>
        </r>
      </text>
    </comment>
  </commentList>
</comments>
</file>

<file path=xl/sharedStrings.xml><?xml version="1.0" encoding="utf-8"?>
<sst xmlns="http://schemas.openxmlformats.org/spreadsheetml/2006/main" count="208" uniqueCount="86">
  <si>
    <t>Total</t>
  </si>
  <si>
    <t>CIT</t>
  </si>
  <si>
    <t>PCR</t>
  </si>
  <si>
    <t>UED</t>
  </si>
  <si>
    <t>Energex</t>
  </si>
  <si>
    <t>Ergon</t>
  </si>
  <si>
    <t>Ergon Energy</t>
  </si>
  <si>
    <t>Source:</t>
  </si>
  <si>
    <t>weight</t>
  </si>
  <si>
    <t>EBT RIN</t>
  </si>
  <si>
    <t>SAPN</t>
  </si>
  <si>
    <t>% of network councils responsible for (length)</t>
  </si>
  <si>
    <t>% costs councils responsible for</t>
  </si>
  <si>
    <t>% veg management undertaken by councils approximation</t>
  </si>
  <si>
    <t>% of network services opex that is vegetation management</t>
  </si>
  <si>
    <t>Adjustment</t>
  </si>
  <si>
    <t>2008/09</t>
  </si>
  <si>
    <t>2009/10</t>
  </si>
  <si>
    <t>2010/11</t>
  </si>
  <si>
    <t>2011/12</t>
  </si>
  <si>
    <t>2012/13</t>
  </si>
  <si>
    <t>$000 nominal</t>
  </si>
  <si>
    <t>2013/14</t>
  </si>
  <si>
    <t>OEF adjustment for division of responsibility for vegetation management</t>
  </si>
  <si>
    <t>AusNet Services' Network</t>
  </si>
  <si>
    <t>Network services opex</t>
  </si>
  <si>
    <t>unit</t>
  </si>
  <si>
    <t>dollars</t>
  </si>
  <si>
    <t>CitiPower</t>
  </si>
  <si>
    <t>000s</t>
  </si>
  <si>
    <t>$2010 Dec</t>
  </si>
  <si>
    <t>Powercor</t>
  </si>
  <si>
    <t>AusNet</t>
  </si>
  <si>
    <t>% of Opex related to new bushfire obligations</t>
  </si>
  <si>
    <t>OEF for bushfire risk</t>
  </si>
  <si>
    <t>Regulatory Determination forecasts for standard control services 2011-15</t>
  </si>
  <si>
    <t>New bushfire related regulatory obligations forecast 2011-15</t>
  </si>
  <si>
    <t>kms Council Responsibility</t>
  </si>
  <si>
    <t>kms MEC</t>
  </si>
  <si>
    <t>km total</t>
  </si>
  <si>
    <t>Percentage  Council responsibility</t>
  </si>
  <si>
    <t>Vegetation management opex</t>
  </si>
  <si>
    <t>Category analysis RIN responses</t>
  </si>
  <si>
    <t>Economic Benchmarking RIN responses</t>
  </si>
  <si>
    <t>% of network services opex incurred due to difference in coucil obligations</t>
  </si>
  <si>
    <t>AusNet services response to AER information request on division of responsibility for vegetation management. 16 February 2015</t>
  </si>
  <si>
    <t>AER, CitiPower Pty Distribution determination 2011-15, September 2012; AER, Final decision - appendices: Victorian electricity distribution network service providers -  Distribution determination 2011-2015, October 2011.</t>
  </si>
  <si>
    <t>AER, Final decision: Powercor cost pass through application of 13 December 2011 for costs arising from the Victorian Bushfire Royal Commission, May 2011; AER, Powercor Australia Ltd Distribution determination 2011-15, October 2012; AER, Final decision - appendices: Victorian electricity distribution network service providers -  Distribution determination 2011-2015, October 2011.</t>
  </si>
  <si>
    <t>AER, Final decision - appendices: Victorian electricity distribution network service providers -  Distribution determination 2011-2015, October 2011</t>
  </si>
  <si>
    <t>AER, Final Decision: SP AusNet cost pass through application of 31 July 2012 for costs arising from the Victorian Bushfire Royal Commission, 19 October 2012; AER, Final decision - appendices: Victorian electricity distribution network service providers -  Distribution determination 2011-2015, October 2011.</t>
  </si>
  <si>
    <t>2006-13</t>
  </si>
  <si>
    <t>2006-17</t>
  </si>
  <si>
    <t>2012-17</t>
  </si>
  <si>
    <t>Customer numbers in 2017</t>
  </si>
  <si>
    <t>AND</t>
  </si>
  <si>
    <t>* SFA CD only</t>
  </si>
  <si>
    <t>Weighted</t>
  </si>
  <si>
    <t>4 Models</t>
  </si>
  <si>
    <t>3 Models</t>
  </si>
  <si>
    <t>1 Model</t>
  </si>
  <si>
    <t>Cost disadvantage faced by comparison firms over the benchmarking period (2019 firms)</t>
  </si>
  <si>
    <t>Cost disadvantage faced by comparison firms over the benchmarking period (2015 firms)</t>
  </si>
  <si>
    <t>2014/15</t>
  </si>
  <si>
    <t>2015/16</t>
  </si>
  <si>
    <t>2016/17</t>
  </si>
  <si>
    <t>2017/18</t>
  </si>
  <si>
    <t>CPI</t>
  </si>
  <si>
    <t>CPI index</t>
  </si>
  <si>
    <t>Convert to June 2020</t>
  </si>
  <si>
    <t>$ real 2020</t>
  </si>
  <si>
    <t>Division of responsibility</t>
  </si>
  <si>
    <t>Bushfire risk</t>
  </si>
  <si>
    <t>2006-17 comparators</t>
  </si>
  <si>
    <t>2006-13 comparators</t>
  </si>
  <si>
    <t>2012-17 comparators</t>
  </si>
  <si>
    <t>Customer weights</t>
  </si>
  <si>
    <t>2006-13 comparator firms</t>
  </si>
  <si>
    <t>Weights</t>
  </si>
  <si>
    <t>Forecast cost disadvantage for comparison firms over 2011  to 2015 (2015 firms)</t>
  </si>
  <si>
    <t>Forecast cost disadvantage for comparison firms over 2011 to 2015 (2019 firms)</t>
  </si>
  <si>
    <t>Start period - benchmarking</t>
  </si>
  <si>
    <t>End period - benchmarking</t>
  </si>
  <si>
    <t>Number of years in benchmarking period</t>
  </si>
  <si>
    <t>Start period affected by bushfire obligations</t>
  </si>
  <si>
    <t>Number of years affected by increasing bushfire obligations within the benchmarking period</t>
  </si>
  <si>
    <t>Updated comparator firms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</si>
</sst>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6" formatCode="&quot;$&quot;#,##0;[Red]\-&quot;$&quot;#,##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0.0%"/>
    <numFmt numFmtId="165" formatCode="0.000000000000000%"/>
    <numFmt numFmtId="166" formatCode="_-&quot;$&quot;* #,##0_-;\-&quot;$&quot;* #,##0_-;_-&quot;$&quot;* &quot;-&quot;??_-;_-@_-"/>
    <numFmt numFmtId="167" formatCode="_-* #,##0_-;\-* #,##0_-;_-* &quot;-&quot;??_-;_-@_-"/>
    <numFmt numFmtId="168" formatCode="_-* #,##0.0_-;\-* #,##0.0_-;_-* &quot;-&quot;??_-;_-@_-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b/>
      <sz val="11"/>
      <color theme="0" tint="-0.499984740745262"/>
      <name val="Calibri"/>
      <family val="2"/>
      <scheme val="minor"/>
    </font>
    <font>
      <sz val="11"/>
      <name val="Calibri"/>
      <family val="2"/>
    </font>
    <font>
      <b/>
      <sz val="11"/>
      <color indexed="8"/>
      <name val="Calibri"/>
      <family val="2"/>
    </font>
    <font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9" fontId="5" fillId="0" borderId="0" applyFont="0" applyFill="0" applyBorder="0" applyAlignment="0" applyProtection="0"/>
    <xf numFmtId="0" fontId="5" fillId="0" borderId="0"/>
  </cellStyleXfs>
  <cellXfs count="78">
    <xf numFmtId="0" fontId="0" fillId="0" borderId="0" xfId="0"/>
    <xf numFmtId="0" fontId="0" fillId="0" borderId="0" xfId="0" applyFill="1"/>
    <xf numFmtId="10" fontId="0" fillId="0" borderId="0" xfId="1" applyNumberFormat="1" applyFont="1"/>
    <xf numFmtId="164" fontId="0" fillId="0" borderId="0" xfId="1" applyNumberFormat="1" applyFont="1" applyFill="1"/>
    <xf numFmtId="0" fontId="0" fillId="0" borderId="1" xfId="0" applyBorder="1"/>
    <xf numFmtId="0" fontId="0" fillId="0" borderId="4" xfId="0" applyBorder="1"/>
    <xf numFmtId="0" fontId="2" fillId="0" borderId="0" xfId="0" applyFont="1"/>
    <xf numFmtId="9" fontId="0" fillId="0" borderId="0" xfId="1" applyFont="1"/>
    <xf numFmtId="10" fontId="0" fillId="0" borderId="0" xfId="0" applyNumberFormat="1"/>
    <xf numFmtId="3" fontId="0" fillId="0" borderId="0" xfId="0" applyNumberFormat="1"/>
    <xf numFmtId="9" fontId="0" fillId="0" borderId="0" xfId="0" applyNumberFormat="1"/>
    <xf numFmtId="9" fontId="0" fillId="0" borderId="0" xfId="1" applyNumberFormat="1" applyFont="1"/>
    <xf numFmtId="165" fontId="0" fillId="0" borderId="0" xfId="0" applyNumberFormat="1"/>
    <xf numFmtId="166" fontId="0" fillId="0" borderId="0" xfId="4" applyNumberFormat="1" applyFont="1"/>
    <xf numFmtId="44" fontId="0" fillId="0" borderId="0" xfId="4" applyNumberFormat="1" applyFont="1"/>
    <xf numFmtId="0" fontId="0" fillId="0" borderId="2" xfId="0" applyBorder="1"/>
    <xf numFmtId="0" fontId="0" fillId="2" borderId="0" xfId="0" applyFill="1"/>
    <xf numFmtId="9" fontId="0" fillId="0" borderId="1" xfId="1" applyFont="1" applyBorder="1"/>
    <xf numFmtId="166" fontId="0" fillId="0" borderId="1" xfId="4" applyNumberFormat="1" applyFont="1" applyBorder="1"/>
    <xf numFmtId="0" fontId="0" fillId="0" borderId="0" xfId="0" applyAlignment="1">
      <alignment vertical="top" wrapText="1"/>
    </xf>
    <xf numFmtId="1" fontId="2" fillId="0" borderId="0" xfId="0" applyNumberFormat="1" applyFont="1"/>
    <xf numFmtId="3" fontId="2" fillId="0" borderId="0" xfId="0" applyNumberFormat="1" applyFont="1"/>
    <xf numFmtId="10" fontId="2" fillId="0" borderId="0" xfId="1" applyNumberFormat="1" applyFont="1"/>
    <xf numFmtId="0" fontId="0" fillId="0" borderId="0" xfId="0" applyFill="1" applyAlignment="1">
      <alignment vertical="top" wrapText="1"/>
    </xf>
    <xf numFmtId="10" fontId="0" fillId="0" borderId="0" xfId="1" applyNumberFormat="1" applyFont="1" applyFill="1"/>
    <xf numFmtId="1" fontId="2" fillId="0" borderId="0" xfId="0" applyNumberFormat="1" applyFont="1" applyFill="1"/>
    <xf numFmtId="6" fontId="0" fillId="0" borderId="1" xfId="0" applyNumberFormat="1" applyFill="1" applyBorder="1"/>
    <xf numFmtId="3" fontId="6" fillId="0" borderId="1" xfId="0" applyNumberFormat="1" applyFont="1" applyBorder="1"/>
    <xf numFmtId="0" fontId="0" fillId="0" borderId="1" xfId="0" applyBorder="1" applyAlignment="1">
      <alignment vertical="top" wrapText="1"/>
    </xf>
    <xf numFmtId="167" fontId="0" fillId="0" borderId="1" xfId="3" applyNumberFormat="1" applyFont="1" applyBorder="1"/>
    <xf numFmtId="3" fontId="0" fillId="0" borderId="1" xfId="0" applyNumberFormat="1" applyBorder="1"/>
    <xf numFmtId="10" fontId="0" fillId="0" borderId="1" xfId="1" applyNumberFormat="1" applyFont="1" applyBorder="1"/>
    <xf numFmtId="10" fontId="0" fillId="0" borderId="1" xfId="0" applyNumberFormat="1" applyBorder="1"/>
    <xf numFmtId="164" fontId="0" fillId="0" borderId="0" xfId="0" applyNumberFormat="1" applyFill="1" applyAlignment="1">
      <alignment horizontal="center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Fill="1" applyBorder="1"/>
    <xf numFmtId="0" fontId="2" fillId="0" borderId="1" xfId="0" applyFont="1" applyBorder="1"/>
    <xf numFmtId="0" fontId="0" fillId="0" borderId="0" xfId="0" applyFill="1" applyAlignment="1">
      <alignment horizontal="center"/>
    </xf>
    <xf numFmtId="0" fontId="2" fillId="0" borderId="7" xfId="0" applyFont="1" applyBorder="1"/>
    <xf numFmtId="0" fontId="0" fillId="0" borderId="8" xfId="0" applyBorder="1"/>
    <xf numFmtId="0" fontId="0" fillId="0" borderId="9" xfId="0" applyBorder="1"/>
    <xf numFmtId="0" fontId="0" fillId="0" borderId="7" xfId="0" applyBorder="1"/>
    <xf numFmtId="2" fontId="0" fillId="0" borderId="8" xfId="0" applyNumberFormat="1" applyBorder="1" applyAlignment="1">
      <alignment horizontal="center" vertical="center"/>
    </xf>
    <xf numFmtId="2" fontId="0" fillId="0" borderId="10" xfId="0" applyNumberFormat="1" applyBorder="1" applyAlignment="1">
      <alignment horizontal="center" vertical="center"/>
    </xf>
    <xf numFmtId="0" fontId="0" fillId="0" borderId="11" xfId="0" applyBorder="1"/>
    <xf numFmtId="2" fontId="0" fillId="0" borderId="12" xfId="0" applyNumberForma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0" fontId="7" fillId="0" borderId="0" xfId="0" applyFont="1"/>
    <xf numFmtId="10" fontId="7" fillId="0" borderId="0" xfId="0" applyNumberFormat="1" applyFont="1"/>
    <xf numFmtId="10" fontId="8" fillId="0" borderId="0" xfId="0" applyNumberFormat="1" applyFont="1"/>
    <xf numFmtId="10" fontId="2" fillId="0" borderId="1" xfId="1" applyNumberFormat="1" applyFont="1" applyFill="1" applyBorder="1"/>
    <xf numFmtId="0" fontId="0" fillId="0" borderId="12" xfId="0" applyFill="1" applyBorder="1"/>
    <xf numFmtId="10" fontId="0" fillId="0" borderId="3" xfId="0" applyNumberFormat="1" applyBorder="1"/>
    <xf numFmtId="10" fontId="0" fillId="0" borderId="5" xfId="0" applyNumberFormat="1" applyBorder="1"/>
    <xf numFmtId="10" fontId="0" fillId="0" borderId="0" xfId="0" applyNumberFormat="1" applyFill="1" applyAlignment="1">
      <alignment horizontal="center"/>
    </xf>
    <xf numFmtId="0" fontId="6" fillId="0" borderId="0" xfId="0" applyFont="1"/>
    <xf numFmtId="10" fontId="6" fillId="0" borderId="0" xfId="0" applyNumberFormat="1" applyFont="1"/>
    <xf numFmtId="0" fontId="6" fillId="0" borderId="0" xfId="0" applyFont="1" applyAlignment="1"/>
    <xf numFmtId="0" fontId="0" fillId="0" borderId="1" xfId="0" applyFill="1" applyBorder="1"/>
    <xf numFmtId="0" fontId="6" fillId="0" borderId="1" xfId="0" applyFont="1" applyFill="1" applyBorder="1"/>
    <xf numFmtId="10" fontId="6" fillId="0" borderId="1" xfId="1" applyNumberFormat="1" applyFont="1" applyBorder="1"/>
    <xf numFmtId="0" fontId="12" fillId="0" borderId="1" xfId="0" applyFont="1" applyBorder="1"/>
    <xf numFmtId="10" fontId="12" fillId="0" borderId="1" xfId="1" applyNumberFormat="1" applyFont="1" applyBorder="1"/>
    <xf numFmtId="167" fontId="10" fillId="0" borderId="0" xfId="0" applyNumberFormat="1" applyFont="1" applyFill="1" applyBorder="1" applyAlignment="1">
      <alignment horizontal="center"/>
    </xf>
    <xf numFmtId="3" fontId="9" fillId="0" borderId="0" xfId="0" applyNumberFormat="1" applyFont="1" applyFill="1" applyBorder="1" applyAlignment="1">
      <alignment horizontal="center" vertical="center"/>
    </xf>
    <xf numFmtId="0" fontId="11" fillId="0" borderId="0" xfId="0" applyFont="1" applyFill="1" applyBorder="1"/>
    <xf numFmtId="0" fontId="2" fillId="0" borderId="0" xfId="0" applyFont="1" applyFill="1" applyBorder="1"/>
    <xf numFmtId="0" fontId="7" fillId="0" borderId="0" xfId="0" applyFont="1" applyFill="1" applyBorder="1"/>
    <xf numFmtId="167" fontId="0" fillId="0" borderId="0" xfId="0" applyNumberFormat="1" applyFill="1" applyBorder="1"/>
    <xf numFmtId="164" fontId="0" fillId="0" borderId="0" xfId="1" applyNumberFormat="1" applyFont="1" applyFill="1" applyBorder="1"/>
    <xf numFmtId="167" fontId="2" fillId="0" borderId="0" xfId="0" applyNumberFormat="1" applyFont="1" applyFill="1" applyBorder="1"/>
    <xf numFmtId="10" fontId="2" fillId="0" borderId="0" xfId="1" applyNumberFormat="1" applyFont="1" applyFill="1" applyBorder="1"/>
    <xf numFmtId="168" fontId="0" fillId="0" borderId="0" xfId="3" applyNumberFormat="1" applyFont="1" applyFill="1" applyBorder="1"/>
    <xf numFmtId="164" fontId="0" fillId="0" borderId="0" xfId="0" applyNumberFormat="1" applyFill="1" applyBorder="1"/>
    <xf numFmtId="164" fontId="0" fillId="0" borderId="1" xfId="1" applyNumberFormat="1" applyFont="1" applyFill="1" applyBorder="1"/>
    <xf numFmtId="0" fontId="6" fillId="0" borderId="6" xfId="0" applyFont="1" applyBorder="1" applyAlignment="1">
      <alignment horizontal="center"/>
    </xf>
    <xf numFmtId="0" fontId="0" fillId="0" borderId="6" xfId="0" applyBorder="1" applyAlignment="1">
      <alignment horizontal="center"/>
    </xf>
  </cellXfs>
  <cellStyles count="9">
    <cellStyle name="Comma" xfId="3" builtinId="3"/>
    <cellStyle name="Comma 2" xfId="5"/>
    <cellStyle name="Currency" xfId="4" builtinId="4"/>
    <cellStyle name="Normal" xfId="0" builtinId="0"/>
    <cellStyle name="Normal 2" xfId="6"/>
    <cellStyle name="Normal 3" xfId="2"/>
    <cellStyle name="Normal 3 2" xfId="8"/>
    <cellStyle name="Percent" xfId="1" builtinId="5"/>
    <cellStyle name="Percent 2" xfId="7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ER\EBTRIN\00AER\EBT%20DNSP%20PPI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kcheu\Local%20Settings\Temporary%20Internet%20Files\Content.Outlook\SMGVD7WK\Database%20%20mockup%20-%20EBT%20RIN%20data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NSP charts"/>
      <sheetName val="Analysis"/>
      <sheetName val="RAB"/>
      <sheetName val="Opex"/>
      <sheetName val="Depreciation"/>
      <sheetName val="Capex"/>
      <sheetName val="Asset cost"/>
      <sheetName val="CPI"/>
      <sheetName val="Physical data"/>
      <sheetName val="Network characteristics charts"/>
      <sheetName val="Reliability"/>
      <sheetName val="Network size table"/>
    </sheetNames>
    <sheetDataSet>
      <sheetData sheetId="0"/>
      <sheetData sheetId="1"/>
      <sheetData sheetId="2">
        <row r="9">
          <cell r="C9">
            <v>1.2200232828870778</v>
          </cell>
        </row>
      </sheetData>
      <sheetData sheetId="3">
        <row r="9">
          <cell r="C9">
            <v>1.2200232828870778</v>
          </cell>
        </row>
      </sheetData>
      <sheetData sheetId="4">
        <row r="8">
          <cell r="C8">
            <v>1.2200232828870778</v>
          </cell>
        </row>
      </sheetData>
      <sheetData sheetId="5">
        <row r="6">
          <cell r="B6">
            <v>2013</v>
          </cell>
        </row>
        <row r="8">
          <cell r="B8">
            <v>104.8</v>
          </cell>
        </row>
      </sheetData>
      <sheetData sheetId="6">
        <row r="2">
          <cell r="B2">
            <v>6.0917429206479495E-2</v>
          </cell>
        </row>
      </sheetData>
      <sheetData sheetId="7">
        <row r="240">
          <cell r="B240">
            <v>83.8</v>
          </cell>
        </row>
      </sheetData>
      <sheetData sheetId="8">
        <row r="8">
          <cell r="F8">
            <v>3868.9319999999998</v>
          </cell>
        </row>
      </sheetData>
      <sheetData sheetId="9"/>
      <sheetData sheetId="10">
        <row r="6">
          <cell r="F6">
            <v>33.01</v>
          </cell>
        </row>
      </sheetData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Definitions"/>
      <sheetName val="Raw data"/>
      <sheetName val="Capex"/>
      <sheetName val="Capex data check"/>
      <sheetName val="Opex"/>
      <sheetName val="Opex data check"/>
      <sheetName val="Physical and other"/>
      <sheetName val="Physical and other data check"/>
      <sheetName val="Reliability"/>
      <sheetName val="Rel - Normalised - Unplanned"/>
      <sheetName val="Rel - Norm'd - Unplanned check"/>
      <sheetName val="Calculations and charts"/>
      <sheetName val="AS Testing Sheet"/>
      <sheetName val="Charts - Expenditure"/>
      <sheetName val="Charts - Reliability"/>
    </sheetNames>
    <sheetDataSet>
      <sheetData sheetId="0"/>
      <sheetData sheetId="1"/>
      <sheetData sheetId="2"/>
      <sheetData sheetId="3">
        <row r="1">
          <cell r="C1">
            <v>1999</v>
          </cell>
          <cell r="D1">
            <v>2000</v>
          </cell>
          <cell r="E1">
            <v>2001</v>
          </cell>
          <cell r="F1">
            <v>2002</v>
          </cell>
          <cell r="G1">
            <v>2003</v>
          </cell>
          <cell r="H1">
            <v>2004</v>
          </cell>
          <cell r="I1">
            <v>2005</v>
          </cell>
          <cell r="J1">
            <v>2006</v>
          </cell>
          <cell r="K1">
            <v>2007</v>
          </cell>
          <cell r="L1">
            <v>2008</v>
          </cell>
          <cell r="M1">
            <v>2009</v>
          </cell>
          <cell r="N1">
            <v>2010</v>
          </cell>
          <cell r="O1">
            <v>2011</v>
          </cell>
          <cell r="P1">
            <v>2012</v>
          </cell>
          <cell r="Q1">
            <v>2013</v>
          </cell>
          <cell r="R1">
            <v>2014</v>
          </cell>
          <cell r="S1">
            <v>2015</v>
          </cell>
          <cell r="T1">
            <v>2016</v>
          </cell>
          <cell r="U1">
            <v>2017</v>
          </cell>
          <cell r="V1">
            <v>2018</v>
          </cell>
          <cell r="W1">
            <v>2019</v>
          </cell>
          <cell r="X1">
            <v>2020</v>
          </cell>
          <cell r="Y1">
            <v>2021</v>
          </cell>
          <cell r="Z1">
            <v>2022</v>
          </cell>
          <cell r="AA1">
            <v>2023</v>
          </cell>
          <cell r="AB1">
            <v>2024</v>
          </cell>
          <cell r="AC1">
            <v>2025</v>
          </cell>
          <cell r="AD1">
            <v>2026</v>
          </cell>
          <cell r="AE1">
            <v>2027</v>
          </cell>
          <cell r="AF1">
            <v>2028</v>
          </cell>
          <cell r="AG1">
            <v>2029</v>
          </cell>
          <cell r="AH1">
            <v>2030</v>
          </cell>
          <cell r="AI1">
            <v>2031</v>
          </cell>
          <cell r="AJ1">
            <v>2032</v>
          </cell>
          <cell r="AK1">
            <v>2033</v>
          </cell>
          <cell r="AL1">
            <v>2034</v>
          </cell>
          <cell r="AM1">
            <v>2035</v>
          </cell>
          <cell r="AN1">
            <v>2036</v>
          </cell>
          <cell r="AO1">
            <v>2037</v>
          </cell>
          <cell r="AP1">
            <v>2038</v>
          </cell>
          <cell r="AQ1">
            <v>2039</v>
          </cell>
          <cell r="AR1">
            <v>2040</v>
          </cell>
          <cell r="AS1">
            <v>2041</v>
          </cell>
          <cell r="AT1">
            <v>2042</v>
          </cell>
          <cell r="AU1">
            <v>2043</v>
          </cell>
          <cell r="AV1">
            <v>2044</v>
          </cell>
          <cell r="AW1">
            <v>2045</v>
          </cell>
          <cell r="AX1">
            <v>2046</v>
          </cell>
          <cell r="AY1">
            <v>2047</v>
          </cell>
          <cell r="AZ1">
            <v>2048</v>
          </cell>
          <cell r="BA1">
            <v>2049</v>
          </cell>
          <cell r="BB1">
            <v>2050</v>
          </cell>
          <cell r="BC1">
            <v>2051</v>
          </cell>
          <cell r="BD1">
            <v>2052</v>
          </cell>
          <cell r="BE1">
            <v>2053</v>
          </cell>
          <cell r="BF1">
            <v>2054</v>
          </cell>
          <cell r="BG1">
            <v>2055</v>
          </cell>
          <cell r="BH1">
            <v>2056</v>
          </cell>
          <cell r="BI1">
            <v>2057</v>
          </cell>
          <cell r="BJ1">
            <v>2058</v>
          </cell>
          <cell r="BK1">
            <v>2059</v>
          </cell>
          <cell r="BL1">
            <v>2060</v>
          </cell>
          <cell r="BM1">
            <v>2061</v>
          </cell>
          <cell r="BN1">
            <v>2062</v>
          </cell>
          <cell r="BO1">
            <v>2063</v>
          </cell>
          <cell r="BP1">
            <v>2064</v>
          </cell>
          <cell r="BQ1">
            <v>2065</v>
          </cell>
          <cell r="BR1">
            <v>2066</v>
          </cell>
          <cell r="BS1">
            <v>2067</v>
          </cell>
          <cell r="BT1">
            <v>2068</v>
          </cell>
          <cell r="BU1">
            <v>2069</v>
          </cell>
          <cell r="BV1">
            <v>2070</v>
          </cell>
          <cell r="BW1">
            <v>2071</v>
          </cell>
          <cell r="BX1">
            <v>2072</v>
          </cell>
          <cell r="BY1">
            <v>2073</v>
          </cell>
          <cell r="BZ1">
            <v>2074</v>
          </cell>
          <cell r="CA1">
            <v>2075</v>
          </cell>
          <cell r="CB1">
            <v>2076</v>
          </cell>
          <cell r="CC1">
            <v>2077</v>
          </cell>
          <cell r="CD1">
            <v>2078</v>
          </cell>
          <cell r="CE1">
            <v>2079</v>
          </cell>
          <cell r="CF1">
            <v>2080</v>
          </cell>
          <cell r="CG1">
            <v>2081</v>
          </cell>
          <cell r="CH1">
            <v>2082</v>
          </cell>
          <cell r="CI1">
            <v>2083</v>
          </cell>
          <cell r="CJ1">
            <v>2084</v>
          </cell>
          <cell r="CK1">
            <v>2085</v>
          </cell>
          <cell r="CL1">
            <v>2086</v>
          </cell>
          <cell r="CM1">
            <v>2087</v>
          </cell>
          <cell r="CN1">
            <v>2088</v>
          </cell>
          <cell r="CO1">
            <v>2089</v>
          </cell>
          <cell r="CP1">
            <v>2090</v>
          </cell>
          <cell r="CQ1">
            <v>2091</v>
          </cell>
          <cell r="CR1">
            <v>2092</v>
          </cell>
          <cell r="CS1">
            <v>2093</v>
          </cell>
          <cell r="CT1">
            <v>2094</v>
          </cell>
          <cell r="CU1">
            <v>2095</v>
          </cell>
          <cell r="CV1">
            <v>2096</v>
          </cell>
          <cell r="CW1">
            <v>2097</v>
          </cell>
          <cell r="CX1">
            <v>2098</v>
          </cell>
          <cell r="CY1">
            <v>2099</v>
          </cell>
          <cell r="CZ1">
            <v>2100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2:C10"/>
  <sheetViews>
    <sheetView tabSelected="1" workbookViewId="0"/>
  </sheetViews>
  <sheetFormatPr defaultRowHeight="15" x14ac:dyDescent="0.25"/>
  <cols>
    <col min="1" max="1" width="23.42578125" bestFit="1" customWidth="1"/>
    <col min="3" max="3" width="10.42578125" customWidth="1"/>
    <col min="6" max="6" width="23.42578125" bestFit="1" customWidth="1"/>
  </cols>
  <sheetData>
    <row r="2" spans="1:3" x14ac:dyDescent="0.25">
      <c r="A2" s="39" t="s">
        <v>51</v>
      </c>
      <c r="B2" s="42" t="s">
        <v>4</v>
      </c>
      <c r="C2" s="45" t="s">
        <v>5</v>
      </c>
    </row>
    <row r="3" spans="1:3" x14ac:dyDescent="0.25">
      <c r="A3" s="40" t="s">
        <v>70</v>
      </c>
      <c r="B3" s="43">
        <f>'Divison of responsibility'!D3*100</f>
        <v>2.70606070425774</v>
      </c>
      <c r="C3" s="46">
        <f>'Divison of responsibility'!D4*100</f>
        <v>2.7943004151659734</v>
      </c>
    </row>
    <row r="4" spans="1:3" x14ac:dyDescent="0.25">
      <c r="A4" s="40" t="s">
        <v>71</v>
      </c>
      <c r="B4" s="43">
        <v>0</v>
      </c>
      <c r="C4" s="46">
        <f>-'Bushfire obligations'!K4*100</f>
        <v>-3.3569942666677579</v>
      </c>
    </row>
    <row r="5" spans="1:3" x14ac:dyDescent="0.25">
      <c r="A5" s="41" t="s">
        <v>0</v>
      </c>
      <c r="B5" s="44">
        <f>SUM(B3:B4)</f>
        <v>2.70606070425774</v>
      </c>
      <c r="C5" s="47">
        <f>SUM(C3:C4)</f>
        <v>-0.56269385150178453</v>
      </c>
    </row>
    <row r="7" spans="1:3" x14ac:dyDescent="0.25">
      <c r="A7" s="39" t="s">
        <v>52</v>
      </c>
      <c r="B7" s="42" t="s">
        <v>4</v>
      </c>
      <c r="C7" s="45" t="s">
        <v>5</v>
      </c>
    </row>
    <row r="8" spans="1:3" x14ac:dyDescent="0.25">
      <c r="A8" s="40" t="s">
        <v>70</v>
      </c>
      <c r="B8" s="43">
        <f>'Divison of responsibility'!E3*100</f>
        <v>2.5779433217431702</v>
      </c>
      <c r="C8" s="46">
        <f>'Divison of responsibility'!E4*100</f>
        <v>2.5590566915980606</v>
      </c>
    </row>
    <row r="9" spans="1:3" x14ac:dyDescent="0.25">
      <c r="A9" s="40" t="s">
        <v>71</v>
      </c>
      <c r="B9" s="43">
        <v>0</v>
      </c>
      <c r="C9" s="46">
        <f>-'Bushfire obligations'!L4*100</f>
        <v>-5.7548473142875842</v>
      </c>
    </row>
    <row r="10" spans="1:3" x14ac:dyDescent="0.25">
      <c r="A10" s="41" t="s">
        <v>0</v>
      </c>
      <c r="B10" s="44">
        <f>SUM(B8:B9)</f>
        <v>2.5779433217431702</v>
      </c>
      <c r="C10" s="47">
        <f>SUM(C8:C9)</f>
        <v>-3.1957906226895236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9"/>
  </sheetPr>
  <dimension ref="A1:O49"/>
  <sheetViews>
    <sheetView topLeftCell="A18" workbookViewId="0">
      <selection activeCell="C48" sqref="C48"/>
    </sheetView>
  </sheetViews>
  <sheetFormatPr defaultRowHeight="15" x14ac:dyDescent="0.25"/>
  <cols>
    <col min="1" max="1" width="15.7109375" customWidth="1"/>
    <col min="2" max="2" width="23.28515625" customWidth="1"/>
    <col min="3" max="3" width="17.5703125" customWidth="1"/>
    <col min="4" max="5" width="12.140625" bestFit="1" customWidth="1"/>
    <col min="6" max="6" width="12.42578125" customWidth="1"/>
    <col min="7" max="12" width="12.140625" bestFit="1" customWidth="1"/>
    <col min="13" max="13" width="15.7109375" customWidth="1"/>
  </cols>
  <sheetData>
    <row r="1" spans="1:15" s="16" customFormat="1" x14ac:dyDescent="0.25">
      <c r="A1" s="16" t="s">
        <v>23</v>
      </c>
    </row>
    <row r="2" spans="1:15" ht="15.75" thickBot="1" x14ac:dyDescent="0.3">
      <c r="D2" s="38" t="s">
        <v>51</v>
      </c>
      <c r="E2" s="38" t="s">
        <v>52</v>
      </c>
    </row>
    <row r="3" spans="1:15" x14ac:dyDescent="0.25">
      <c r="C3" s="15" t="s">
        <v>4</v>
      </c>
      <c r="D3" s="53">
        <f>C45</f>
        <v>2.70606070425774E-2</v>
      </c>
      <c r="E3" s="53">
        <f>D45</f>
        <v>2.5779433217431702E-2</v>
      </c>
    </row>
    <row r="4" spans="1:15" ht="15.75" thickBot="1" x14ac:dyDescent="0.3">
      <c r="C4" s="5" t="s">
        <v>6</v>
      </c>
      <c r="D4" s="54">
        <f>C44</f>
        <v>2.7943004151659734E-2</v>
      </c>
      <c r="E4" s="54">
        <f>D44</f>
        <v>2.5590566915980606E-2</v>
      </c>
    </row>
    <row r="6" spans="1:15" s="16" customFormat="1" x14ac:dyDescent="0.25">
      <c r="A6" s="16" t="s">
        <v>11</v>
      </c>
    </row>
    <row r="8" spans="1:15" x14ac:dyDescent="0.25">
      <c r="B8" s="4"/>
      <c r="C8" s="4" t="s">
        <v>37</v>
      </c>
      <c r="D8" s="4" t="s">
        <v>38</v>
      </c>
      <c r="E8" s="4" t="s">
        <v>39</v>
      </c>
      <c r="F8" s="4" t="s">
        <v>40</v>
      </c>
    </row>
    <row r="9" spans="1:15" x14ac:dyDescent="0.25">
      <c r="B9" s="4" t="s">
        <v>24</v>
      </c>
      <c r="C9" s="4">
        <v>4408</v>
      </c>
      <c r="D9" s="4">
        <v>36339</v>
      </c>
      <c r="E9" s="4">
        <f>D9</f>
        <v>36339</v>
      </c>
      <c r="F9" s="17">
        <f t="shared" ref="F9" si="0">C9/E9</f>
        <v>0.12130218222845979</v>
      </c>
      <c r="N9" t="s">
        <v>7</v>
      </c>
      <c r="O9" t="s">
        <v>45</v>
      </c>
    </row>
    <row r="11" spans="1:15" s="16" customFormat="1" x14ac:dyDescent="0.25">
      <c r="A11" s="16" t="s">
        <v>12</v>
      </c>
    </row>
    <row r="12" spans="1:15" x14ac:dyDescent="0.25">
      <c r="C12" s="10">
        <v>0.24</v>
      </c>
      <c r="N12" t="s">
        <v>7</v>
      </c>
      <c r="O12" t="s">
        <v>45</v>
      </c>
    </row>
    <row r="14" spans="1:15" s="16" customFormat="1" x14ac:dyDescent="0.25">
      <c r="A14" s="16" t="s">
        <v>13</v>
      </c>
    </row>
    <row r="15" spans="1:15" x14ac:dyDescent="0.25">
      <c r="C15" s="7">
        <f>(F9+C12)/2</f>
        <v>0.18065109111422989</v>
      </c>
      <c r="M15" s="7"/>
    </row>
    <row r="17" spans="1:15" s="16" customFormat="1" x14ac:dyDescent="0.25">
      <c r="A17" s="16" t="s">
        <v>25</v>
      </c>
    </row>
    <row r="18" spans="1:15" x14ac:dyDescent="0.25">
      <c r="C18" s="4" t="s">
        <v>16</v>
      </c>
      <c r="D18" s="4" t="s">
        <v>17</v>
      </c>
      <c r="E18" s="4" t="s">
        <v>18</v>
      </c>
      <c r="F18" s="4" t="s">
        <v>19</v>
      </c>
      <c r="G18" s="4" t="s">
        <v>20</v>
      </c>
      <c r="H18" s="4" t="s">
        <v>22</v>
      </c>
      <c r="I18" s="4" t="s">
        <v>62</v>
      </c>
      <c r="J18" s="4" t="s">
        <v>63</v>
      </c>
      <c r="K18" s="4" t="s">
        <v>64</v>
      </c>
      <c r="L18" s="4" t="s">
        <v>65</v>
      </c>
    </row>
    <row r="19" spans="1:15" x14ac:dyDescent="0.25">
      <c r="A19" s="4" t="s">
        <v>21</v>
      </c>
      <c r="B19" s="4" t="s">
        <v>5</v>
      </c>
      <c r="C19" s="18">
        <v>270466.59799000004</v>
      </c>
      <c r="D19" s="18">
        <v>270621.21470000001</v>
      </c>
      <c r="E19" s="18">
        <v>345122.06182</v>
      </c>
      <c r="F19" s="18">
        <v>363976.48437000008</v>
      </c>
      <c r="G19" s="18">
        <v>298481.04830000014</v>
      </c>
      <c r="H19" s="18">
        <v>308046.36037000001</v>
      </c>
      <c r="I19" s="18">
        <v>362830.15773000004</v>
      </c>
      <c r="J19" s="18">
        <v>371607.978</v>
      </c>
      <c r="K19" s="18">
        <v>341013.31</v>
      </c>
      <c r="L19" s="18">
        <v>357962.68099999998</v>
      </c>
      <c r="M19" s="13"/>
      <c r="N19" t="s">
        <v>7</v>
      </c>
      <c r="O19" t="s">
        <v>43</v>
      </c>
    </row>
    <row r="20" spans="1:15" x14ac:dyDescent="0.25">
      <c r="A20" s="4" t="s">
        <v>21</v>
      </c>
      <c r="B20" s="4" t="s">
        <v>4</v>
      </c>
      <c r="C20" s="18">
        <v>269392.65438000002</v>
      </c>
      <c r="D20" s="18">
        <v>278759.46135</v>
      </c>
      <c r="E20" s="18">
        <v>317627.73702</v>
      </c>
      <c r="F20" s="18">
        <v>350958.66492000007</v>
      </c>
      <c r="G20" s="18">
        <v>387877.9989499998</v>
      </c>
      <c r="H20" s="18">
        <v>365738.55767000001</v>
      </c>
      <c r="I20" s="18">
        <v>381461.5461299998</v>
      </c>
      <c r="J20" s="18">
        <v>344893.63842298696</v>
      </c>
      <c r="K20" s="18">
        <v>353346.31027999998</v>
      </c>
      <c r="L20" s="18">
        <v>362234.78839999996</v>
      </c>
      <c r="M20" s="13"/>
      <c r="N20" t="s">
        <v>7</v>
      </c>
      <c r="O20" t="s">
        <v>43</v>
      </c>
    </row>
    <row r="22" spans="1:15" x14ac:dyDescent="0.25">
      <c r="A22" s="4" t="s">
        <v>69</v>
      </c>
      <c r="B22" s="4" t="s">
        <v>5</v>
      </c>
      <c r="C22" s="18">
        <f>C19*C$49</f>
        <v>335270.12623505673</v>
      </c>
      <c r="D22" s="18">
        <f t="shared" ref="D22:L22" si="1">D19*D$49</f>
        <v>329662.82590188977</v>
      </c>
      <c r="E22" s="18">
        <f t="shared" si="1"/>
        <v>413150.02068267477</v>
      </c>
      <c r="F22" s="18">
        <f t="shared" si="1"/>
        <v>425622.20812188601</v>
      </c>
      <c r="G22" s="18">
        <f t="shared" si="1"/>
        <v>342868.03204326873</v>
      </c>
      <c r="H22" s="18">
        <f t="shared" si="1"/>
        <v>344544.39687627583</v>
      </c>
      <c r="I22" s="18">
        <f t="shared" si="1"/>
        <v>396848.56345077022</v>
      </c>
      <c r="J22" s="18">
        <f t="shared" si="1"/>
        <v>401365.03080956585</v>
      </c>
      <c r="K22" s="18">
        <f t="shared" si="1"/>
        <v>362957.90058155014</v>
      </c>
      <c r="L22" s="18">
        <f t="shared" si="1"/>
        <v>373506.67456850584</v>
      </c>
      <c r="M22" s="14"/>
    </row>
    <row r="23" spans="1:15" x14ac:dyDescent="0.25">
      <c r="A23" s="4" t="s">
        <v>69</v>
      </c>
      <c r="B23" s="4" t="s">
        <v>4</v>
      </c>
      <c r="C23" s="18">
        <f>C20*C$49</f>
        <v>333938.866802765</v>
      </c>
      <c r="D23" s="18">
        <f t="shared" ref="D23:L23" si="2">D20*D$49</f>
        <v>339576.59926034475</v>
      </c>
      <c r="E23" s="18">
        <f t="shared" si="2"/>
        <v>380236.21389827778</v>
      </c>
      <c r="F23" s="18">
        <f t="shared" si="2"/>
        <v>410399.5954060363</v>
      </c>
      <c r="G23" s="18">
        <f t="shared" si="2"/>
        <v>445559.16340524127</v>
      </c>
      <c r="H23" s="18">
        <f t="shared" si="2"/>
        <v>409072.09750977904</v>
      </c>
      <c r="I23" s="18">
        <f t="shared" si="2"/>
        <v>417226.80259134178</v>
      </c>
      <c r="J23" s="18">
        <f t="shared" si="2"/>
        <v>372511.50138564955</v>
      </c>
      <c r="K23" s="18">
        <f t="shared" si="2"/>
        <v>376084.54332021764</v>
      </c>
      <c r="L23" s="18">
        <f t="shared" si="2"/>
        <v>377964.29183719953</v>
      </c>
      <c r="M23" s="14"/>
    </row>
    <row r="24" spans="1:15" x14ac:dyDescent="0.25"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</row>
    <row r="25" spans="1:15" s="16" customFormat="1" x14ac:dyDescent="0.25">
      <c r="A25" s="16" t="s">
        <v>41</v>
      </c>
    </row>
    <row r="26" spans="1:15" x14ac:dyDescent="0.25">
      <c r="C26" s="4" t="s">
        <v>16</v>
      </c>
      <c r="D26" s="4" t="s">
        <v>17</v>
      </c>
      <c r="E26" s="4" t="s">
        <v>18</v>
      </c>
      <c r="F26" s="4" t="s">
        <v>19</v>
      </c>
      <c r="G26" s="4" t="s">
        <v>20</v>
      </c>
      <c r="H26" s="4" t="s">
        <v>22</v>
      </c>
      <c r="I26" s="4" t="s">
        <v>62</v>
      </c>
      <c r="J26" s="4" t="s">
        <v>63</v>
      </c>
      <c r="K26" s="4" t="s">
        <v>64</v>
      </c>
      <c r="L26" s="4" t="s">
        <v>65</v>
      </c>
    </row>
    <row r="27" spans="1:15" x14ac:dyDescent="0.25">
      <c r="A27" s="4" t="s">
        <v>21</v>
      </c>
      <c r="B27" s="4" t="s">
        <v>5</v>
      </c>
      <c r="C27" s="18">
        <v>49615.292755649498</v>
      </c>
      <c r="D27" s="18">
        <v>54758.0078922666</v>
      </c>
      <c r="E27" s="18">
        <v>51880.950592984103</v>
      </c>
      <c r="F27" s="18">
        <v>63106.594255615797</v>
      </c>
      <c r="G27" s="18">
        <v>43652.748291793599</v>
      </c>
      <c r="H27" s="18">
        <v>43652.748291793599</v>
      </c>
      <c r="I27" s="18">
        <v>43652.748291793599</v>
      </c>
      <c r="J27" s="18">
        <v>43652.748291793599</v>
      </c>
      <c r="K27" s="18">
        <v>43652.748291793599</v>
      </c>
      <c r="L27" s="18">
        <v>43652.748291793599</v>
      </c>
      <c r="M27" s="13"/>
      <c r="N27" t="s">
        <v>7</v>
      </c>
      <c r="O27" t="s">
        <v>42</v>
      </c>
    </row>
    <row r="28" spans="1:15" x14ac:dyDescent="0.25">
      <c r="A28" s="4" t="s">
        <v>21</v>
      </c>
      <c r="B28" s="4" t="s">
        <v>4</v>
      </c>
      <c r="C28" s="18">
        <v>44208.712720000702</v>
      </c>
      <c r="D28" s="18">
        <v>45237.995270002</v>
      </c>
      <c r="E28" s="18">
        <v>50239.66274</v>
      </c>
      <c r="F28" s="18">
        <v>49582.6436599999</v>
      </c>
      <c r="G28" s="18">
        <v>50894.171790000102</v>
      </c>
      <c r="H28" s="18">
        <v>50894.171790000102</v>
      </c>
      <c r="I28" s="18">
        <v>50894.171790000102</v>
      </c>
      <c r="J28" s="18">
        <v>50894.171790000102</v>
      </c>
      <c r="K28" s="18">
        <v>50894.171790000102</v>
      </c>
      <c r="L28" s="18">
        <v>50894.171790000102</v>
      </c>
      <c r="M28" s="13"/>
      <c r="N28" t="s">
        <v>7</v>
      </c>
      <c r="O28" t="s">
        <v>42</v>
      </c>
    </row>
    <row r="30" spans="1:15" x14ac:dyDescent="0.25">
      <c r="A30" s="4" t="s">
        <v>69</v>
      </c>
      <c r="B30" s="4" t="s">
        <v>5</v>
      </c>
      <c r="C30" s="18">
        <f>C27*C$49</f>
        <v>61503.067620907961</v>
      </c>
      <c r="D30" s="18">
        <f t="shared" ref="D30:L30" si="3">D27*D$49</f>
        <v>66704.599055672588</v>
      </c>
      <c r="E30" s="18">
        <f t="shared" si="3"/>
        <v>62107.347462787038</v>
      </c>
      <c r="F30" s="18">
        <f t="shared" si="3"/>
        <v>73794.7893546415</v>
      </c>
      <c r="G30" s="18">
        <f t="shared" si="3"/>
        <v>50144.329046459679</v>
      </c>
      <c r="H30" s="18">
        <f t="shared" si="3"/>
        <v>48824.825633786808</v>
      </c>
      <c r="I30" s="18">
        <f t="shared" si="3"/>
        <v>47745.563816025606</v>
      </c>
      <c r="J30" s="18">
        <f t="shared" si="3"/>
        <v>47148.306011497851</v>
      </c>
      <c r="K30" s="18">
        <f t="shared" si="3"/>
        <v>46461.851810430082</v>
      </c>
      <c r="L30" s="18">
        <f t="shared" si="3"/>
        <v>45548.30354017784</v>
      </c>
      <c r="M30" s="14"/>
    </row>
    <row r="31" spans="1:15" x14ac:dyDescent="0.25">
      <c r="A31" s="4" t="s">
        <v>69</v>
      </c>
      <c r="B31" s="4" t="s">
        <v>4</v>
      </c>
      <c r="C31" s="18">
        <f>C28*C$49</f>
        <v>54801.076378651393</v>
      </c>
      <c r="D31" s="18">
        <f t="shared" ref="D31:L31" si="4">D28*D$49</f>
        <v>55107.598919683594</v>
      </c>
      <c r="E31" s="18">
        <f t="shared" si="4"/>
        <v>60142.540846743264</v>
      </c>
      <c r="F31" s="18">
        <f t="shared" si="4"/>
        <v>57980.323414622209</v>
      </c>
      <c r="G31" s="18">
        <f t="shared" si="4"/>
        <v>58462.621407609717</v>
      </c>
      <c r="H31" s="18">
        <f t="shared" si="4"/>
        <v>56924.229531039389</v>
      </c>
      <c r="I31" s="18">
        <f t="shared" si="4"/>
        <v>55665.932207068785</v>
      </c>
      <c r="J31" s="18">
        <f t="shared" si="4"/>
        <v>54969.597096542231</v>
      </c>
      <c r="K31" s="18">
        <f t="shared" si="4"/>
        <v>54169.269066756337</v>
      </c>
      <c r="L31" s="18">
        <f t="shared" si="4"/>
        <v>53104.175013710992</v>
      </c>
      <c r="M31" s="14"/>
    </row>
    <row r="32" spans="1:15" x14ac:dyDescent="0.25"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</row>
    <row r="33" spans="1:13" s="16" customFormat="1" x14ac:dyDescent="0.25">
      <c r="A33" s="16" t="s">
        <v>14</v>
      </c>
    </row>
    <row r="34" spans="1:13" s="1" customFormat="1" x14ac:dyDescent="0.25">
      <c r="C34" s="1" t="s">
        <v>51</v>
      </c>
      <c r="D34" s="1" t="s">
        <v>52</v>
      </c>
    </row>
    <row r="35" spans="1:13" x14ac:dyDescent="0.25">
      <c r="B35" t="s">
        <v>5</v>
      </c>
      <c r="C35" s="11">
        <f>SUM(C30:K30)/SUM(C22:K22)</f>
        <v>0.15047469477036926</v>
      </c>
      <c r="D35" s="11">
        <f>SUM(F30:K30)/SUM(F22:K22)</f>
        <v>0.13812277667755324</v>
      </c>
    </row>
    <row r="36" spans="1:13" x14ac:dyDescent="0.25">
      <c r="B36" t="s">
        <v>4</v>
      </c>
      <c r="C36" s="11">
        <f>SUM(C31:K31)/SUM(C23:K23)</f>
        <v>0.14584813283696163</v>
      </c>
      <c r="D36" s="11">
        <f>SUM(F31:K31)/SUM(F23:K23)</f>
        <v>0.13911654667669965</v>
      </c>
    </row>
    <row r="38" spans="1:13" s="16" customFormat="1" x14ac:dyDescent="0.25">
      <c r="A38" s="16" t="s">
        <v>44</v>
      </c>
    </row>
    <row r="39" spans="1:13" x14ac:dyDescent="0.25">
      <c r="B39" t="str">
        <f>B35</f>
        <v>Ergon</v>
      </c>
      <c r="C39" s="2">
        <f t="shared" ref="C39:D39" si="5">$C$15*C35</f>
        <v>2.718341779534791E-2</v>
      </c>
      <c r="D39" s="2">
        <f t="shared" si="5"/>
        <v>2.4952030314527099E-2</v>
      </c>
      <c r="L39" s="12"/>
    </row>
    <row r="40" spans="1:13" x14ac:dyDescent="0.25">
      <c r="B40" t="str">
        <f>B36</f>
        <v>Energex</v>
      </c>
      <c r="C40" s="2">
        <f t="shared" ref="C40:D40" si="6">$C$15*C36</f>
        <v>2.6347624333970261E-2</v>
      </c>
      <c r="D40" s="2">
        <f t="shared" si="6"/>
        <v>2.5131555949189484E-2</v>
      </c>
      <c r="L40" s="12"/>
    </row>
    <row r="42" spans="1:13" s="16" customFormat="1" x14ac:dyDescent="0.25">
      <c r="A42" s="16" t="s">
        <v>15</v>
      </c>
    </row>
    <row r="43" spans="1:13" s="1" customFormat="1" x14ac:dyDescent="0.25"/>
    <row r="44" spans="1:13" x14ac:dyDescent="0.25">
      <c r="B44" t="s">
        <v>5</v>
      </c>
      <c r="C44" s="3">
        <f t="shared" ref="C44:D44" si="7">(1/(1-C39))-1</f>
        <v>2.7943004151659734E-2</v>
      </c>
      <c r="D44" s="3">
        <f t="shared" si="7"/>
        <v>2.5590566915980606E-2</v>
      </c>
    </row>
    <row r="45" spans="1:13" x14ac:dyDescent="0.25">
      <c r="B45" t="s">
        <v>4</v>
      </c>
      <c r="C45" s="3">
        <f t="shared" ref="C45:D45" si="8">(1/(1-C40))-1</f>
        <v>2.70606070425774E-2</v>
      </c>
      <c r="D45" s="3">
        <f t="shared" si="8"/>
        <v>2.5779433217431702E-2</v>
      </c>
    </row>
    <row r="47" spans="1:13" s="16" customFormat="1" x14ac:dyDescent="0.25">
      <c r="A47" s="16" t="s">
        <v>66</v>
      </c>
    </row>
    <row r="48" spans="1:13" x14ac:dyDescent="0.25">
      <c r="C48" s="4" t="s">
        <v>16</v>
      </c>
      <c r="D48" s="4" t="s">
        <v>17</v>
      </c>
      <c r="E48" s="4" t="s">
        <v>18</v>
      </c>
      <c r="F48" s="4" t="s">
        <v>19</v>
      </c>
      <c r="G48" s="4" t="s">
        <v>20</v>
      </c>
      <c r="H48" s="4" t="s">
        <v>22</v>
      </c>
      <c r="I48" s="4" t="s">
        <v>62</v>
      </c>
      <c r="J48" s="4" t="s">
        <v>63</v>
      </c>
      <c r="K48" s="4" t="s">
        <v>64</v>
      </c>
      <c r="L48" s="4" t="s">
        <v>65</v>
      </c>
      <c r="M48" s="52"/>
    </row>
    <row r="49" spans="1:12" x14ac:dyDescent="0.25">
      <c r="A49" t="s">
        <v>67</v>
      </c>
      <c r="B49" t="s">
        <v>68</v>
      </c>
      <c r="C49">
        <f>D49*(D49/E49)</f>
        <v>1.2395990067781038</v>
      </c>
      <c r="D49">
        <v>1.2181706680584556</v>
      </c>
      <c r="E49">
        <v>1.1971127504974024</v>
      </c>
      <c r="F49">
        <v>1.1693673256353012</v>
      </c>
      <c r="G49">
        <v>1.1487095545800137</v>
      </c>
      <c r="H49">
        <v>1.1184822844926243</v>
      </c>
      <c r="I49">
        <v>1.0937584845030577</v>
      </c>
      <c r="J49">
        <v>1.0800764638308327</v>
      </c>
      <c r="K49">
        <v>1.0643511262992935</v>
      </c>
      <c r="L49">
        <v>1.0434235030452961</v>
      </c>
    </row>
  </sheetData>
  <pageMargins left="0.7" right="0.7" top="0.75" bottom="0.75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T63"/>
  <sheetViews>
    <sheetView topLeftCell="A22" workbookViewId="0">
      <selection activeCell="D40" sqref="D40"/>
    </sheetView>
  </sheetViews>
  <sheetFormatPr defaultRowHeight="15" x14ac:dyDescent="0.25"/>
  <cols>
    <col min="1" max="1" width="13.42578125" customWidth="1"/>
    <col min="2" max="2" width="14.5703125" customWidth="1"/>
    <col min="3" max="3" width="12.5703125" bestFit="1" customWidth="1"/>
    <col min="4" max="4" width="16.7109375" customWidth="1"/>
    <col min="5" max="7" width="12.5703125" bestFit="1" customWidth="1"/>
    <col min="8" max="8" width="11.42578125" customWidth="1"/>
    <col min="9" max="9" width="12.5703125" bestFit="1" customWidth="1"/>
    <col min="10" max="10" width="11.42578125" customWidth="1"/>
    <col min="11" max="11" width="11.85546875" customWidth="1"/>
    <col min="12" max="12" width="11.28515625" customWidth="1"/>
    <col min="13" max="13" width="53.140625" customWidth="1"/>
    <col min="14" max="14" width="9.140625" bestFit="1" customWidth="1"/>
  </cols>
  <sheetData>
    <row r="1" spans="1:13" s="16" customFormat="1" x14ac:dyDescent="0.25">
      <c r="A1" s="16" t="s">
        <v>34</v>
      </c>
    </row>
    <row r="2" spans="1:13" x14ac:dyDescent="0.25">
      <c r="J2" s="6" t="s">
        <v>50</v>
      </c>
      <c r="K2" s="6" t="s">
        <v>51</v>
      </c>
      <c r="L2" s="6" t="s">
        <v>52</v>
      </c>
    </row>
    <row r="3" spans="1:13" x14ac:dyDescent="0.25">
      <c r="B3" t="s">
        <v>61</v>
      </c>
      <c r="J3" s="33">
        <f>(J6*(P35+1))/(P32+1)</f>
        <v>2.6016763584918556E-2</v>
      </c>
      <c r="K3" s="33">
        <f>(J6*7)/12</f>
        <v>4.0470521132095531E-2</v>
      </c>
      <c r="L3" s="33">
        <f>(J6*6)/6</f>
        <v>6.9378036226449488E-2</v>
      </c>
    </row>
    <row r="4" spans="1:13" x14ac:dyDescent="0.25">
      <c r="B4" t="s">
        <v>60</v>
      </c>
      <c r="J4" s="33"/>
      <c r="K4" s="55">
        <f>(K7*(N35+1))/(N32+1)</f>
        <v>3.356994266667758E-2</v>
      </c>
      <c r="L4" s="55">
        <f>(L7*(O35+1)/(O32+1))</f>
        <v>5.7548473142875846E-2</v>
      </c>
      <c r="M4" s="55"/>
    </row>
    <row r="5" spans="1:13" x14ac:dyDescent="0.25">
      <c r="J5" s="34"/>
      <c r="K5" s="34"/>
      <c r="L5" s="34"/>
    </row>
    <row r="6" spans="1:13" x14ac:dyDescent="0.25">
      <c r="B6" s="1" t="s">
        <v>78</v>
      </c>
      <c r="E6" s="9"/>
      <c r="J6" s="35">
        <f>SUMPRODUCT(C30:C34,'Customer weights'!D3:D7)</f>
        <v>6.9378036226449488E-2</v>
      </c>
      <c r="K6" s="34"/>
      <c r="L6" s="34"/>
    </row>
    <row r="7" spans="1:13" x14ac:dyDescent="0.25">
      <c r="B7" s="1" t="s">
        <v>79</v>
      </c>
      <c r="E7" s="9"/>
      <c r="J7" s="35"/>
      <c r="K7" s="35">
        <f>H44</f>
        <v>5.7548473142875853E-2</v>
      </c>
      <c r="L7" s="35">
        <f>H53</f>
        <v>5.7548473142875853E-2</v>
      </c>
    </row>
    <row r="9" spans="1:13" s="16" customFormat="1" x14ac:dyDescent="0.25">
      <c r="A9" s="16" t="s">
        <v>36</v>
      </c>
    </row>
    <row r="10" spans="1:13" x14ac:dyDescent="0.25">
      <c r="B10" s="6"/>
      <c r="C10" s="6"/>
      <c r="D10" s="6"/>
      <c r="E10" s="6"/>
      <c r="F10" s="6"/>
      <c r="G10" s="6"/>
      <c r="H10" s="6"/>
      <c r="I10" s="6"/>
      <c r="J10" s="6"/>
      <c r="K10" s="20"/>
      <c r="L10" s="25"/>
      <c r="M10" s="1"/>
    </row>
    <row r="11" spans="1:13" x14ac:dyDescent="0.25">
      <c r="B11" s="19"/>
      <c r="C11" s="28" t="s">
        <v>26</v>
      </c>
      <c r="D11" s="28" t="s">
        <v>27</v>
      </c>
      <c r="E11" s="28">
        <v>2011</v>
      </c>
      <c r="F11" s="28">
        <v>2012</v>
      </c>
      <c r="G11" s="28">
        <v>2013</v>
      </c>
      <c r="H11" s="28">
        <v>2014</v>
      </c>
      <c r="I11" s="28">
        <v>2015</v>
      </c>
      <c r="J11" s="28" t="s">
        <v>0</v>
      </c>
      <c r="L11" s="23"/>
    </row>
    <row r="12" spans="1:13" x14ac:dyDescent="0.25">
      <c r="B12" s="4" t="s">
        <v>28</v>
      </c>
      <c r="C12" s="4" t="s">
        <v>29</v>
      </c>
      <c r="D12" s="26" t="s">
        <v>30</v>
      </c>
      <c r="E12" s="27">
        <v>1304</v>
      </c>
      <c r="F12" s="27">
        <v>3856</v>
      </c>
      <c r="G12" s="27">
        <v>4922</v>
      </c>
      <c r="H12" s="27">
        <v>3276</v>
      </c>
      <c r="I12" s="27">
        <v>3101</v>
      </c>
      <c r="J12" s="29">
        <f>SUM(E12:I12)</f>
        <v>16459</v>
      </c>
      <c r="L12" s="24" t="s">
        <v>7</v>
      </c>
      <c r="M12" t="s">
        <v>46</v>
      </c>
    </row>
    <row r="13" spans="1:13" x14ac:dyDescent="0.25">
      <c r="B13" s="4" t="s">
        <v>31</v>
      </c>
      <c r="C13" s="4" t="s">
        <v>29</v>
      </c>
      <c r="D13" s="26" t="s">
        <v>30</v>
      </c>
      <c r="E13" s="27">
        <v>10951.944444444445</v>
      </c>
      <c r="F13" s="27">
        <v>27635.555033017685</v>
      </c>
      <c r="G13" s="27">
        <v>31264.323594620153</v>
      </c>
      <c r="H13" s="27">
        <v>14594.391212668954</v>
      </c>
      <c r="I13" s="27">
        <v>12781.256788081304</v>
      </c>
      <c r="J13" s="29">
        <f t="shared" ref="J13:J16" si="0">SUM(E13:I13)</f>
        <v>97227.47107283253</v>
      </c>
      <c r="L13" s="24" t="s">
        <v>7</v>
      </c>
      <c r="M13" t="s">
        <v>47</v>
      </c>
    </row>
    <row r="14" spans="1:13" x14ac:dyDescent="0.25">
      <c r="B14" s="4" t="s">
        <v>10</v>
      </c>
      <c r="C14" s="4" t="s">
        <v>29</v>
      </c>
      <c r="D14" s="26" t="s">
        <v>30</v>
      </c>
      <c r="E14" s="27">
        <v>0</v>
      </c>
      <c r="F14" s="27">
        <v>0</v>
      </c>
      <c r="G14" s="27">
        <v>0</v>
      </c>
      <c r="H14" s="27">
        <v>0</v>
      </c>
      <c r="I14" s="27">
        <v>0</v>
      </c>
      <c r="J14" s="29">
        <f t="shared" si="0"/>
        <v>0</v>
      </c>
      <c r="L14" s="24"/>
    </row>
    <row r="15" spans="1:13" x14ac:dyDescent="0.25">
      <c r="B15" s="4" t="s">
        <v>32</v>
      </c>
      <c r="C15" s="4" t="s">
        <v>29</v>
      </c>
      <c r="D15" s="26" t="s">
        <v>30</v>
      </c>
      <c r="E15" s="27">
        <v>14595.592004589966</v>
      </c>
      <c r="F15" s="27">
        <v>18064.912007750758</v>
      </c>
      <c r="G15" s="27">
        <v>22586.90565630158</v>
      </c>
      <c r="H15" s="27">
        <v>22483.109782054187</v>
      </c>
      <c r="I15" s="27">
        <v>21951.248442144224</v>
      </c>
      <c r="J15" s="29">
        <f t="shared" si="0"/>
        <v>99681.767892840711</v>
      </c>
      <c r="L15" s="24" t="s">
        <v>7</v>
      </c>
      <c r="M15" t="s">
        <v>49</v>
      </c>
    </row>
    <row r="16" spans="1:13" x14ac:dyDescent="0.25">
      <c r="B16" s="4" t="s">
        <v>3</v>
      </c>
      <c r="C16" s="4" t="s">
        <v>29</v>
      </c>
      <c r="D16" s="26" t="s">
        <v>30</v>
      </c>
      <c r="E16" s="27">
        <v>7611.744490678745</v>
      </c>
      <c r="F16" s="27">
        <v>7449.744490678745</v>
      </c>
      <c r="G16" s="27">
        <v>5674.2003628037446</v>
      </c>
      <c r="H16" s="27">
        <v>5674.2003628037446</v>
      </c>
      <c r="I16" s="27">
        <v>5679.6966919788347</v>
      </c>
      <c r="J16" s="29">
        <f t="shared" si="0"/>
        <v>32089.586398943815</v>
      </c>
      <c r="L16" s="24" t="s">
        <v>7</v>
      </c>
      <c r="M16" t="s">
        <v>48</v>
      </c>
    </row>
    <row r="17" spans="1:20" x14ac:dyDescent="0.25">
      <c r="B17" s="6"/>
      <c r="C17" s="6"/>
      <c r="D17" s="6"/>
      <c r="E17" s="6"/>
      <c r="F17" s="6"/>
      <c r="G17" s="6"/>
      <c r="H17" s="6"/>
      <c r="I17" s="6"/>
      <c r="J17" s="6"/>
      <c r="K17" s="20"/>
      <c r="L17" s="25"/>
      <c r="M17" s="1"/>
    </row>
    <row r="18" spans="1:20" s="16" customFormat="1" x14ac:dyDescent="0.25">
      <c r="A18" s="16" t="s">
        <v>35</v>
      </c>
    </row>
    <row r="19" spans="1:20" x14ac:dyDescent="0.25">
      <c r="B19" s="6"/>
      <c r="C19" s="6"/>
      <c r="D19" s="6"/>
      <c r="E19" s="6"/>
      <c r="F19" s="6"/>
      <c r="G19" s="6"/>
      <c r="H19" s="6"/>
      <c r="I19" s="6"/>
      <c r="J19" s="6"/>
      <c r="K19" s="20"/>
      <c r="L19" s="25"/>
      <c r="M19" s="1"/>
    </row>
    <row r="20" spans="1:20" x14ac:dyDescent="0.25">
      <c r="B20" s="19"/>
      <c r="C20" s="28" t="s">
        <v>26</v>
      </c>
      <c r="D20" s="28" t="s">
        <v>27</v>
      </c>
      <c r="E20" s="28">
        <v>2011</v>
      </c>
      <c r="F20" s="28">
        <v>2012</v>
      </c>
      <c r="G20" s="28">
        <v>2013</v>
      </c>
      <c r="H20" s="28">
        <v>2014</v>
      </c>
      <c r="I20" s="28">
        <v>2015</v>
      </c>
      <c r="J20" s="28" t="s">
        <v>0</v>
      </c>
      <c r="M20" s="19"/>
    </row>
    <row r="21" spans="1:20" x14ac:dyDescent="0.25">
      <c r="B21" s="4" t="s">
        <v>28</v>
      </c>
      <c r="C21" s="4" t="s">
        <v>29</v>
      </c>
      <c r="D21" s="26" t="s">
        <v>30</v>
      </c>
      <c r="E21" s="30">
        <v>43858.971774193546</v>
      </c>
      <c r="F21" s="30">
        <v>48256.972111553783</v>
      </c>
      <c r="G21" s="30">
        <v>50806.51750972763</v>
      </c>
      <c r="H21" s="30">
        <v>48555.755907753635</v>
      </c>
      <c r="I21" s="30">
        <v>49434.99908568414</v>
      </c>
      <c r="J21" s="29">
        <f>SUM(E21:I21)</f>
        <v>240913.21638891273</v>
      </c>
      <c r="L21" s="24" t="s">
        <v>7</v>
      </c>
      <c r="M21" t="s">
        <v>46</v>
      </c>
    </row>
    <row r="22" spans="1:20" x14ac:dyDescent="0.25">
      <c r="B22" s="4" t="s">
        <v>31</v>
      </c>
      <c r="C22" s="4" t="s">
        <v>29</v>
      </c>
      <c r="D22" s="26" t="s">
        <v>30</v>
      </c>
      <c r="E22" s="30">
        <v>149550.30241935485</v>
      </c>
      <c r="F22" s="30">
        <v>172047.24803877244</v>
      </c>
      <c r="G22" s="30">
        <v>180764.45308013679</v>
      </c>
      <c r="H22" s="30">
        <v>170758.62765462484</v>
      </c>
      <c r="I22" s="30">
        <v>172499.79559082392</v>
      </c>
      <c r="J22" s="29">
        <f>SUM(E22:I22)</f>
        <v>845620.42678371281</v>
      </c>
      <c r="L22" s="24" t="s">
        <v>7</v>
      </c>
      <c r="M22" t="s">
        <v>47</v>
      </c>
    </row>
    <row r="23" spans="1:20" x14ac:dyDescent="0.25">
      <c r="B23" s="4" t="s">
        <v>10</v>
      </c>
      <c r="C23" s="4"/>
      <c r="D23" s="26"/>
      <c r="E23" s="30"/>
      <c r="F23" s="30"/>
      <c r="G23" s="30"/>
      <c r="H23" s="30"/>
      <c r="I23" s="30"/>
      <c r="J23" s="30"/>
      <c r="L23" s="24"/>
    </row>
    <row r="24" spans="1:20" x14ac:dyDescent="0.25">
      <c r="B24" s="4" t="s">
        <v>32</v>
      </c>
      <c r="C24" s="4" t="s">
        <v>29</v>
      </c>
      <c r="D24" s="26" t="s">
        <v>30</v>
      </c>
      <c r="E24" s="30">
        <v>159408.1050056344</v>
      </c>
      <c r="F24" s="30">
        <v>169372.00285310971</v>
      </c>
      <c r="G24" s="30">
        <v>178159.61489371918</v>
      </c>
      <c r="H24" s="30">
        <v>186555.04621462707</v>
      </c>
      <c r="I24" s="30">
        <v>188415.06591136364</v>
      </c>
      <c r="J24" s="29">
        <f>SUM(E24:I24)</f>
        <v>881909.83487845398</v>
      </c>
      <c r="L24" s="24" t="s">
        <v>7</v>
      </c>
      <c r="M24" t="s">
        <v>49</v>
      </c>
    </row>
    <row r="25" spans="1:20" x14ac:dyDescent="0.25">
      <c r="B25" s="4" t="s">
        <v>3</v>
      </c>
      <c r="C25" s="4" t="s">
        <v>29</v>
      </c>
      <c r="D25" s="26" t="s">
        <v>30</v>
      </c>
      <c r="E25" s="30">
        <v>106082.05645161291</v>
      </c>
      <c r="F25" s="30">
        <v>109639.84063745021</v>
      </c>
      <c r="G25" s="30">
        <v>110473.54085603113</v>
      </c>
      <c r="H25" s="30">
        <v>114860.1119863339</v>
      </c>
      <c r="I25" s="30">
        <v>116454.86172997825</v>
      </c>
      <c r="J25" s="29">
        <f>SUM(E25:I25)</f>
        <v>557510.4116614064</v>
      </c>
      <c r="L25" s="24" t="s">
        <v>7</v>
      </c>
      <c r="M25" t="s">
        <v>48</v>
      </c>
    </row>
    <row r="26" spans="1:20" x14ac:dyDescent="0.25">
      <c r="B26" s="6"/>
      <c r="C26" s="6"/>
      <c r="D26" s="6"/>
      <c r="E26" s="21"/>
      <c r="F26" s="21"/>
      <c r="G26" s="21"/>
      <c r="H26" s="21"/>
      <c r="I26" s="21"/>
      <c r="J26" s="21"/>
      <c r="K26" s="21"/>
      <c r="L26" s="22"/>
      <c r="M26" s="22"/>
    </row>
    <row r="27" spans="1:20" s="16" customFormat="1" x14ac:dyDescent="0.25">
      <c r="A27" s="16" t="s">
        <v>33</v>
      </c>
    </row>
    <row r="28" spans="1:20" s="1" customFormat="1" x14ac:dyDescent="0.25"/>
    <row r="29" spans="1:20" s="48" customFormat="1" x14ac:dyDescent="0.25">
      <c r="B29" s="76" t="s">
        <v>73</v>
      </c>
      <c r="C29" s="76"/>
      <c r="L29" s="49"/>
      <c r="M29" s="49"/>
      <c r="N29" s="6" t="s">
        <v>51</v>
      </c>
      <c r="O29" s="6" t="s">
        <v>52</v>
      </c>
      <c r="P29" s="6" t="s">
        <v>50</v>
      </c>
    </row>
    <row r="30" spans="1:20" s="48" customFormat="1" x14ac:dyDescent="0.25">
      <c r="B30" s="60" t="s">
        <v>1</v>
      </c>
      <c r="C30" s="61">
        <f>J12/J21</f>
        <v>6.8319207417121483E-2</v>
      </c>
      <c r="M30" s="56" t="s">
        <v>80</v>
      </c>
      <c r="N30" s="56">
        <v>2006</v>
      </c>
      <c r="O30" s="56">
        <v>2012</v>
      </c>
      <c r="P30" s="56">
        <v>2006</v>
      </c>
      <c r="Q30" s="56"/>
      <c r="R30" s="56"/>
      <c r="S30" s="56"/>
      <c r="T30" s="56"/>
    </row>
    <row r="31" spans="1:20" s="48" customFormat="1" x14ac:dyDescent="0.25">
      <c r="B31" s="60" t="s">
        <v>2</v>
      </c>
      <c r="C31" s="61">
        <f>J13/J22</f>
        <v>0.11497767555430721</v>
      </c>
      <c r="L31" s="50"/>
      <c r="M31" s="56" t="s">
        <v>81</v>
      </c>
      <c r="N31" s="56">
        <v>2017</v>
      </c>
      <c r="O31" s="56">
        <v>2017</v>
      </c>
      <c r="P31" s="56">
        <v>2013</v>
      </c>
      <c r="T31" s="56"/>
    </row>
    <row r="32" spans="1:20" s="48" customFormat="1" x14ac:dyDescent="0.25">
      <c r="B32" s="60" t="s">
        <v>10</v>
      </c>
      <c r="C32" s="61">
        <v>0</v>
      </c>
      <c r="M32" s="56" t="s">
        <v>82</v>
      </c>
      <c r="N32" s="56">
        <f>N31-N30</f>
        <v>11</v>
      </c>
      <c r="O32" s="56">
        <f>O31-O30</f>
        <v>5</v>
      </c>
      <c r="P32" s="56">
        <f>P31-P30</f>
        <v>7</v>
      </c>
      <c r="Q32" s="56"/>
      <c r="T32" s="56"/>
    </row>
    <row r="33" spans="2:20" s="48" customFormat="1" x14ac:dyDescent="0.25">
      <c r="B33" s="60" t="s">
        <v>54</v>
      </c>
      <c r="C33" s="61">
        <f>J15/J24</f>
        <v>0.11302943220559389</v>
      </c>
      <c r="P33" s="56"/>
      <c r="Q33" s="56"/>
      <c r="R33" s="56"/>
      <c r="S33" s="56"/>
      <c r="T33" s="56"/>
    </row>
    <row r="34" spans="2:20" s="48" customFormat="1" x14ac:dyDescent="0.25">
      <c r="B34" s="60" t="s">
        <v>3</v>
      </c>
      <c r="C34" s="61">
        <f>J16/J25</f>
        <v>5.7558721286146725E-2</v>
      </c>
      <c r="H34" s="56" t="s">
        <v>59</v>
      </c>
      <c r="M34" s="57" t="s">
        <v>83</v>
      </c>
      <c r="N34" s="56">
        <v>2011</v>
      </c>
      <c r="O34" s="56">
        <v>2012</v>
      </c>
      <c r="P34" s="56">
        <v>2011</v>
      </c>
      <c r="Q34" s="56"/>
      <c r="R34" s="56"/>
      <c r="S34" s="56"/>
      <c r="T34" s="56"/>
    </row>
    <row r="35" spans="2:20" s="48" customFormat="1" x14ac:dyDescent="0.25">
      <c r="B35" s="62" t="s">
        <v>56</v>
      </c>
      <c r="C35" s="63">
        <f>SUMPRODUCT(C30:C34,'Customer weights'!D3:D7)</f>
        <v>6.9378036226449488E-2</v>
      </c>
      <c r="H35" s="51">
        <f>C35</f>
        <v>6.9378036226449488E-2</v>
      </c>
      <c r="M35" s="58" t="s">
        <v>84</v>
      </c>
      <c r="N35" s="56">
        <f>N31-N34</f>
        <v>6</v>
      </c>
      <c r="O35" s="56">
        <f>O31-O34</f>
        <v>5</v>
      </c>
      <c r="P35" s="56">
        <f>P31-P34</f>
        <v>2</v>
      </c>
      <c r="Q35" s="56"/>
      <c r="R35" s="56"/>
      <c r="S35" s="56"/>
      <c r="T35" s="56"/>
    </row>
    <row r="36" spans="2:20" s="48" customFormat="1" x14ac:dyDescent="0.25">
      <c r="B36" s="56" t="s">
        <v>55</v>
      </c>
      <c r="C36" s="56"/>
    </row>
    <row r="37" spans="2:20" x14ac:dyDescent="0.25">
      <c r="B37" s="36"/>
    </row>
    <row r="38" spans="2:20" x14ac:dyDescent="0.25">
      <c r="B38" s="77" t="s">
        <v>72</v>
      </c>
      <c r="C38" s="77"/>
      <c r="D38" t="s">
        <v>75</v>
      </c>
      <c r="N38" s="56">
        <v>2006</v>
      </c>
      <c r="O38" s="56"/>
      <c r="P38" s="56"/>
    </row>
    <row r="39" spans="2:20" x14ac:dyDescent="0.25">
      <c r="B39" s="59" t="s">
        <v>1</v>
      </c>
      <c r="C39" s="31">
        <f>C30</f>
        <v>6.8319207417121483E-2</v>
      </c>
      <c r="D39" s="2">
        <f>VLOOKUP(B39,'Customer weights'!$E$3:$F$7,2,FALSE)</f>
        <v>0.12520032882608462</v>
      </c>
      <c r="E39" s="48"/>
      <c r="F39" s="48"/>
      <c r="N39" s="56">
        <v>2014</v>
      </c>
      <c r="O39" s="56">
        <v>2011</v>
      </c>
      <c r="P39" s="56"/>
    </row>
    <row r="40" spans="2:20" x14ac:dyDescent="0.25">
      <c r="B40" s="59" t="s">
        <v>2</v>
      </c>
      <c r="C40" s="31">
        <f>C31</f>
        <v>0.11497767555430721</v>
      </c>
      <c r="D40" s="2">
        <f>VLOOKUP(B40,'Customer weights'!$E$3:$F$7,2,FALSE)</f>
        <v>0.30114072845269696</v>
      </c>
      <c r="E40" s="48"/>
      <c r="F40" s="48"/>
      <c r="N40" s="56">
        <f>N39-N38</f>
        <v>8</v>
      </c>
      <c r="O40" s="56">
        <f>N39-O39</f>
        <v>3</v>
      </c>
      <c r="P40" s="48"/>
    </row>
    <row r="41" spans="2:20" x14ac:dyDescent="0.25">
      <c r="B41" s="59" t="s">
        <v>10</v>
      </c>
      <c r="C41" s="31">
        <f>C32</f>
        <v>0</v>
      </c>
      <c r="D41" s="2">
        <f>VLOOKUP(B41,'Customer weights'!$E$3:$F$7,2,FALSE)</f>
        <v>0.32399347733584472</v>
      </c>
      <c r="E41" s="48"/>
      <c r="F41" s="48"/>
    </row>
    <row r="42" spans="2:20" x14ac:dyDescent="0.25">
      <c r="B42" s="59"/>
      <c r="C42" s="31"/>
      <c r="D42" s="2"/>
      <c r="E42" s="48"/>
      <c r="F42" s="48"/>
    </row>
    <row r="43" spans="2:20" x14ac:dyDescent="0.25">
      <c r="B43" s="59" t="s">
        <v>3</v>
      </c>
      <c r="C43" s="31">
        <f>C34</f>
        <v>5.7558721286146725E-2</v>
      </c>
      <c r="D43" s="2">
        <f>VLOOKUP(B43,'Customer weights'!$E$3:$F$7,2,FALSE)</f>
        <v>0.24966546538537374</v>
      </c>
      <c r="E43" s="48"/>
      <c r="F43" s="48"/>
      <c r="H43" t="s">
        <v>58</v>
      </c>
    </row>
    <row r="44" spans="2:20" x14ac:dyDescent="0.25">
      <c r="B44" s="37" t="s">
        <v>56</v>
      </c>
      <c r="C44" s="37"/>
      <c r="D44" s="22">
        <f>SUMPRODUCT(C39:C43,D39:D43)</f>
        <v>5.7548473142875853E-2</v>
      </c>
      <c r="E44" s="48"/>
      <c r="F44" s="48"/>
      <c r="H44" s="51">
        <f>D44</f>
        <v>5.7548473142875853E-2</v>
      </c>
    </row>
    <row r="47" spans="2:20" x14ac:dyDescent="0.25">
      <c r="B47" s="77" t="s">
        <v>74</v>
      </c>
      <c r="C47" s="77"/>
    </row>
    <row r="48" spans="2:20" x14ac:dyDescent="0.25">
      <c r="B48" s="59" t="s">
        <v>1</v>
      </c>
      <c r="C48" s="31">
        <f>C30</f>
        <v>6.8319207417121483E-2</v>
      </c>
      <c r="D48" s="2">
        <f>VLOOKUP(B48,'Customer weights'!$E$3:$F$7,2,FALSE)</f>
        <v>0.12520032882608462</v>
      </c>
    </row>
    <row r="49" spans="2:8" x14ac:dyDescent="0.25">
      <c r="B49" s="59" t="s">
        <v>2</v>
      </c>
      <c r="C49" s="31">
        <f t="shared" ref="C49:C52" si="1">C31</f>
        <v>0.11497767555430721</v>
      </c>
      <c r="D49" s="2">
        <f>VLOOKUP(B49,'Customer weights'!$E$3:$F$7,2,FALSE)</f>
        <v>0.30114072845269696</v>
      </c>
    </row>
    <row r="50" spans="2:8" x14ac:dyDescent="0.25">
      <c r="B50" s="59" t="s">
        <v>10</v>
      </c>
      <c r="C50" s="31">
        <f t="shared" si="1"/>
        <v>0</v>
      </c>
      <c r="D50" s="2">
        <f>VLOOKUP(B50,'Customer weights'!$E$3:$F$7,2,FALSE)</f>
        <v>0.32399347733584472</v>
      </c>
    </row>
    <row r="51" spans="2:8" x14ac:dyDescent="0.25">
      <c r="B51" s="59"/>
      <c r="C51" s="31"/>
      <c r="D51" s="2"/>
    </row>
    <row r="52" spans="2:8" x14ac:dyDescent="0.25">
      <c r="B52" s="59" t="s">
        <v>3</v>
      </c>
      <c r="C52" s="31">
        <f t="shared" si="1"/>
        <v>5.7558721286146725E-2</v>
      </c>
      <c r="D52" s="2">
        <f>VLOOKUP(B52,'Customer weights'!$E$3:$F$7,2,FALSE)</f>
        <v>0.24966546538537374</v>
      </c>
      <c r="H52" t="s">
        <v>57</v>
      </c>
    </row>
    <row r="53" spans="2:8" x14ac:dyDescent="0.25">
      <c r="B53" s="37" t="s">
        <v>56</v>
      </c>
      <c r="D53" s="22">
        <f>SUMPRODUCT(C48:C52,D48:D52)</f>
        <v>5.7548473142875853E-2</v>
      </c>
      <c r="H53" s="51">
        <f>D53</f>
        <v>5.7548473142875853E-2</v>
      </c>
    </row>
    <row r="55" spans="2:8" s="1" customFormat="1" x14ac:dyDescent="0.25"/>
    <row r="56" spans="2:8" s="1" customFormat="1" x14ac:dyDescent="0.25"/>
    <row r="57" spans="2:8" s="1" customFormat="1" x14ac:dyDescent="0.25"/>
    <row r="58" spans="2:8" s="1" customFormat="1" x14ac:dyDescent="0.25"/>
    <row r="59" spans="2:8" s="1" customFormat="1" x14ac:dyDescent="0.25"/>
    <row r="60" spans="2:8" s="1" customFormat="1" x14ac:dyDescent="0.25"/>
    <row r="61" spans="2:8" s="1" customFormat="1" x14ac:dyDescent="0.25"/>
    <row r="62" spans="2:8" s="1" customFormat="1" x14ac:dyDescent="0.25"/>
    <row r="63" spans="2:8" s="1" customFormat="1" x14ac:dyDescent="0.25"/>
  </sheetData>
  <mergeCells count="3">
    <mergeCell ref="B29:C29"/>
    <mergeCell ref="B38:C38"/>
    <mergeCell ref="B47:C47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59999389629810485"/>
  </sheetPr>
  <dimension ref="A1:W34"/>
  <sheetViews>
    <sheetView workbookViewId="0">
      <selection activeCell="E4" sqref="E4"/>
    </sheetView>
  </sheetViews>
  <sheetFormatPr defaultRowHeight="15" x14ac:dyDescent="0.25"/>
  <cols>
    <col min="3" max="3" width="25.140625" customWidth="1"/>
    <col min="4" max="4" width="11.140625" bestFit="1" customWidth="1"/>
    <col min="5" max="5" width="15.7109375" customWidth="1"/>
    <col min="6" max="6" width="11.140625" bestFit="1" customWidth="1"/>
    <col min="7" max="7" width="25.42578125" customWidth="1"/>
    <col min="8" max="8" width="11.140625" bestFit="1" customWidth="1"/>
    <col min="9" max="9" width="19.42578125" customWidth="1"/>
    <col min="10" max="10" width="11.140625" bestFit="1" customWidth="1"/>
    <col min="11" max="11" width="25.85546875" customWidth="1"/>
    <col min="12" max="15" width="11.140625" bestFit="1" customWidth="1"/>
    <col min="16" max="16" width="10" bestFit="1" customWidth="1"/>
    <col min="17" max="18" width="14.7109375" bestFit="1" customWidth="1"/>
    <col min="20" max="20" width="14.7109375" bestFit="1" customWidth="1"/>
    <col min="22" max="22" width="14.7109375" bestFit="1" customWidth="1"/>
  </cols>
  <sheetData>
    <row r="1" spans="1:23" x14ac:dyDescent="0.25">
      <c r="B1" s="1" t="s">
        <v>76</v>
      </c>
      <c r="E1" s="1" t="s">
        <v>85</v>
      </c>
      <c r="F1" s="1"/>
    </row>
    <row r="2" spans="1:23" x14ac:dyDescent="0.25">
      <c r="C2" s="4" t="s">
        <v>53</v>
      </c>
      <c r="D2" s="4" t="s">
        <v>8</v>
      </c>
      <c r="E2" s="36"/>
      <c r="F2" s="1" t="s">
        <v>77</v>
      </c>
    </row>
    <row r="3" spans="1:23" x14ac:dyDescent="0.25">
      <c r="B3" s="4" t="s">
        <v>1</v>
      </c>
      <c r="C3" s="30">
        <v>339400</v>
      </c>
      <c r="D3" s="32">
        <f>C3/$C$8</f>
        <v>9.8505311058672329E-2</v>
      </c>
      <c r="E3" s="59" t="s">
        <v>1</v>
      </c>
      <c r="F3" s="3">
        <f>C3/(C$3+C$4+C$5+C$7)</f>
        <v>0.12520032882608462</v>
      </c>
    </row>
    <row r="4" spans="1:23" x14ac:dyDescent="0.25">
      <c r="B4" s="4" t="s">
        <v>2</v>
      </c>
      <c r="C4" s="30">
        <v>816349</v>
      </c>
      <c r="D4" s="32">
        <f>C4/$C$8</f>
        <v>0.23693197459468504</v>
      </c>
      <c r="E4" s="59" t="s">
        <v>2</v>
      </c>
      <c r="F4" s="3">
        <f>C4/(C$3+C$4+C$5+C$7)</f>
        <v>0.30114072845269696</v>
      </c>
    </row>
    <row r="5" spans="1:23" x14ac:dyDescent="0.25">
      <c r="B5" s="4" t="s">
        <v>10</v>
      </c>
      <c r="C5" s="30">
        <v>878299.5</v>
      </c>
      <c r="D5" s="32">
        <f>C5/$C$8</f>
        <v>0.25491209619969468</v>
      </c>
      <c r="E5" s="59" t="s">
        <v>10</v>
      </c>
      <c r="F5" s="3">
        <f>C5/(C$3+C$4+C$5+C$7)</f>
        <v>0.32399347733584472</v>
      </c>
    </row>
    <row r="6" spans="1:23" x14ac:dyDescent="0.25">
      <c r="B6" s="4" t="s">
        <v>54</v>
      </c>
      <c r="C6" s="30">
        <v>734644</v>
      </c>
      <c r="D6" s="32">
        <f>C6/$C$8</f>
        <v>0.21321843175423477</v>
      </c>
      <c r="E6" s="59"/>
      <c r="F6" s="3"/>
    </row>
    <row r="7" spans="1:23" x14ac:dyDescent="0.25">
      <c r="B7" s="4" t="s">
        <v>3</v>
      </c>
      <c r="C7" s="30">
        <v>676807</v>
      </c>
      <c r="D7" s="32">
        <f>C7/$C$8</f>
        <v>0.19643218639271315</v>
      </c>
      <c r="E7" s="59" t="s">
        <v>3</v>
      </c>
      <c r="F7" s="3">
        <f>C7/(C$3+C$4+C$5+C$7)</f>
        <v>0.24966546538537374</v>
      </c>
    </row>
    <row r="8" spans="1:23" x14ac:dyDescent="0.25">
      <c r="B8" s="4" t="s">
        <v>0</v>
      </c>
      <c r="C8" s="30">
        <f>SUM(C3:C7)</f>
        <v>3445499.5</v>
      </c>
      <c r="D8" s="17">
        <f>SUM(D3:D7)</f>
        <v>1</v>
      </c>
      <c r="E8" s="59" t="s">
        <v>0</v>
      </c>
      <c r="F8" s="75">
        <f>SUM(F3:F7)</f>
        <v>1</v>
      </c>
    </row>
    <row r="10" spans="1:23" x14ac:dyDescent="0.25">
      <c r="B10" s="8" t="s">
        <v>7</v>
      </c>
      <c r="C10" t="s">
        <v>9</v>
      </c>
    </row>
    <row r="12" spans="1:23" s="36" customFormat="1" x14ac:dyDescent="0.25"/>
    <row r="13" spans="1:23" s="36" customFormat="1" x14ac:dyDescent="0.25"/>
    <row r="14" spans="1:23" s="36" customFormat="1" x14ac:dyDescent="0.25">
      <c r="A14" s="66"/>
      <c r="Q14" s="67"/>
      <c r="V14" s="67"/>
    </row>
    <row r="15" spans="1:23" s="36" customFormat="1" x14ac:dyDescent="0.25">
      <c r="C15" s="64"/>
      <c r="D15" s="64"/>
      <c r="E15" s="64"/>
      <c r="F15" s="64"/>
      <c r="G15" s="64"/>
      <c r="H15" s="64"/>
      <c r="I15" s="64"/>
      <c r="J15" s="64"/>
      <c r="K15" s="64"/>
      <c r="L15" s="64"/>
      <c r="M15" s="64"/>
      <c r="N15" s="64"/>
      <c r="O15" s="68"/>
    </row>
    <row r="16" spans="1:23" s="36" customFormat="1" x14ac:dyDescent="0.25">
      <c r="C16" s="65"/>
      <c r="D16" s="65"/>
      <c r="E16" s="65"/>
      <c r="F16" s="65"/>
      <c r="G16" s="65"/>
      <c r="H16" s="65"/>
      <c r="I16" s="65"/>
      <c r="J16" s="65"/>
      <c r="K16" s="65"/>
      <c r="L16" s="65"/>
      <c r="M16" s="65"/>
      <c r="N16" s="65"/>
      <c r="O16" s="68"/>
      <c r="Q16" s="69"/>
      <c r="S16" s="70"/>
      <c r="V16" s="69"/>
      <c r="W16" s="70"/>
    </row>
    <row r="17" spans="3:23" s="36" customFormat="1" x14ac:dyDescent="0.25">
      <c r="C17" s="65"/>
      <c r="D17" s="65"/>
      <c r="E17" s="65"/>
      <c r="F17" s="65"/>
      <c r="G17" s="65"/>
      <c r="H17" s="65"/>
      <c r="I17" s="65"/>
      <c r="J17" s="65"/>
      <c r="K17" s="65"/>
      <c r="L17" s="65"/>
      <c r="M17" s="65"/>
      <c r="N17" s="65"/>
      <c r="O17" s="68"/>
      <c r="Q17" s="69"/>
      <c r="S17" s="70"/>
      <c r="V17" s="69"/>
      <c r="W17" s="70"/>
    </row>
    <row r="18" spans="3:23" s="36" customFormat="1" x14ac:dyDescent="0.25">
      <c r="C18" s="65"/>
      <c r="D18" s="65"/>
      <c r="E18" s="65"/>
      <c r="F18" s="65"/>
      <c r="G18" s="65"/>
      <c r="H18" s="65"/>
      <c r="I18" s="65"/>
      <c r="J18" s="65"/>
      <c r="K18" s="65"/>
      <c r="L18" s="65"/>
      <c r="M18" s="65"/>
      <c r="N18" s="65"/>
      <c r="O18" s="68"/>
      <c r="Q18" s="69"/>
      <c r="S18" s="70"/>
      <c r="V18" s="69"/>
      <c r="W18" s="70"/>
    </row>
    <row r="19" spans="3:23" s="36" customFormat="1" x14ac:dyDescent="0.25">
      <c r="C19" s="65"/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8"/>
      <c r="Q19" s="69"/>
      <c r="S19" s="70"/>
      <c r="V19" s="69"/>
      <c r="W19" s="70"/>
    </row>
    <row r="20" spans="3:23" s="36" customFormat="1" x14ac:dyDescent="0.25">
      <c r="C20" s="65"/>
      <c r="D20" s="65"/>
      <c r="E20" s="65"/>
      <c r="F20" s="65"/>
      <c r="G20" s="65"/>
      <c r="H20" s="65"/>
      <c r="I20" s="65"/>
      <c r="J20" s="65"/>
      <c r="K20" s="65"/>
      <c r="L20" s="65"/>
      <c r="M20" s="65"/>
      <c r="N20" s="65"/>
      <c r="O20" s="68"/>
      <c r="Q20" s="69"/>
      <c r="S20" s="70"/>
      <c r="V20" s="69"/>
      <c r="W20" s="70"/>
    </row>
    <row r="21" spans="3:23" s="36" customFormat="1" x14ac:dyDescent="0.25">
      <c r="C21" s="65"/>
      <c r="D21" s="65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8"/>
      <c r="P21" s="69"/>
      <c r="Q21" s="71"/>
      <c r="S21" s="72"/>
      <c r="V21" s="71"/>
      <c r="W21" s="72"/>
    </row>
    <row r="22" spans="3:23" s="36" customFormat="1" x14ac:dyDescent="0.25">
      <c r="C22" s="73"/>
      <c r="D22" s="73"/>
      <c r="E22" s="73"/>
      <c r="F22" s="73"/>
      <c r="G22" s="73"/>
      <c r="H22" s="73"/>
      <c r="I22" s="73"/>
      <c r="J22" s="73"/>
      <c r="K22" s="73"/>
      <c r="L22" s="73"/>
      <c r="M22" s="73"/>
      <c r="N22" s="73"/>
      <c r="O22" s="69"/>
      <c r="P22" s="69"/>
      <c r="Q22" s="69"/>
    </row>
    <row r="23" spans="3:23" s="36" customFormat="1" x14ac:dyDescent="0.25"/>
    <row r="24" spans="3:23" s="36" customFormat="1" x14ac:dyDescent="0.25"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8"/>
    </row>
    <row r="25" spans="3:23" s="36" customFormat="1" x14ac:dyDescent="0.25"/>
    <row r="26" spans="3:23" s="36" customFormat="1" x14ac:dyDescent="0.25"/>
    <row r="27" spans="3:23" s="36" customFormat="1" x14ac:dyDescent="0.25"/>
    <row r="28" spans="3:23" s="36" customFormat="1" x14ac:dyDescent="0.25">
      <c r="Q28" s="74"/>
      <c r="R28" s="74"/>
      <c r="S28" s="70"/>
      <c r="T28" s="70"/>
    </row>
    <row r="29" spans="3:23" s="36" customFormat="1" x14ac:dyDescent="0.25">
      <c r="Q29" s="74"/>
      <c r="R29" s="74"/>
      <c r="S29" s="70"/>
      <c r="T29" s="70"/>
    </row>
    <row r="30" spans="3:23" s="36" customFormat="1" x14ac:dyDescent="0.25">
      <c r="Q30" s="74"/>
      <c r="R30" s="74"/>
      <c r="S30" s="70"/>
      <c r="T30" s="70"/>
    </row>
    <row r="31" spans="3:23" s="36" customFormat="1" x14ac:dyDescent="0.25">
      <c r="Q31" s="74"/>
      <c r="R31" s="74"/>
      <c r="S31" s="70"/>
      <c r="T31" s="70"/>
    </row>
    <row r="32" spans="3:23" s="36" customFormat="1" x14ac:dyDescent="0.25"/>
    <row r="33" s="36" customFormat="1" x14ac:dyDescent="0.25"/>
    <row r="34" s="36" customFormat="1" x14ac:dyDescent="0.25"/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Vegetation management summary</vt:lpstr>
      <vt:lpstr>Divison of responsibility</vt:lpstr>
      <vt:lpstr>Bushfire obligations</vt:lpstr>
      <vt:lpstr>Customer weights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2019-09-23T00:50:56Z</dcterms:modified>
</cp:coreProperties>
</file>