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EQ SAPN 2020-25\EQ Opex models\Alternative estimate and replicated opex models\Alternative estimate\For publication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G62" i="55" l="1"/>
  <c r="F62" i="55"/>
  <c r="F61" i="55"/>
  <c r="G61" i="55" s="1"/>
  <c r="G60" i="55"/>
  <c r="F60" i="55"/>
  <c r="F64" i="55" s="1"/>
  <c r="F59" i="55"/>
  <c r="G59" i="55" s="1"/>
  <c r="G58" i="55"/>
  <c r="F63" i="55" l="1"/>
  <c r="G63" i="55" s="1"/>
  <c r="G64" i="55"/>
  <c r="F37" i="42" l="1"/>
  <c r="F40" i="42" l="1"/>
  <c r="G57" i="55" l="1"/>
  <c r="G56" i="55"/>
  <c r="F56" i="55"/>
  <c r="G55" i="55"/>
  <c r="R104" i="2" l="1"/>
  <c r="S104" i="2" s="1"/>
  <c r="T104" i="2" s="1"/>
  <c r="Q104" i="2"/>
  <c r="T38" i="2" l="1"/>
  <c r="S38" i="2" l="1"/>
  <c r="Q38" i="2"/>
  <c r="R38" i="2"/>
  <c r="P38" i="2"/>
  <c r="G54" i="55" l="1"/>
  <c r="G53" i="55"/>
  <c r="G52" i="55"/>
  <c r="G51" i="55"/>
  <c r="G50" i="55"/>
  <c r="F47" i="58" l="1"/>
  <c r="F42" i="58"/>
  <c r="F43" i="58"/>
  <c r="F44" i="58"/>
  <c r="F45" i="58"/>
  <c r="F41" i="58"/>
  <c r="C78" i="4" l="1"/>
  <c r="K47" i="58" l="1"/>
  <c r="L47" i="58"/>
  <c r="M47" i="58"/>
  <c r="N47" i="58"/>
  <c r="O47" i="58"/>
  <c r="P47" i="58"/>
  <c r="Q47" i="58"/>
  <c r="R47" i="58"/>
  <c r="S47" i="58"/>
  <c r="J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W91" i="2" l="1"/>
  <c r="C95" i="2"/>
  <c r="C96" i="2"/>
  <c r="C97" i="2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N34" i="58" l="1"/>
  <c r="R34" i="58"/>
  <c r="R96" i="2"/>
  <c r="R95" i="2"/>
  <c r="R98" i="2"/>
  <c r="R97" i="2"/>
  <c r="K97" i="2"/>
  <c r="K96" i="2"/>
  <c r="K95" i="2"/>
  <c r="K98" i="2"/>
  <c r="O97" i="2"/>
  <c r="O96" i="2"/>
  <c r="O95" i="2"/>
  <c r="O98" i="2"/>
  <c r="S97" i="2"/>
  <c r="S96" i="2"/>
  <c r="S95" i="2"/>
  <c r="S98" i="2"/>
  <c r="L98" i="2"/>
  <c r="L97" i="2"/>
  <c r="L96" i="2"/>
  <c r="L95" i="2"/>
  <c r="P98" i="2"/>
  <c r="P97" i="2"/>
  <c r="P96" i="2"/>
  <c r="P95" i="2"/>
  <c r="T98" i="2"/>
  <c r="T97" i="2"/>
  <c r="T95" i="2"/>
  <c r="T96" i="2"/>
  <c r="N96" i="2"/>
  <c r="N97" i="2"/>
  <c r="N98" i="2"/>
  <c r="N95" i="2"/>
  <c r="M95" i="2"/>
  <c r="M98" i="2"/>
  <c r="M97" i="2"/>
  <c r="M96" i="2"/>
  <c r="Q95" i="2"/>
  <c r="Q98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C40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M58" i="42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J68" i="42" l="1" a="1"/>
  <c r="J68" i="42" s="1"/>
  <c r="J61" i="42"/>
  <c r="L68" i="42" a="1"/>
  <c r="L68" i="42" s="1"/>
  <c r="L61" i="42"/>
  <c r="M61" i="42"/>
  <c r="K68" i="42" a="1"/>
  <c r="K68" i="42" s="1"/>
  <c r="K61" i="42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S1" i="53"/>
  <c r="G14" i="16" s="1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O20" i="2" s="1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26" i="42" s="1"/>
  <c r="R30" i="2"/>
  <c r="T30" i="2"/>
  <c r="E26" i="2"/>
  <c r="D26" i="2"/>
  <c r="S26" i="2"/>
  <c r="R26" i="2"/>
  <c r="Q26" i="2"/>
  <c r="T26" i="2"/>
  <c r="D19" i="2"/>
  <c r="E19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P13" i="42" s="1"/>
  <c r="P26" i="42" s="1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13" i="42"/>
  <c r="M26" i="42" s="1"/>
  <c r="M27" i="2"/>
  <c r="N16" i="2" l="1"/>
  <c r="N25" i="2" s="1"/>
  <c r="N13" i="42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O16" i="2" l="1"/>
  <c r="L24" i="42" s="1"/>
  <c r="Q24" i="42"/>
  <c r="S15" i="42"/>
  <c r="L22" i="42"/>
  <c r="J24" i="42"/>
  <c r="N24" i="42"/>
  <c r="P22" i="42"/>
  <c r="J22" i="42"/>
  <c r="M24" i="42"/>
  <c r="Q22" i="42"/>
  <c r="S17" i="42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N29" i="42" s="1"/>
  <c r="N26" i="2"/>
  <c r="O27" i="2"/>
  <c r="P25" i="2"/>
  <c r="O25" i="2"/>
  <c r="K30" i="2"/>
  <c r="K17" i="42" l="1"/>
  <c r="N22" i="42"/>
  <c r="S22" i="42"/>
  <c r="J79" i="42"/>
  <c r="L76" i="42"/>
  <c r="R76" i="42"/>
  <c r="J50" i="42"/>
  <c r="R90" i="42"/>
  <c r="R14" i="44" s="1"/>
  <c r="P76" i="42"/>
  <c r="L44" i="42"/>
  <c r="L47" i="42"/>
  <c r="R75" i="42"/>
  <c r="S41" i="42"/>
  <c r="O79" i="42"/>
  <c r="Q78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O78" i="42"/>
  <c r="J91" i="42"/>
  <c r="P78" i="42"/>
  <c r="Q47" i="42"/>
  <c r="O47" i="42"/>
  <c r="K92" i="42"/>
  <c r="S82" i="42"/>
  <c r="L75" i="42"/>
  <c r="R78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Q14" i="44" s="1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M29" i="42"/>
  <c r="Q82" i="42"/>
  <c r="N82" i="42"/>
  <c r="Q29" i="42"/>
  <c r="J78" i="42"/>
  <c r="K80" i="42"/>
  <c r="S90" i="42"/>
  <c r="S78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S47" i="42"/>
  <c r="M44" i="42"/>
  <c r="J82" i="42"/>
  <c r="L90" i="42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O29" i="42"/>
  <c r="M50" i="42"/>
  <c r="J90" i="42"/>
  <c r="L92" i="42"/>
  <c r="J41" i="42"/>
  <c r="L78" i="42"/>
  <c r="Q44" i="42"/>
  <c r="O82" i="42"/>
  <c r="K81" i="42"/>
  <c r="L82" i="42"/>
  <c r="Q41" i="42"/>
  <c r="Q75" i="42"/>
  <c r="Q50" i="42"/>
  <c r="J92" i="42"/>
  <c r="O77" i="42"/>
  <c r="O90" i="42"/>
  <c r="O14" i="44" s="1"/>
  <c r="N41" i="42"/>
  <c r="P44" i="42"/>
  <c r="P90" i="42"/>
  <c r="P14" i="44" s="1"/>
  <c r="L29" i="42"/>
  <c r="N78" i="42"/>
  <c r="N75" i="42"/>
  <c r="O76" i="42"/>
  <c r="K90" i="42"/>
  <c r="K94" i="42" s="1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N14" i="44"/>
  <c r="M14" i="44"/>
  <c r="J13" i="42"/>
  <c r="J26" i="42" s="1"/>
  <c r="J20" i="42"/>
  <c r="O26" i="2"/>
  <c r="O33" i="42"/>
  <c r="K84" i="42" l="1"/>
  <c r="M94" i="42"/>
  <c r="R84" i="42"/>
  <c r="J94" i="42"/>
  <c r="S84" i="42"/>
  <c r="R94" i="42"/>
  <c r="O84" i="42"/>
  <c r="Q94" i="42"/>
  <c r="P84" i="42"/>
  <c r="S94" i="42"/>
  <c r="N84" i="42"/>
  <c r="P52" i="42"/>
  <c r="P54" i="42" s="1"/>
  <c r="R52" i="42"/>
  <c r="R54" i="42" s="1"/>
  <c r="L94" i="42"/>
  <c r="N94" i="42"/>
  <c r="Q84" i="42"/>
  <c r="J52" i="42"/>
  <c r="J54" i="42" s="1"/>
  <c r="O94" i="42"/>
  <c r="S14" i="44"/>
  <c r="P94" i="42"/>
  <c r="J84" i="42"/>
  <c r="L84" i="42"/>
  <c r="M84" i="42"/>
  <c r="S52" i="42"/>
  <c r="S54" i="42" s="1"/>
  <c r="Q52" i="42"/>
  <c r="Q54" i="42" s="1"/>
  <c r="K52" i="42"/>
  <c r="K54" i="42" s="1"/>
  <c r="L35" i="42"/>
  <c r="M35" i="42"/>
  <c r="L33" i="42"/>
  <c r="L52" i="42" s="1"/>
  <c r="N35" i="42"/>
  <c r="O52" i="42"/>
  <c r="O54" i="42" s="1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0" i="42"/>
  <c r="N13" i="44" s="1"/>
  <c r="N101" i="42" l="1"/>
  <c r="N102" i="42" s="1"/>
  <c r="Q100" i="42"/>
  <c r="Q101" i="42"/>
  <c r="S101" i="42"/>
  <c r="R100" i="42"/>
  <c r="P101" i="42"/>
  <c r="R101" i="42"/>
  <c r="O101" i="42"/>
  <c r="O100" i="42"/>
  <c r="P100" i="42"/>
  <c r="S100" i="42"/>
  <c r="P102" i="42" l="1"/>
  <c r="S102" i="42"/>
  <c r="Q102" i="42"/>
  <c r="O102" i="42"/>
  <c r="S13" i="44"/>
  <c r="R13" i="44"/>
  <c r="O13" i="44"/>
  <c r="P13" i="44"/>
  <c r="Q13" i="44"/>
  <c r="R102" i="42"/>
</calcChain>
</file>

<file path=xl/sharedStrings.xml><?xml version="1.0" encoding="utf-8"?>
<sst xmlns="http://schemas.openxmlformats.org/spreadsheetml/2006/main" count="706" uniqueCount="211">
  <si>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</si>
  <si>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</si>
  <si>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</si>
  <si>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</si>
  <si>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</si>
  <si>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</si>
  <si>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</si>
  <si>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</si>
  <si>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</si>
  <si>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</si>
  <si>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</si>
  <si>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</si>
  <si>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</si>
  <si>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</si>
  <si>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</si>
  <si>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</si>
  <si>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</si>
  <si>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</si>
  <si>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</si>
  <si>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</si>
  <si>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</si>
  <si>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</si>
  <si>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</si>
  <si>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</si>
  <si>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</si>
  <si>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</si>
  <si>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</si>
  <si>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</si>
  <si>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</si>
  <si>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</si>
  <si>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</si>
  <si>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</si>
  <si>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</si>
  <si>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</si>
  <si>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</si>
  <si>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</si>
  <si>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</si>
  <si>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</si>
  <si>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</si>
  <si>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</si>
  <si>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</si>
  <si>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</si>
  <si>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</si>
  <si>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</si>
  <si>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</si>
  <si>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</si>
  <si>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</si>
  <si>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</si>
  <si>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</si>
  <si>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</si>
  <si>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</si>
  <si>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</si>
  <si>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</si>
  <si>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</si>
  <si>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</si>
  <si>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</si>
  <si>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</si>
  <si>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</si>
  <si>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</si>
  <si>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</si>
  <si>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</si>
  <si>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</si>
  <si>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</si>
  <si>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</si>
  <si>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</si>
  <si>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</si>
  <si>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</si>
  <si>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</si>
  <si>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</si>
  <si>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</si>
  <si>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</si>
  <si>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</si>
  <si>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</si>
  <si>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</si>
  <si>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</si>
  <si>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</si>
  <si>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</si>
  <si>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</si>
  <si>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</si>
  <si>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</si>
  <si>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</si>
  <si>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</si>
  <si>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</si>
  <si>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</si>
  <si>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</si>
  <si>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</si>
  <si>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</si>
  <si>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</si>
  <si>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</si>
  <si>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</si>
  <si>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</si>
  <si>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</si>
  <si>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</si>
  <si>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</si>
  <si>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</si>
  <si>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</si>
  <si>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</si>
  <si>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</si>
  <si>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</si>
  <si>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</si>
  <si>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</si>
  <si>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</si>
  <si>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</si>
  <si>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</si>
  <si>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</si>
  <si>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</si>
  <si>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</si>
  <si>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</si>
  <si>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</si>
  <si>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</si>
  <si>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</si>
  <si>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</si>
  <si>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</si>
  <si>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</si>
  <si>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</si>
  <si>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</si>
  <si>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</si>
  <si>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</si>
  <si>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</si>
  <si>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</si>
  <si>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</si>
  <si>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Input | Category specifc forecasts</t>
  </si>
  <si>
    <t>Network support costs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</si>
  <si>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</si>
  <si>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</si>
  <si>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</si>
  <si>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</si>
  <si>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</si>
  <si>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</si>
  <si>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</si>
  <si>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</si>
  <si>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</si>
  <si>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</si>
  <si>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</si>
  <si>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</si>
  <si>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</si>
  <si>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</si>
  <si>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</si>
  <si>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</si>
  <si>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</si>
  <si>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</si>
  <si>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</si>
  <si>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</si>
  <si>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</si>
  <si>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</si>
  <si>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</si>
  <si>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</si>
  <si>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</si>
  <si>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</si>
  <si>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</si>
  <si>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</si>
  <si>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</si>
  <si>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</si>
  <si>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</si>
  <si>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</si>
  <si>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</si>
  <si>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</si>
  <si>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</si>
  <si>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</si>
  <si>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</si>
  <si>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</si>
  <si>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</si>
  <si>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</si>
  <si>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</si>
  <si>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</si>
  <si>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</si>
  <si>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</si>
  <si>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</si>
  <si>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</si>
  <si>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</si>
  <si>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</si>
  <si>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</si>
  <si>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</si>
  <si>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</si>
  <si>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</si>
  <si>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</si>
  <si>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</si>
  <si>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</si>
  <si>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</si>
  <si>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</si>
  <si>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</si>
  <si>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</si>
  <si>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</si>
  <si>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</si>
  <si>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</si>
  <si>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</si>
  <si>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</si>
  <si>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</si>
  <si>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</si>
  <si>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</si>
  <si>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</si>
  <si>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</si>
  <si>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</si>
  <si>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</si>
  <si>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</si>
  <si>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</si>
  <si>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</si>
  <si>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</si>
  <si>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Energex</t>
  </si>
  <si>
    <t>Cost allocation method adjustment</t>
  </si>
  <si>
    <t>Service classification adjustment</t>
  </si>
  <si>
    <t>Non recurring costs</t>
  </si>
  <si>
    <t>Operational Improvements</t>
  </si>
  <si>
    <t>19/20 Merger Savings not in Base</t>
  </si>
  <si>
    <t>WPI - BIS</t>
  </si>
  <si>
    <t>WPI - average of DAE and BIS</t>
  </si>
  <si>
    <t xml:space="preserve">Interpolated </t>
  </si>
  <si>
    <t>https://www.abs.gov.au/AUSSTATS/abs@.nsf/DetailsPage/6401.0Jun%202019?OpenDocument</t>
  </si>
  <si>
    <t>RBA Statement on Monetary Policy inflation forecast,  August 2019, Forecast Table - August 2019</t>
  </si>
  <si>
    <t>https://www.rba.gov.au/publications/smp/2019/aug/pdf/forecast-table-2019-08.pdf</t>
  </si>
  <si>
    <t>Adjustment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</si>
</sst>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.000_-;\-* #,##0.000_-;_-* &quot;-&quot;??_-;_-@_-"/>
  </numFmts>
  <fonts count="9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name val="Arial"/>
    </font>
    <font>
      <b/>
      <sz val="12"/>
      <color theme="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83">
    <xf numFmtId="0" fontId="0" fillId="0" borderId="0"/>
    <xf numFmtId="166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67" fontId="14" fillId="0" borderId="5">
      <alignment horizontal="right" vertical="center"/>
      <protection locked="0"/>
    </xf>
    <xf numFmtId="43" fontId="1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14" fillId="0" borderId="0"/>
    <xf numFmtId="174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42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75" fontId="21" fillId="4" borderId="0" applyNumberFormat="0" applyFont="0" applyBorder="0" applyAlignment="0">
      <alignment horizontal="right"/>
    </xf>
    <xf numFmtId="17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41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8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75" fontId="21" fillId="36" borderId="0" applyFont="0" applyBorder="0" applyAlignment="0">
      <alignment horizontal="right"/>
      <protection locked="0"/>
    </xf>
    <xf numFmtId="175" fontId="21" fillId="36" borderId="0" applyFont="0" applyBorder="0" applyAlignment="0">
      <alignment horizontal="right"/>
      <protection locked="0"/>
    </xf>
    <xf numFmtId="181" fontId="21" fillId="6" borderId="0" applyFont="0" applyBorder="0">
      <alignment horizontal="right"/>
      <protection locked="0"/>
    </xf>
    <xf numFmtId="181" fontId="21" fillId="6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17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2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3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4" fontId="21" fillId="0" borderId="0" applyFill="0" applyBorder="0"/>
    <xf numFmtId="184" fontId="21" fillId="0" borderId="0" applyFill="0" applyBorder="0"/>
    <xf numFmtId="184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0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5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6" fontId="21" fillId="0" borderId="0"/>
    <xf numFmtId="186" fontId="21" fillId="0" borderId="0"/>
    <xf numFmtId="186" fontId="21" fillId="0" borderId="0"/>
    <xf numFmtId="187" fontId="14" fillId="0" borderId="0" applyFill="0" applyBorder="0">
      <alignment horizontal="right" vertical="center"/>
    </xf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2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190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5" fillId="42" borderId="0"/>
    <xf numFmtId="200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9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1" fontId="21" fillId="50" borderId="0" applyFont="0" applyBorder="0" applyAlignment="0">
      <alignment horizontal="right"/>
      <protection locked="0"/>
    </xf>
    <xf numFmtId="41" fontId="21" fillId="10" borderId="0" applyFont="0" applyBorder="0">
      <alignment horizontal="right"/>
      <protection locked="0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/>
    <xf numFmtId="0" fontId="84" fillId="52" borderId="0">
      <alignment horizontal="left" vertical="center"/>
      <protection locked="0"/>
    </xf>
    <xf numFmtId="0" fontId="92" fillId="51" borderId="0">
      <alignment vertical="center"/>
      <protection locked="0"/>
    </xf>
    <xf numFmtId="0" fontId="21" fillId="0" borderId="0" applyFill="0"/>
    <xf numFmtId="0" fontId="9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4" fontId="5" fillId="3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4" fontId="11" fillId="0" borderId="0" xfId="0" applyNumberFormat="1" applyFont="1"/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43" fontId="11" fillId="0" borderId="6" xfId="0" applyNumberFormat="1" applyFont="1" applyBorder="1" applyAlignment="1">
      <alignment horizontal="center"/>
    </xf>
    <xf numFmtId="164" fontId="16" fillId="0" borderId="0" xfId="3" applyNumberFormat="1" applyFont="1" applyAlignment="1" applyProtection="1"/>
    <xf numFmtId="164" fontId="6" fillId="3" borderId="0" xfId="0" applyNumberFormat="1" applyFont="1" applyFill="1"/>
    <xf numFmtId="164" fontId="17" fillId="0" borderId="0" xfId="0" applyNumberFormat="1" applyFont="1" applyAlignment="1">
      <alignment horizontal="center"/>
    </xf>
    <xf numFmtId="169" fontId="14" fillId="0" borderId="0" xfId="5" applyNumberFormat="1" applyFont="1" applyFill="1" applyBorder="1" applyAlignment="1" applyProtection="1">
      <alignment horizontal="center" vertical="center"/>
    </xf>
    <xf numFmtId="170" fontId="11" fillId="0" borderId="0" xfId="5" applyNumberFormat="1" applyFont="1" applyFill="1" applyBorder="1" applyAlignment="1" applyProtection="1">
      <alignment horizontal="center" vertical="center"/>
    </xf>
    <xf numFmtId="170" fontId="19" fillId="0" borderId="0" xfId="5" applyNumberFormat="1" applyFont="1" applyFill="1" applyBorder="1" applyAlignment="1" applyProtection="1">
      <alignment horizontal="center" vertical="center"/>
    </xf>
    <xf numFmtId="171" fontId="5" fillId="0" borderId="0" xfId="0" applyNumberFormat="1" applyFont="1"/>
    <xf numFmtId="173" fontId="14" fillId="0" borderId="0" xfId="5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Protection="1"/>
    <xf numFmtId="164" fontId="6" fillId="3" borderId="0" xfId="0" applyNumberFormat="1" applyFont="1" applyFill="1" applyAlignment="1" applyProtection="1">
      <alignment horizontal="center"/>
    </xf>
    <xf numFmtId="164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164" fontId="11" fillId="0" borderId="0" xfId="0" applyNumberFormat="1" applyFont="1" applyProtection="1"/>
    <xf numFmtId="164" fontId="1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5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4" fontId="17" fillId="0" borderId="0" xfId="0" applyNumberFormat="1" applyFont="1" applyAlignment="1" applyProtection="1">
      <alignment horizontal="center" wrapText="1"/>
    </xf>
    <xf numFmtId="191" fontId="5" fillId="41" borderId="3" xfId="0" applyNumberFormat="1" applyFont="1" applyFill="1" applyBorder="1" applyAlignment="1" applyProtection="1">
      <alignment horizontal="center"/>
      <protection locked="0"/>
    </xf>
    <xf numFmtId="195" fontId="5" fillId="0" borderId="0" xfId="0" applyNumberFormat="1" applyFont="1" applyAlignment="1" applyProtection="1">
      <alignment horizontal="left"/>
    </xf>
    <xf numFmtId="193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Protection="1"/>
    <xf numFmtId="164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43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4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7" fillId="0" borderId="0" xfId="0" applyNumberFormat="1" applyFont="1" applyFill="1" applyBorder="1" applyProtection="1"/>
    <xf numFmtId="164" fontId="6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Alignment="1" applyProtection="1">
      <alignment horizontal="center"/>
    </xf>
    <xf numFmtId="164" fontId="16" fillId="0" borderId="0" xfId="3" applyNumberFormat="1" applyFont="1" applyFill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left" indent="1"/>
    </xf>
    <xf numFmtId="164" fontId="6" fillId="0" borderId="7" xfId="0" applyNumberFormat="1" applyFont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left" indent="1"/>
    </xf>
    <xf numFmtId="164" fontId="6" fillId="0" borderId="8" xfId="0" applyNumberFormat="1" applyFont="1" applyBorder="1" applyAlignment="1" applyProtection="1">
      <alignment horizontal="center"/>
    </xf>
    <xf numFmtId="196" fontId="7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4" fontId="7" fillId="0" borderId="8" xfId="0" applyNumberFormat="1" applyFont="1" applyBorder="1" applyProtection="1"/>
    <xf numFmtId="172" fontId="5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left" indent="2"/>
    </xf>
    <xf numFmtId="164" fontId="17" fillId="0" borderId="8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Border="1" applyProtection="1"/>
    <xf numFmtId="193" fontId="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9" fontId="7" fillId="0" borderId="0" xfId="0" applyNumberFormat="1" applyFont="1" applyAlignment="1" applyProtection="1">
      <alignment horizontal="center"/>
    </xf>
    <xf numFmtId="197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43" fontId="11" fillId="0" borderId="3" xfId="0" applyNumberFormat="1" applyFont="1" applyBorder="1" applyAlignment="1" applyProtection="1">
      <alignment horizontal="center"/>
    </xf>
    <xf numFmtId="43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4" fontId="7" fillId="0" borderId="7" xfId="0" applyNumberFormat="1" applyFont="1" applyBorder="1" applyProtection="1"/>
    <xf numFmtId="164" fontId="5" fillId="0" borderId="7" xfId="0" applyNumberFormat="1" applyFont="1" applyBorder="1" applyProtection="1"/>
    <xf numFmtId="164" fontId="7" fillId="0" borderId="4" xfId="0" applyNumberFormat="1" applyFont="1" applyBorder="1" applyAlignment="1" applyProtection="1">
      <alignment horizontal="left"/>
    </xf>
    <xf numFmtId="164" fontId="6" fillId="0" borderId="4" xfId="0" applyNumberFormat="1" applyFont="1" applyBorder="1" applyAlignment="1" applyProtection="1">
      <alignment horizontal="center"/>
    </xf>
    <xf numFmtId="43" fontId="5" fillId="0" borderId="0" xfId="0" applyNumberFormat="1" applyFont="1" applyProtection="1"/>
    <xf numFmtId="164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4" fontId="6" fillId="0" borderId="0" xfId="6" applyNumberFormat="1" applyFont="1" applyAlignment="1" applyProtection="1">
      <alignment horizontal="center"/>
    </xf>
    <xf numFmtId="168" fontId="14" fillId="0" borderId="0" xfId="2" applyNumberFormat="1" applyFont="1" applyFill="1" applyBorder="1" applyAlignment="1" applyProtection="1">
      <alignment horizontal="center" vertical="center"/>
    </xf>
    <xf numFmtId="172" fontId="5" fillId="0" borderId="0" xfId="0" applyNumberFormat="1" applyFont="1" applyProtection="1"/>
    <xf numFmtId="164" fontId="5" fillId="0" borderId="0" xfId="0" applyNumberFormat="1" applyFont="1" applyAlignment="1" applyProtection="1">
      <alignment horizontal="left"/>
    </xf>
    <xf numFmtId="192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4" fontId="6" fillId="41" borderId="3" xfId="2" applyNumberFormat="1" applyFont="1" applyFill="1" applyBorder="1" applyAlignment="1" applyProtection="1">
      <alignment horizontal="center"/>
      <protection locked="0"/>
    </xf>
    <xf numFmtId="198" fontId="7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Protection="1">
      <protection locked="0"/>
    </xf>
    <xf numFmtId="201" fontId="7" fillId="0" borderId="0" xfId="0" applyNumberFormat="1" applyFont="1" applyAlignment="1" applyProtection="1">
      <alignment horizontal="center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4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4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9" fontId="7" fillId="0" borderId="0" xfId="0" applyNumberFormat="1" applyFont="1" applyBorder="1" applyAlignment="1" applyProtection="1">
      <alignment horizontal="center"/>
    </xf>
    <xf numFmtId="196" fontId="7" fillId="0" borderId="0" xfId="0" applyNumberFormat="1" applyFont="1" applyBorder="1" applyAlignment="1" applyProtection="1">
      <alignment horizontal="center"/>
    </xf>
    <xf numFmtId="164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3" fontId="5" fillId="0" borderId="0" xfId="0" applyNumberFormat="1" applyFont="1" applyProtection="1">
      <protection locked="0"/>
    </xf>
    <xf numFmtId="193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0" fontId="5" fillId="0" borderId="0" xfId="2" applyNumberFormat="1" applyFont="1" applyAlignment="1" applyProtection="1">
      <alignment horizontal="center"/>
      <protection locked="0"/>
    </xf>
    <xf numFmtId="170" fontId="11" fillId="0" borderId="0" xfId="5" applyNumberFormat="1" applyFont="1" applyFill="1" applyBorder="1" applyAlignment="1" applyProtection="1">
      <alignment horizontal="center" vertical="center"/>
      <protection locked="0"/>
    </xf>
    <xf numFmtId="164" fontId="14" fillId="0" borderId="0" xfId="5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4" fontId="17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80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92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>
      <alignment horizontal="center"/>
    </xf>
    <xf numFmtId="164" fontId="6" fillId="41" borderId="3" xfId="0" applyNumberFormat="1" applyFont="1" applyFill="1" applyBorder="1" applyAlignment="1" applyProtection="1">
      <alignment horizontal="center"/>
    </xf>
    <xf numFmtId="203" fontId="6" fillId="41" borderId="3" xfId="0" applyNumberFormat="1" applyFont="1" applyFill="1" applyBorder="1" applyAlignment="1" applyProtection="1">
      <alignment horizontal="center"/>
    </xf>
    <xf numFmtId="10" fontId="5" fillId="0" borderId="0" xfId="2" applyNumberFormat="1" applyFont="1" applyProtection="1"/>
    <xf numFmtId="43" fontId="5" fillId="0" borderId="0" xfId="0" applyNumberFormat="1" applyFont="1" applyAlignment="1" applyProtection="1">
      <alignment horizontal="left" indent="1"/>
    </xf>
    <xf numFmtId="206" fontId="6" fillId="0" borderId="0" xfId="0" applyNumberFormat="1" applyFont="1" applyAlignment="1" applyProtection="1">
      <alignment horizontal="center"/>
    </xf>
    <xf numFmtId="0" fontId="13" fillId="0" borderId="0" xfId="3"/>
    <xf numFmtId="10" fontId="5" fillId="0" borderId="0" xfId="2" applyNumberFormat="1" applyFont="1" applyAlignment="1" applyProtection="1">
      <alignment horizontal="center"/>
      <protection locked="0"/>
    </xf>
    <xf numFmtId="203" fontId="7" fillId="0" borderId="0" xfId="0" applyNumberFormat="1" applyFont="1" applyFill="1" applyBorder="1" applyAlignment="1" applyProtection="1">
      <alignment horizontal="center"/>
    </xf>
    <xf numFmtId="43" fontId="5" fillId="0" borderId="0" xfId="6" applyFont="1" applyFill="1" applyBorder="1" applyProtection="1"/>
    <xf numFmtId="43" fontId="5" fillId="0" borderId="0" xfId="6" applyNumberFormat="1" applyFont="1" applyFill="1" applyBorder="1" applyProtection="1"/>
    <xf numFmtId="203" fontId="6" fillId="0" borderId="0" xfId="0" applyNumberFormat="1" applyFont="1" applyFill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</cellXfs>
  <cellStyles count="283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77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2 2 2" xfId="270"/>
    <cellStyle name="Currency 2 2 3" xfId="280"/>
    <cellStyle name="Currency 2 3" xfId="271"/>
    <cellStyle name="Currency 2 3 2" xfId="281"/>
    <cellStyle name="Currency 3" xfId="91"/>
    <cellStyle name="Currency 3 2" xfId="92"/>
    <cellStyle name="Currency 4" xfId="93"/>
    <cellStyle name="Currency 4 2" xfId="94"/>
    <cellStyle name="Currency 5" xfId="243"/>
    <cellStyle name="Currency 6" xfId="266"/>
    <cellStyle name="Currency 7" xfId="278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1 3" xfId="267"/>
    <cellStyle name="Input2" xfId="127"/>
    <cellStyle name="Input2 2" xfId="128"/>
    <cellStyle name="Input3" xfId="129"/>
    <cellStyle name="Input3 2" xfId="130"/>
    <cellStyle name="Input3 3" xfId="268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14" xfId="275"/>
    <cellStyle name="Normal 12" xfId="276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 4" xfId="272"/>
    <cellStyle name="Normal 4 5" xfId="282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6" xfId="269"/>
    <cellStyle name="Percent 7" xfId="179"/>
    <cellStyle name="Percent 8" xfId="2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ableLvl2" xfId="273"/>
    <cellStyle name="TableLvl3" xfId="274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rba.gov.au/publications/smp/2019/aug/pdf/forecast-table-2019-08.pdf" TargetMode="External"/><Relationship Id="rId1" Type="http://schemas.openxmlformats.org/officeDocument/2006/relationships/hyperlink" Target="https://www.abs.gov.au/AUSSTATS/abs@.nsf/DetailsPage/6401.0Jun%202019?OpenDocum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176</v>
      </c>
    </row>
    <row r="13" spans="1:47">
      <c r="C13" s="19" t="s">
        <v>55</v>
      </c>
      <c r="D13" s="7" t="s">
        <v>177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1" location="'Input|Step changes'!A1" display="Input | Step changes"/>
    <hyperlink ref="C8" location="'Input|Inflation'!A1" display="Input | Inflation"/>
    <hyperlink ref="C10" location="'Input|Rate of change'!A1" display="Input | Rate of change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="115" zoomScaleNormal="115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198</v>
      </c>
      <c r="H7" s="29"/>
      <c r="I7" s="29"/>
      <c r="S7" s="131" t="str">
        <f>IF(COUNTBLANK($G7),"Check","Ok")</f>
        <v>Ok</v>
      </c>
    </row>
    <row r="8" spans="1:47">
      <c r="C8" s="29" t="s">
        <v>142</v>
      </c>
      <c r="D8" s="30" t="s">
        <v>73</v>
      </c>
      <c r="E8" s="29"/>
      <c r="F8" s="29"/>
      <c r="G8" s="52" t="s">
        <v>143</v>
      </c>
      <c r="H8" s="29"/>
      <c r="I8" s="29"/>
      <c r="S8" s="131" t="str">
        <f>IF(COUNTBLANK($G8),"Check","Ok")</f>
        <v>Ok</v>
      </c>
    </row>
    <row r="9" spans="1:47">
      <c r="C9" s="29" t="s">
        <v>126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157</v>
      </c>
      <c r="D10" s="30" t="s">
        <v>72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158</v>
      </c>
      <c r="D12" s="30" t="s">
        <v>72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  <row r="27" spans="7:8" hidden="1"/>
  </sheetData>
  <dataConsolidate/>
  <conditionalFormatting sqref="W14:W15">
    <cfRule type="cellIs" dxfId="195" priority="13" operator="equal">
      <formula>"Check"</formula>
    </cfRule>
    <cfRule type="cellIs" dxfId="194" priority="14" operator="equal">
      <formula>"Ok"</formula>
    </cfRule>
  </conditionalFormatting>
  <conditionalFormatting sqref="V1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S7:S14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S1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3">
    <dataValidation type="list" allowBlank="1" showInputMessage="1" showErrorMessage="1" sqref="F12:F13 I12:I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4:F15">
      <formula1>"Real 2010,Real 2011,Real 2012,Real 2013,Real 2014,Real 2015,Nominal"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34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140</v>
      </c>
      <c r="F6" s="62" t="s">
        <v>102</v>
      </c>
      <c r="G6" s="62" t="s">
        <v>140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0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f>F52*1.018</f>
        <v>114.1178</v>
      </c>
      <c r="G56" s="117">
        <f t="shared" si="1"/>
        <v>1.8000000000000016E-2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 t="s">
        <v>23</v>
      </c>
      <c r="I58" s="220" t="s">
        <v>207</v>
      </c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115.42890129999999</v>
      </c>
      <c r="G59" s="117">
        <f t="shared" si="1"/>
        <v>1.6994725110132114E-2</v>
      </c>
      <c r="H59" s="189" t="s">
        <v>206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</f>
        <v>116.05780259999999</v>
      </c>
      <c r="G60" s="117">
        <f t="shared" si="1"/>
        <v>1.6999999999999904E-2</v>
      </c>
      <c r="H60" s="189" t="s">
        <v>208</v>
      </c>
      <c r="I60" s="29"/>
      <c r="J60" s="29"/>
      <c r="N60" s="220"/>
      <c r="P60" s="220" t="s">
        <v>209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116.40470129999999</v>
      </c>
      <c r="G61" s="117">
        <f t="shared" si="1"/>
        <v>2.019895968448715E-2</v>
      </c>
      <c r="H61" s="189" t="s">
        <v>206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F58*1.017</f>
        <v>116.75159999999998</v>
      </c>
      <c r="G62" s="117">
        <f t="shared" si="1"/>
        <v>1.6999999999999904E-2</v>
      </c>
      <c r="H62" s="189" t="s">
        <v>208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117.50725042469998</v>
      </c>
      <c r="G63" s="117">
        <f t="shared" si="1"/>
        <v>1.8005448386780865E-2</v>
      </c>
      <c r="H63" s="189" t="s">
        <v>206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F60*1.019</f>
        <v>118.26290084939998</v>
      </c>
      <c r="G64" s="117">
        <f t="shared" si="1"/>
        <v>1.8999999999999906E-2</v>
      </c>
      <c r="H64" s="189" t="s">
        <v>208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7" priority="11" operator="equal">
      <formula>"Check"</formula>
    </cfRule>
    <cfRule type="cellIs" dxfId="186" priority="12" operator="equal">
      <formula>"Ok"</formula>
    </cfRule>
  </conditionalFormatting>
  <conditionalFormatting sqref="W1">
    <cfRule type="cellIs" dxfId="185" priority="7" operator="equal">
      <formula>"Check"</formula>
    </cfRule>
    <cfRule type="cellIs" dxfId="184" priority="8" operator="equal">
      <formula>"Ok"</formula>
    </cfRule>
  </conditionalFormatting>
  <conditionalFormatting sqref="T1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X51:X57">
    <cfRule type="cellIs" dxfId="181" priority="3" operator="equal">
      <formula>"Check"</formula>
    </cfRule>
    <cfRule type="cellIs" dxfId="180" priority="4" operator="equal">
      <formula>"Ok"</formula>
    </cfRule>
  </conditionalFormatting>
  <conditionalFormatting sqref="X58:X62 T9:T64">
    <cfRule type="cellIs" dxfId="179" priority="1" operator="equal">
      <formula>"Check"</formula>
    </cfRule>
    <cfRule type="cellIs" dxfId="178" priority="2" operator="equal">
      <formula>"Ok"</formula>
    </cfRule>
  </conditionalFormatting>
  <dataValidations count="4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49 J58:J65">
      <formula1>#REF!</formula1>
    </dataValidation>
    <dataValidation type="list" allowBlank="1" showInputMessage="1" showErrorMessage="1" sqref="J50:J54">
      <formula1>#REF!</formula1>
    </dataValidation>
    <dataValidation type="list" allowBlank="1" showInputMessage="1" showErrorMessage="1" sqref="J55:J57">
      <formula1>#REF!</formula1>
    </dataValidation>
  </dataValidations>
  <hyperlinks>
    <hyperlink ref="K1" location="Index!A1" display="Back to Index"/>
    <hyperlink ref="V1" location="'Check|List'!A1" display="Overall Check:"/>
    <hyperlink ref="I58" r:id="rId1" display="https://www.abs.gov.au/AUSSTATS/abs@.nsf/DetailsPage/6401.0Jun 2019?OpenDocument"/>
    <hyperlink ref="P60" r:id="rId2"/>
  </hyperlinks>
  <pageMargins left="0.7" right="0.7" top="0.75" bottom="0.75" header="0.3" footer="0.3"/>
  <pageSetup paperSize="9" orientation="portrait" verticalDpi="4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19" zoomScale="115" zoomScaleNormal="115" workbookViewId="0">
      <selection activeCell="J13" sqref="J13:N13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16" width="10.83203125" style="103" customWidth="1"/>
    <col min="17" max="17" width="13.6640625" style="103" customWidth="1"/>
    <col min="18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126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42156</v>
      </c>
      <c r="G13" s="32"/>
      <c r="H13" s="32"/>
      <c r="I13" s="30"/>
      <c r="J13" s="164">
        <v>342.54118021556735</v>
      </c>
      <c r="K13" s="164">
        <v>339.34408681520932</v>
      </c>
      <c r="L13" s="164">
        <v>344.09258204281139</v>
      </c>
      <c r="M13" s="164">
        <v>355.00227054753572</v>
      </c>
      <c r="N13" s="164">
        <v>357.17743063607014</v>
      </c>
      <c r="O13" s="152"/>
      <c r="P13" s="152"/>
      <c r="Q13" s="152"/>
      <c r="R13" s="152"/>
      <c r="S13" s="152"/>
      <c r="T13" s="29" t="s">
        <v>178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342.54118021556735</v>
      </c>
      <c r="K15" s="129">
        <f t="shared" ref="K15:S15" si="1">K13</f>
        <v>339.34408681520932</v>
      </c>
      <c r="L15" s="129">
        <f t="shared" si="1"/>
        <v>344.09258204281139</v>
      </c>
      <c r="M15" s="129">
        <f t="shared" si="1"/>
        <v>355.00227054753572</v>
      </c>
      <c r="N15" s="129">
        <f t="shared" si="1"/>
        <v>357.17743063607014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6.5481802155673687</v>
      </c>
      <c r="K19" s="164">
        <v>6.7320868152092892</v>
      </c>
      <c r="L19" s="164">
        <v>6.907582042811363</v>
      </c>
      <c r="M19" s="164">
        <v>7.0382705475357392</v>
      </c>
      <c r="N19" s="164">
        <v>7.1554306360701716</v>
      </c>
      <c r="O19" s="152"/>
      <c r="P19" s="152"/>
      <c r="Q19" s="152"/>
      <c r="R19" s="152"/>
      <c r="S19" s="152"/>
      <c r="T19" s="29" t="s">
        <v>190</v>
      </c>
      <c r="U19" s="29"/>
      <c r="V19" s="29"/>
      <c r="W19" s="29"/>
    </row>
    <row r="20" spans="1:23">
      <c r="A20" s="29"/>
      <c r="B20" s="29"/>
      <c r="C20" s="61" t="s">
        <v>122</v>
      </c>
      <c r="D20" s="30" t="s">
        <v>73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165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6.5481802155673687</v>
      </c>
      <c r="K29" s="129">
        <f t="shared" ref="K29:S29" si="4">SUM(K19:K27)</f>
        <v>6.7320868152092892</v>
      </c>
      <c r="L29" s="129">
        <f t="shared" si="4"/>
        <v>6.907582042811363</v>
      </c>
      <c r="M29" s="129">
        <f t="shared" si="4"/>
        <v>7.0382705475357392</v>
      </c>
      <c r="N29" s="129">
        <f t="shared" si="4"/>
        <v>7.1554306360701716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5" t="str">
        <f>$E$56</f>
        <v>$millions</v>
      </c>
      <c r="F37" s="216" t="s">
        <v>105</v>
      </c>
      <c r="G37" s="32"/>
      <c r="H37" s="32"/>
      <c r="I37" s="30"/>
      <c r="J37" s="164"/>
      <c r="K37" s="164"/>
      <c r="L37" s="164"/>
      <c r="M37" s="164">
        <v>362.60284276532064</v>
      </c>
      <c r="N37" s="164"/>
      <c r="O37" s="152"/>
      <c r="P37" s="152"/>
      <c r="Q37" s="152"/>
      <c r="R37" s="152"/>
      <c r="S37" s="152"/>
      <c r="T37" s="29" t="s">
        <v>179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194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201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>
        <v>0</v>
      </c>
      <c r="N41" s="164"/>
      <c r="O41" s="152"/>
      <c r="P41" s="152"/>
      <c r="Q41" s="152"/>
      <c r="R41" s="152"/>
      <c r="S41" s="152"/>
      <c r="T41" s="29" t="s">
        <v>193</v>
      </c>
      <c r="U41" s="29"/>
      <c r="V41" s="29"/>
      <c r="W41" s="29"/>
    </row>
    <row r="42" spans="1:23">
      <c r="A42" s="29"/>
      <c r="B42" s="29"/>
      <c r="C42" s="61" t="s">
        <v>202</v>
      </c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>
        <v>0</v>
      </c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 t="s">
        <v>203</v>
      </c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>
        <v>0</v>
      </c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191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0</v>
      </c>
      <c r="K47" s="129">
        <f t="shared" ref="K47:S47" si="7">K37-SUM(K41:K45)</f>
        <v>0</v>
      </c>
      <c r="L47" s="129">
        <f t="shared" si="7"/>
        <v>0</v>
      </c>
      <c r="M47" s="129">
        <f t="shared" si="7"/>
        <v>362.60284276532064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190</v>
      </c>
      <c r="U51" s="29"/>
      <c r="V51" s="29"/>
      <c r="W51" s="29"/>
    </row>
    <row r="52" spans="1:23">
      <c r="A52" s="29"/>
      <c r="B52" s="29"/>
      <c r="C52" s="61" t="s">
        <v>122</v>
      </c>
      <c r="D52" s="30" t="s">
        <v>79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165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222"/>
      <c r="R61" s="222"/>
      <c r="S61" s="222"/>
      <c r="T61" s="198"/>
      <c r="U61" s="198"/>
      <c r="V61" s="198"/>
      <c r="W61" s="198"/>
    </row>
    <row r="62" spans="1:23">
      <c r="A62" s="29"/>
      <c r="B62" s="29"/>
      <c r="C62" s="61" t="s">
        <v>199</v>
      </c>
      <c r="D62" s="30" t="s">
        <v>34</v>
      </c>
      <c r="E62" s="30" t="str">
        <f>$E$56</f>
        <v>$millions</v>
      </c>
      <c r="F62" s="172">
        <v>43983</v>
      </c>
      <c r="G62" s="32"/>
      <c r="H62" s="32"/>
      <c r="I62" s="32"/>
      <c r="J62" s="164"/>
      <c r="K62" s="164"/>
      <c r="L62" s="164"/>
      <c r="M62" s="164"/>
      <c r="N62" s="164">
        <v>0</v>
      </c>
      <c r="O62" s="164"/>
      <c r="P62" s="164"/>
      <c r="Q62" s="164"/>
      <c r="S62" s="164"/>
      <c r="T62" s="198"/>
      <c r="U62" s="165"/>
      <c r="V62" s="165"/>
      <c r="W62" s="198"/>
    </row>
    <row r="63" spans="1:23">
      <c r="A63" s="29"/>
      <c r="B63" s="29"/>
      <c r="C63" s="61" t="s">
        <v>200</v>
      </c>
      <c r="D63" s="30" t="s">
        <v>34</v>
      </c>
      <c r="E63" s="30" t="str">
        <f t="shared" ref="E63:E68" si="11">$E$56</f>
        <v>$millions</v>
      </c>
      <c r="F63" s="172">
        <v>43983</v>
      </c>
      <c r="G63" s="32"/>
      <c r="H63" s="32"/>
      <c r="I63" s="32"/>
      <c r="J63" s="164"/>
      <c r="K63" s="164"/>
      <c r="L63" s="164"/>
      <c r="M63" s="164"/>
      <c r="N63" s="164">
        <v>1.4264106454174759</v>
      </c>
      <c r="O63" s="164"/>
      <c r="P63" s="164"/>
      <c r="Q63" s="164"/>
      <c r="R63" s="222"/>
      <c r="S63" s="164"/>
      <c r="T63" s="222"/>
      <c r="U63" s="223"/>
      <c r="V63" s="224"/>
      <c r="W63" s="198"/>
    </row>
    <row r="64" spans="1:23">
      <c r="A64" s="29"/>
      <c r="B64" s="29"/>
      <c r="C64" s="61" t="s">
        <v>210</v>
      </c>
      <c r="D64" s="30" t="s">
        <v>34</v>
      </c>
      <c r="E64" s="30" t="str">
        <f t="shared" si="11"/>
        <v>$millions</v>
      </c>
      <c r="F64" s="172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04"/>
      <c r="U64" s="165"/>
      <c r="V64" s="165"/>
      <c r="W64" s="198"/>
    </row>
    <row r="65" spans="1:23">
      <c r="A65" s="29"/>
      <c r="B65" s="29"/>
      <c r="C65" s="61" t="s">
        <v>119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04"/>
      <c r="U65" s="165"/>
      <c r="V65" s="165"/>
      <c r="W65" s="198"/>
    </row>
    <row r="66" spans="1:23">
      <c r="A66" s="29"/>
      <c r="B66" s="29"/>
      <c r="C66" s="61" t="s">
        <v>120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192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7" priority="35" operator="equal">
      <formula>"Check"</formula>
    </cfRule>
    <cfRule type="cellIs" dxfId="176" priority="36" operator="equal">
      <formula>"Ok"</formula>
    </cfRule>
  </conditionalFormatting>
  <conditionalFormatting sqref="W56">
    <cfRule type="cellIs" dxfId="175" priority="33" operator="equal">
      <formula>"Check"</formula>
    </cfRule>
    <cfRule type="cellIs" dxfId="174" priority="34" operator="equal">
      <formula>"Ok"</formula>
    </cfRule>
  </conditionalFormatting>
  <conditionalFormatting sqref="W15">
    <cfRule type="cellIs" dxfId="173" priority="31" operator="equal">
      <formula>"Check"</formula>
    </cfRule>
    <cfRule type="cellIs" dxfId="172" priority="32" operator="equal">
      <formula>"Ok"</formula>
    </cfRule>
  </conditionalFormatting>
  <conditionalFormatting sqref="V1">
    <cfRule type="cellIs" dxfId="171" priority="29" operator="equal">
      <formula>"Check"</formula>
    </cfRule>
    <cfRule type="cellIs" dxfId="170" priority="30" operator="equal">
      <formula>"Ok"</formula>
    </cfRule>
  </conditionalFormatting>
  <conditionalFormatting sqref="S1">
    <cfRule type="cellIs" dxfId="169" priority="27" operator="equal">
      <formula>"Check"</formula>
    </cfRule>
    <cfRule type="cellIs" dxfId="168" priority="28" operator="equal">
      <formula>"Ok"</formula>
    </cfRule>
  </conditionalFormatting>
  <conditionalFormatting sqref="J15:S15">
    <cfRule type="cellIs" dxfId="167" priority="26" operator="equal">
      <formula>0</formula>
    </cfRule>
  </conditionalFormatting>
  <conditionalFormatting sqref="J56:S56">
    <cfRule type="cellIs" dxfId="166" priority="25" operator="equal">
      <formula>0</formula>
    </cfRule>
  </conditionalFormatting>
  <conditionalFormatting sqref="W48:W50">
    <cfRule type="cellIs" dxfId="165" priority="23" operator="equal">
      <formula>"Check"</formula>
    </cfRule>
    <cfRule type="cellIs" dxfId="164" priority="24" operator="equal">
      <formula>"Ok"</formula>
    </cfRule>
  </conditionalFormatting>
  <conditionalFormatting sqref="J45:S45 N37:S37 J33:S33 J51:S54 J41:P44 S41:S44">
    <cfRule type="expression" dxfId="163" priority="21">
      <formula>J$34=J$4</formula>
    </cfRule>
  </conditionalFormatting>
  <conditionalFormatting sqref="J19:S27 J13:S13">
    <cfRule type="expression" dxfId="162" priority="20">
      <formula>J$10=J$4</formula>
    </cfRule>
  </conditionalFormatting>
  <conditionalFormatting sqref="J37:N37">
    <cfRule type="expression" dxfId="161" priority="17">
      <formula>J$10=J$4</formula>
    </cfRule>
  </conditionalFormatting>
  <conditionalFormatting sqref="W47">
    <cfRule type="cellIs" dxfId="160" priority="15" operator="equal">
      <formula>"Check"</formula>
    </cfRule>
    <cfRule type="cellIs" dxfId="159" priority="16" operator="equal">
      <formula>"Ok"</formula>
    </cfRule>
  </conditionalFormatting>
  <conditionalFormatting sqref="J47:S47">
    <cfRule type="cellIs" dxfId="158" priority="13" operator="equal">
      <formula>0</formula>
    </cfRule>
  </conditionalFormatting>
  <conditionalFormatting sqref="J64:S66 J68:S68 J70:S70 J62:M63 O62:Q63 S62:S63">
    <cfRule type="expression" dxfId="157" priority="12">
      <formula>J$60=J$4</formula>
    </cfRule>
  </conditionalFormatting>
  <conditionalFormatting sqref="W29">
    <cfRule type="cellIs" dxfId="156" priority="8" operator="equal">
      <formula>"Check"</formula>
    </cfRule>
    <cfRule type="cellIs" dxfId="155" priority="9" operator="equal">
      <formula>"Ok"</formula>
    </cfRule>
  </conditionalFormatting>
  <conditionalFormatting sqref="J29:S29">
    <cfRule type="cellIs" dxfId="154" priority="7" operator="equal">
      <formula>0</formula>
    </cfRule>
  </conditionalFormatting>
  <conditionalFormatting sqref="N62:N63">
    <cfRule type="expression" dxfId="153" priority="4">
      <formula>N$60=N$4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topLeftCell="A71" zoomScaleNormal="10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126</v>
      </c>
      <c r="K3" s="226"/>
      <c r="L3" s="226"/>
      <c r="M3" s="226"/>
      <c r="N3" s="183"/>
      <c r="O3" s="226"/>
      <c r="P3" s="226"/>
      <c r="Q3" s="226"/>
      <c r="R3" s="226"/>
      <c r="S3" s="226"/>
      <c r="T3" s="22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1.6999999999999904E-2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1.0860613953488372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1.075060773480663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1.0546666666666666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1.0331999999999999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1.0169999999999999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0.92075825941571665</v>
      </c>
      <c r="K21" s="22">
        <f t="shared" ref="K21" si="14">IF(AND($C21&gt;K$14,ISNONTEXT($C21)),L21/(1+L$12),IF(AND($C21=K$14,K$14=K$4),1,IF(AND($C21&lt;K$14,K$14=K$4),J21*(1+K$12),0)))</f>
        <v>0.93017997183764489</v>
      </c>
      <c r="L21" s="22">
        <f t="shared" ref="L21" si="15">IF(AND($C21&gt;L$14,ISNONTEXT($C21)),M21/(1+M$12),IF(AND($C21=L$14,L$14=L$4),1,IF(AND($C21&lt;L$14,L$14=L$4),K21*(1+L$12),0)))</f>
        <v>0.94816687737041705</v>
      </c>
      <c r="M21" s="22">
        <f t="shared" ref="M21" si="16">IF(AND($C21&gt;M$14,ISNONTEXT($C21)),N21/(1+N$12),IF(AND($C21=M$14,M$14=M$4),1,IF(AND($C21&lt;M$14,M$14=M$4),L21*(1+M$12),0)))</f>
        <v>0.96786682152535808</v>
      </c>
      <c r="N21" s="22">
        <f t="shared" ref="N21" si="17">IF(AND($C21&gt;N$14,ISNONTEXT($C21)),O21/(1+O$12),IF(AND($C21=N$14,N$14=N$4),1,IF(AND($C21&lt;N$14,N$14=N$4),M21*(1+N$12),0)))</f>
        <v>0.98328416912487715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0.92855172199025027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0.93805318147108052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0.95619233138902981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0.97605901939440254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0.99160686218121608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1.0942350677207062</v>
      </c>
      <c r="K30" s="22">
        <f t="shared" si="27"/>
        <v>1.0805470853837003</v>
      </c>
      <c r="L30" s="22">
        <f t="shared" si="27"/>
        <v>1.0648148958532369</v>
      </c>
      <c r="M30" s="22">
        <f t="shared" si="27"/>
        <v>1.0438781538091504</v>
      </c>
      <c r="N30" s="22">
        <f t="shared" si="27"/>
        <v>1.0250679977445398</v>
      </c>
      <c r="O30" s="22">
        <f t="shared" si="27"/>
        <v>1.0084641788382966</v>
      </c>
      <c r="P30" s="22"/>
      <c r="Q30" s="22"/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J31" s="219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125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4.6982444628733688E-3</v>
      </c>
      <c r="Q36" s="168">
        <v>6.2851223931517097E-3</v>
      </c>
      <c r="R36" s="168">
        <v>5.2438248009960553E-3</v>
      </c>
      <c r="S36" s="168">
        <v>5.7702969975339524E-3</v>
      </c>
      <c r="T36" s="168">
        <v>4.984057686641119E-3</v>
      </c>
    </row>
    <row r="37" spans="3:23" ht="11.25" customHeight="1" outlineLevel="1">
      <c r="C37" s="61" t="s">
        <v>204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5.0000000000000001E-3</v>
      </c>
      <c r="Q37" s="168">
        <v>8.0000000000000002E-3</v>
      </c>
      <c r="R37" s="168">
        <v>1.2999999999999999E-2</v>
      </c>
      <c r="S37" s="168">
        <v>1.4E-2</v>
      </c>
      <c r="T37" s="168">
        <v>1.4E-2</v>
      </c>
    </row>
    <row r="38" spans="3:23" ht="11.25" customHeight="1" outlineLevel="1">
      <c r="C38" s="61" t="s">
        <v>205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4.8491222314366849E-3</v>
      </c>
      <c r="Q38" s="60">
        <f t="shared" ref="Q38:T38" si="30">AVERAGE(Q36:Q37)</f>
        <v>7.1425611965758549E-3</v>
      </c>
      <c r="R38" s="60">
        <f t="shared" si="30"/>
        <v>9.1219124004980265E-3</v>
      </c>
      <c r="S38" s="60">
        <f t="shared" si="30"/>
        <v>9.8851484987669755E-3</v>
      </c>
      <c r="T38" s="60">
        <f t="shared" si="30"/>
        <v>9.4920288433205588E-3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6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6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6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6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6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0.59699999999999998</v>
      </c>
      <c r="Q49" s="60">
        <v>0.59699999999999998</v>
      </c>
      <c r="R49" s="60">
        <v>0.59699999999999998</v>
      </c>
      <c r="S49" s="60">
        <v>0.59699999999999998</v>
      </c>
      <c r="T49" s="221">
        <v>0.59699999999999998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21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</v>
      </c>
      <c r="Q51" s="60">
        <v>0</v>
      </c>
      <c r="R51" s="60">
        <v>0</v>
      </c>
      <c r="S51" s="60">
        <v>0</v>
      </c>
      <c r="T51" s="221">
        <v>0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>
        <v>0</v>
      </c>
      <c r="Q52" s="60">
        <v>0</v>
      </c>
      <c r="R52" s="60">
        <v>0</v>
      </c>
      <c r="S52" s="60">
        <v>0</v>
      </c>
      <c r="T52" s="221">
        <v>0</v>
      </c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>
        <v>0</v>
      </c>
      <c r="Q53" s="60">
        <v>0</v>
      </c>
      <c r="R53" s="60">
        <v>0</v>
      </c>
      <c r="S53" s="60">
        <v>0</v>
      </c>
      <c r="T53" s="221">
        <v>0</v>
      </c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>
        <v>0</v>
      </c>
      <c r="Q54" s="60">
        <v>0</v>
      </c>
      <c r="R54" s="60">
        <v>0</v>
      </c>
      <c r="S54" s="60">
        <v>0</v>
      </c>
      <c r="T54" s="221">
        <v>0</v>
      </c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>
        <v>0</v>
      </c>
      <c r="Q55" s="60">
        <v>0</v>
      </c>
      <c r="R55" s="60">
        <v>0</v>
      </c>
      <c r="S55" s="60">
        <v>0</v>
      </c>
      <c r="T55" s="221">
        <v>0</v>
      </c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21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180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1500682</v>
      </c>
      <c r="P64" s="197">
        <v>1525042</v>
      </c>
      <c r="Q64" s="197">
        <v>1549401</v>
      </c>
      <c r="R64" s="197">
        <v>1573761</v>
      </c>
      <c r="S64" s="197">
        <v>1598020</v>
      </c>
      <c r="T64" s="197">
        <v>1622479</v>
      </c>
    </row>
    <row r="65" spans="3:23" outlineLevel="1">
      <c r="C65" s="61" t="s">
        <v>181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54703.707065000002</v>
      </c>
      <c r="P65" s="197">
        <v>55136.620825755002</v>
      </c>
      <c r="Q65" s="197">
        <v>55631.522735250386</v>
      </c>
      <c r="R65" s="197">
        <v>56086.134413046151</v>
      </c>
      <c r="S65" s="197">
        <v>56550.682771221269</v>
      </c>
      <c r="T65" s="197">
        <v>57049.400143447579</v>
      </c>
    </row>
    <row r="66" spans="3:23" outlineLevel="1">
      <c r="C66" s="61" t="s">
        <v>182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5297.7098321914673</v>
      </c>
      <c r="P66" s="197">
        <v>5297.7098321914673</v>
      </c>
      <c r="Q66" s="197">
        <v>5297.7098321914673</v>
      </c>
      <c r="R66" s="197">
        <v>5297.7098321914673</v>
      </c>
      <c r="S66" s="197">
        <v>5297.7098321914673</v>
      </c>
      <c r="T66" s="197">
        <v>5297.7098321914673</v>
      </c>
    </row>
    <row r="67" spans="3:23" outlineLevel="1">
      <c r="C67" s="61" t="s">
        <v>183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21163.377237783119</v>
      </c>
      <c r="P67" s="197">
        <v>21222.554544767085</v>
      </c>
      <c r="Q67" s="197">
        <v>21307.914664665106</v>
      </c>
      <c r="R67" s="197">
        <v>21287.745693753368</v>
      </c>
      <c r="S67" s="197">
        <v>21435.137250907668</v>
      </c>
      <c r="T67" s="197">
        <v>21554.72040534241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1.610227921847418E-2</v>
      </c>
      <c r="Q75" s="117">
        <f t="shared" si="40"/>
        <v>1.5846453962849338E-2</v>
      </c>
      <c r="R75" s="117">
        <f t="shared" si="40"/>
        <v>1.5599891399752153E-2</v>
      </c>
      <c r="S75" s="117">
        <f t="shared" si="40"/>
        <v>1.5297066883983135E-2</v>
      </c>
      <c r="T75" s="117">
        <f t="shared" si="40"/>
        <v>1.5189863612812715E-2</v>
      </c>
    </row>
    <row r="76" spans="3:23" outlineLevel="1">
      <c r="C76" s="148" t="str">
        <f t="shared" ref="C76:C80" si="41">C65</f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7.8826422079227854E-3</v>
      </c>
      <c r="Q76" s="117">
        <f t="shared" si="42"/>
        <v>8.9358760873938792E-3</v>
      </c>
      <c r="R76" s="117">
        <f t="shared" si="42"/>
        <v>8.1386272993899667E-3</v>
      </c>
      <c r="S76" s="117">
        <f t="shared" si="42"/>
        <v>8.2486526836387242E-3</v>
      </c>
      <c r="T76" s="117">
        <f t="shared" si="42"/>
        <v>8.7802854260612406E-3</v>
      </c>
    </row>
    <row r="77" spans="3:23" outlineLevel="1">
      <c r="C77" s="148" t="str">
        <f t="shared" si="41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2.7923107005420889E-3</v>
      </c>
      <c r="Q78" s="117">
        <f t="shared" si="44"/>
        <v>4.0140744318364341E-3</v>
      </c>
      <c r="R78" s="117">
        <f t="shared" si="44"/>
        <v>-9.4699658365726691E-4</v>
      </c>
      <c r="S78" s="117">
        <f t="shared" si="44"/>
        <v>6.8999155373692389E-3</v>
      </c>
      <c r="T78" s="117">
        <f t="shared" si="44"/>
        <v>5.5633337436216124E-3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184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185</v>
      </c>
      <c r="K82" s="211" t="s">
        <v>186</v>
      </c>
      <c r="L82" s="211" t="s">
        <v>187</v>
      </c>
      <c r="M82" s="211" t="s">
        <v>188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0.71710255491777608</v>
      </c>
      <c r="K84" s="60">
        <v>0.68712715761212573</v>
      </c>
      <c r="L84" s="60">
        <v>0.57738136830492559</v>
      </c>
      <c r="M84" s="60">
        <v>0.31</v>
      </c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7">C65</f>
        <v>Circuit Length (km)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0.12650862933930324</v>
      </c>
      <c r="K85" s="60">
        <v>0.10762084130593763</v>
      </c>
      <c r="L85" s="60">
        <v>0.1127492284952822</v>
      </c>
      <c r="M85" s="60">
        <v>0.28999999999999998</v>
      </c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si="47"/>
        <v>Ratcheted Maximum Demand (MW)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0.15638881574292068</v>
      </c>
      <c r="K86" s="60">
        <v>0.20525200108193667</v>
      </c>
      <c r="L86" s="60">
        <v>0.30986940319979217</v>
      </c>
      <c r="M86" s="60">
        <v>0.28000000000000003</v>
      </c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189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1.2544207828863696E-2</v>
      </c>
      <c r="Q95" s="117">
        <f t="shared" si="49"/>
        <v>1.2493998058908233E-2</v>
      </c>
      <c r="R95" s="117">
        <f t="shared" si="49"/>
        <v>1.2216328563551371E-2</v>
      </c>
      <c r="S95" s="117">
        <f t="shared" si="49"/>
        <v>1.201309149015551E-2</v>
      </c>
      <c r="T95" s="117">
        <f>IF(T$93=T$4,SUMPRODUCT(T$75:T$80,$J$84:$J$89),"")</f>
        <v>1.2003471880059426E-2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1.1912649936597309E-2</v>
      </c>
      <c r="Q96" s="117">
        <f t="shared" si="50"/>
        <v>1.1850215372055011E-2</v>
      </c>
      <c r="R96" s="117">
        <f t="shared" si="50"/>
        <v>1.159499495360536E-2</v>
      </c>
      <c r="S96" s="117">
        <f t="shared" si="50"/>
        <v>1.1398757029247588E-2</v>
      </c>
      <c r="T96" s="117">
        <f>IF(T$93=T$4,SUMPRODUCT(T$75:T$80,$K$84:$K$89),"")</f>
        <v>1.1382309513246829E-2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1.0185917835438232E-2</v>
      </c>
      <c r="Q97" s="117">
        <f t="shared" si="51"/>
        <v>1.0156960406634063E-2</v>
      </c>
      <c r="R97" s="117">
        <f t="shared" si="51"/>
        <v>9.9247105908139999E-3</v>
      </c>
      <c r="S97" s="117">
        <f t="shared" si="51"/>
        <v>9.762270634731951E-3</v>
      </c>
      <c r="T97" s="117">
        <f>IF(T$93=T$4,SUMPRODUCT(T$75:T$80,$L$84:$L$89),"")</f>
        <v>9.7603146448877794E-3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7.6127500820896542E-3</v>
      </c>
      <c r="Q98" s="117">
        <f t="shared" si="52"/>
        <v>7.9854937256478905E-3</v>
      </c>
      <c r="R98" s="117">
        <f t="shared" si="52"/>
        <v>7.0825286607073858E-3</v>
      </c>
      <c r="S98" s="117">
        <f t="shared" si="52"/>
        <v>7.9621898767743091E-3</v>
      </c>
      <c r="T98" s="117">
        <f>IF(T$93=T$4,SUMPRODUCT(T$75:T$80,$M$84:$M$89),"")</f>
        <v>7.9227405427642946E-3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3">IF(YEAR(J$4)&gt;=FPFirstYear,IF(YEAR(J$4)&lt;=FPLastYear,J$4,""),"")</f>
        <v/>
      </c>
      <c r="K102" s="163" t="str">
        <f t="shared" si="53"/>
        <v/>
      </c>
      <c r="L102" s="163" t="str">
        <f t="shared" si="53"/>
        <v/>
      </c>
      <c r="M102" s="163" t="str">
        <f t="shared" si="53"/>
        <v/>
      </c>
      <c r="N102" s="163" t="str">
        <f t="shared" si="53"/>
        <v/>
      </c>
      <c r="O102" s="163" t="str">
        <f t="shared" si="53"/>
        <v/>
      </c>
      <c r="P102" s="163">
        <f t="shared" si="53"/>
        <v>44348</v>
      </c>
      <c r="Q102" s="163">
        <f t="shared" si="53"/>
        <v>44713</v>
      </c>
      <c r="R102" s="163">
        <f t="shared" si="53"/>
        <v>45078</v>
      </c>
      <c r="S102" s="163">
        <f t="shared" si="53"/>
        <v>45444</v>
      </c>
      <c r="T102" s="163">
        <f t="shared" si="53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170">
        <v>5.0000000000000001E-3</v>
      </c>
      <c r="Q104" s="170">
        <f>P104</f>
        <v>5.0000000000000001E-3</v>
      </c>
      <c r="R104" s="170">
        <f t="shared" ref="R104:T104" si="54">Q104</f>
        <v>5.0000000000000001E-3</v>
      </c>
      <c r="S104" s="170">
        <f t="shared" si="54"/>
        <v>5.0000000000000001E-3</v>
      </c>
      <c r="T104" s="170">
        <f t="shared" si="54"/>
        <v>5.0000000000000001E-3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2" priority="111" operator="equal">
      <formula>"Check"</formula>
    </cfRule>
    <cfRule type="cellIs" dxfId="151" priority="112" operator="equal">
      <formula>"Ok"</formula>
    </cfRule>
  </conditionalFormatting>
  <conditionalFormatting sqref="T1">
    <cfRule type="cellIs" dxfId="150" priority="75" operator="equal">
      <formula>"Check"</formula>
    </cfRule>
    <cfRule type="cellIs" dxfId="149" priority="76" operator="equal">
      <formula>"Ok"</formula>
    </cfRule>
  </conditionalFormatting>
  <conditionalFormatting sqref="W58">
    <cfRule type="cellIs" dxfId="148" priority="63" operator="equal">
      <formula>"Check"</formula>
    </cfRule>
    <cfRule type="cellIs" dxfId="147" priority="64" operator="equal">
      <formula>"Ok"</formula>
    </cfRule>
  </conditionalFormatting>
  <conditionalFormatting sqref="J58:T58">
    <cfRule type="cellIs" dxfId="146" priority="55" operator="equal">
      <formula>"Check"</formula>
    </cfRule>
    <cfRule type="cellIs" dxfId="145" priority="56" operator="equal">
      <formula>"Ok"</formula>
    </cfRule>
  </conditionalFormatting>
  <conditionalFormatting sqref="J34:T34">
    <cfRule type="expression" dxfId="144" priority="46">
      <formula>J$34=J$4</formula>
    </cfRule>
  </conditionalFormatting>
  <conditionalFormatting sqref="J36:T43">
    <cfRule type="expression" dxfId="143" priority="44">
      <formula>J$34=J$4</formula>
    </cfRule>
  </conditionalFormatting>
  <conditionalFormatting sqref="J49:T56">
    <cfRule type="expression" dxfId="142" priority="43">
      <formula>J$47=J$4</formula>
    </cfRule>
  </conditionalFormatting>
  <conditionalFormatting sqref="W106">
    <cfRule type="cellIs" dxfId="141" priority="37" operator="equal">
      <formula>"Check"</formula>
    </cfRule>
    <cfRule type="cellIs" dxfId="140" priority="38" operator="equal">
      <formula>"Ok"</formula>
    </cfRule>
  </conditionalFormatting>
  <conditionalFormatting sqref="J106:T106">
    <cfRule type="cellIs" dxfId="139" priority="35" operator="equal">
      <formula>"Check"</formula>
    </cfRule>
    <cfRule type="cellIs" dxfId="138" priority="36" operator="equal">
      <formula>"Ok"</formula>
    </cfRule>
  </conditionalFormatting>
  <conditionalFormatting sqref="W45">
    <cfRule type="cellIs" dxfId="137" priority="33" operator="equal">
      <formula>"Check"</formula>
    </cfRule>
    <cfRule type="cellIs" dxfId="136" priority="34" operator="equal">
      <formula>"Ok"</formula>
    </cfRule>
  </conditionalFormatting>
  <conditionalFormatting sqref="J45:T45">
    <cfRule type="cellIs" dxfId="135" priority="31" operator="equal">
      <formula>"Check"</formula>
    </cfRule>
    <cfRule type="cellIs" dxfId="134" priority="32" operator="equal">
      <formula>"Ok"</formula>
    </cfRule>
  </conditionalFormatting>
  <conditionalFormatting sqref="W71">
    <cfRule type="cellIs" dxfId="133" priority="29" operator="equal">
      <formula>"Check"</formula>
    </cfRule>
    <cfRule type="cellIs" dxfId="132" priority="30" operator="equal">
      <formula>"Ok"</formula>
    </cfRule>
  </conditionalFormatting>
  <conditionalFormatting sqref="J71:T71">
    <cfRule type="cellIs" dxfId="131" priority="27" operator="equal">
      <formula>"Check"</formula>
    </cfRule>
    <cfRule type="cellIs" dxfId="130" priority="28" operator="equal">
      <formula>"Ok"</formula>
    </cfRule>
  </conditionalFormatting>
  <conditionalFormatting sqref="J62:T62">
    <cfRule type="expression" dxfId="129" priority="21">
      <formula>J$62=J$4</formula>
    </cfRule>
  </conditionalFormatting>
  <conditionalFormatting sqref="J64:T69">
    <cfRule type="expression" dxfId="128" priority="19">
      <formula>J$62=J$4</formula>
    </cfRule>
  </conditionalFormatting>
  <conditionalFormatting sqref="J47:T47">
    <cfRule type="expression" dxfId="127" priority="16">
      <formula>J$34=J$4</formula>
    </cfRule>
  </conditionalFormatting>
  <conditionalFormatting sqref="J73:T73">
    <cfRule type="expression" dxfId="126" priority="15">
      <formula>J$34=J$4</formula>
    </cfRule>
  </conditionalFormatting>
  <conditionalFormatting sqref="J102:T102">
    <cfRule type="expression" dxfId="125" priority="14">
      <formula>J$34=J$4</formula>
    </cfRule>
  </conditionalFormatting>
  <conditionalFormatting sqref="J25:T30">
    <cfRule type="cellIs" dxfId="124" priority="12" operator="equal">
      <formula>0</formula>
    </cfRule>
  </conditionalFormatting>
  <conditionalFormatting sqref="J16:T21">
    <cfRule type="cellIs" dxfId="123" priority="11" operator="equal">
      <formula>0</formula>
    </cfRule>
  </conditionalFormatting>
  <conditionalFormatting sqref="W91:W98">
    <cfRule type="cellIs" dxfId="122" priority="7" operator="equal">
      <formula>"Check"</formula>
    </cfRule>
    <cfRule type="cellIs" dxfId="121" priority="8" operator="equal">
      <formula>"Ok"</formula>
    </cfRule>
  </conditionalFormatting>
  <conditionalFormatting sqref="K88:M89">
    <cfRule type="expression" dxfId="120" priority="6">
      <formula>K$82=K$4</formula>
    </cfRule>
  </conditionalFormatting>
  <conditionalFormatting sqref="J91:T92 J94:T94">
    <cfRule type="cellIs" dxfId="119" priority="4" operator="equal">
      <formula>"Check"</formula>
    </cfRule>
    <cfRule type="cellIs" dxfId="118" priority="5" operator="equal">
      <formula>"Ok"</formula>
    </cfRule>
  </conditionalFormatting>
  <conditionalFormatting sqref="J93:T93">
    <cfRule type="expression" dxfId="117" priority="3">
      <formula>J$93=J$4</formula>
    </cfRule>
  </conditionalFormatting>
  <conditionalFormatting sqref="J104:T104">
    <cfRule type="expression" dxfId="116" priority="116">
      <formula>J$102=J$4</formula>
    </cfRule>
  </conditionalFormatting>
  <conditionalFormatting sqref="K84:M87">
    <cfRule type="expression" dxfId="115" priority="2">
      <formula>K$82=K$4</formula>
    </cfRule>
  </conditionalFormatting>
  <dataValidations disablePrompts="1" count="3">
    <dataValidation type="list" allowBlank="1" showInputMessage="1" showErrorMessage="1" sqref="F107 F72 F99">
      <formula1>#REF!</formula1>
    </dataValidation>
    <dataValidation type="list" allowBlank="1" showInputMessage="1" showErrorMessage="1" sqref="F83">
      <formula1>#REF!</formula1>
    </dataValidation>
    <dataValidation type="list" allowBlank="1" showInputMessage="1" showErrorMessage="1" sqref="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topLeftCell="A13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126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2">
        <v>43617</v>
      </c>
      <c r="G12" s="32"/>
      <c r="H12" s="32"/>
      <c r="J12" s="152"/>
      <c r="K12" s="152"/>
      <c r="L12" s="152"/>
      <c r="M12" s="152"/>
      <c r="N12" s="152"/>
      <c r="O12" s="171"/>
      <c r="P12" s="171"/>
      <c r="Q12" s="171"/>
      <c r="R12" s="171"/>
      <c r="S12" s="171"/>
    </row>
    <row r="13" spans="1:47" outlineLevel="1">
      <c r="C13" s="61"/>
      <c r="D13" s="30" t="s">
        <v>73</v>
      </c>
      <c r="E13" s="150" t="s">
        <v>15</v>
      </c>
      <c r="F13" s="172">
        <v>42522</v>
      </c>
      <c r="G13" s="32"/>
      <c r="H13" s="32"/>
      <c r="J13" s="152"/>
      <c r="K13" s="152"/>
      <c r="L13" s="152"/>
      <c r="M13" s="152"/>
      <c r="N13" s="152"/>
      <c r="O13" s="171"/>
      <c r="P13" s="171"/>
      <c r="Q13" s="171"/>
      <c r="R13" s="171"/>
      <c r="S13" s="171"/>
    </row>
    <row r="14" spans="1:47" outlineLevel="1">
      <c r="C14" s="61"/>
      <c r="D14" s="30" t="s">
        <v>73</v>
      </c>
      <c r="E14" s="150" t="s">
        <v>15</v>
      </c>
      <c r="F14" s="172">
        <v>42522</v>
      </c>
      <c r="G14" s="32"/>
      <c r="H14" s="32"/>
      <c r="J14" s="152"/>
      <c r="K14" s="152"/>
      <c r="L14" s="152"/>
      <c r="M14" s="152"/>
      <c r="N14" s="152"/>
      <c r="O14" s="171"/>
      <c r="P14" s="171"/>
      <c r="Q14" s="171"/>
      <c r="R14" s="171"/>
      <c r="S14" s="171"/>
    </row>
    <row r="15" spans="1:47" outlineLevel="1">
      <c r="C15" s="61"/>
      <c r="D15" s="30" t="s">
        <v>73</v>
      </c>
      <c r="E15" s="150" t="s">
        <v>15</v>
      </c>
      <c r="F15" s="172">
        <v>42522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73</v>
      </c>
      <c r="E16" s="150" t="s">
        <v>15</v>
      </c>
      <c r="F16" s="172">
        <v>42522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73</v>
      </c>
      <c r="E17" s="150" t="s">
        <v>15</v>
      </c>
      <c r="F17" s="172">
        <v>42522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73</v>
      </c>
      <c r="E18" s="150" t="s">
        <v>15</v>
      </c>
      <c r="F18" s="172">
        <v>42522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73</v>
      </c>
      <c r="E19" s="150" t="s">
        <v>15</v>
      </c>
      <c r="F19" s="172">
        <v>42522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73</v>
      </c>
      <c r="E20" s="150" t="s">
        <v>15</v>
      </c>
      <c r="F20" s="172">
        <v>42522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73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0">
        <f>DATE(PPLastYear,MONTH('Input|General'!$G$9),1)</f>
        <v>43983</v>
      </c>
      <c r="G38" s="32"/>
      <c r="H38" s="32"/>
      <c r="J38" s="171"/>
      <c r="K38" s="171"/>
      <c r="L38" s="171"/>
      <c r="M38" s="171"/>
      <c r="N38" s="171"/>
      <c r="O38" s="171">
        <v>4.2323433966748514</v>
      </c>
      <c r="P38" s="171">
        <v>4.2145083041928464</v>
      </c>
      <c r="Q38" s="171">
        <v>4.1937970067665624</v>
      </c>
      <c r="R38" s="171">
        <v>4.1672941914782973</v>
      </c>
      <c r="S38" s="171">
        <v>4.1359974930652195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C76" sqref="C76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126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168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362.60284276532064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168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371.69257000992542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169</v>
      </c>
      <c r="D14" s="108" t="s">
        <v>96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355.00227054753572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169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385.55426130286202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170</v>
      </c>
      <c r="D16" s="108" t="s">
        <v>96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357.17743063607014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170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387.91661870372286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171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171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172</v>
      </c>
      <c r="D21" s="108" t="s">
        <v>96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7.0382705475357392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172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7.6439939316992893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173</v>
      </c>
      <c r="D23" s="108" t="s">
        <v>96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7.1554306360701716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173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7.771236980932188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144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371.69257000992542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166</v>
      </c>
      <c r="D28" s="108" t="s">
        <v>96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164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2.3623574008608443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374.05492741078626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174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-0.12724304923289864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Cost allocation method adjustment</v>
      </c>
      <c r="D37" s="108" t="s">
        <v>96</v>
      </c>
      <c r="E37" s="110" t="str">
        <f>'Input|Reported opex'!E62</f>
        <v>$millions</v>
      </c>
      <c r="F37" s="225">
        <f>'Input|Reported opex'!F62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opex'!R63,0)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Cost allocation method adjustment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Service classification adjustment</v>
      </c>
      <c r="D40" s="108" t="s">
        <v>96</v>
      </c>
      <c r="E40" s="30" t="str">
        <f>'Input|Reported opex'!$E$63</f>
        <v>$millions</v>
      </c>
      <c r="F40" s="225">
        <f>F37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1.4264106454174759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opex'!#REF!,0)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Service classification adjustment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1.4264106454174759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175</v>
      </c>
      <c r="D54" s="112" t="s">
        <v>103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375.35409500697085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1.0563881420747222E-2</v>
      </c>
      <c r="P61" s="117">
        <f>IF(P58=P4,AVERAGE('Input|Rate of change'!Q95:Q98),0)</f>
        <v>1.06216668908113E-2</v>
      </c>
      <c r="Q61" s="117">
        <f>IF(Q58=Q4,AVERAGE('Input|Rate of change'!R95:R98),0)</f>
        <v>1.0204640692169527E-2</v>
      </c>
      <c r="R61" s="117">
        <f>IF(R58=R4,AVERAGE('Input|Rate of change'!S95:S98),0)</f>
        <v>1.0284077257727339E-2</v>
      </c>
      <c r="S61" s="117">
        <f>IF(S58=S4,AVERAGE('Input|Rate of change'!T95:T98),0)</f>
        <v>1.0267209145239584E-2</v>
      </c>
      <c r="U61" s="217"/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U62" s="2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2.8048519443354012E-3</v>
      </c>
      <c r="P63" s="117">
        <f>SUMPRODUCT('Input|Rate of change'!Q36:Q43,'Input|Rate of change'!Q49:Q56)</f>
        <v>3.7522180687115706E-3</v>
      </c>
      <c r="Q63" s="117">
        <f>SUMPRODUCT('Input|Rate of change'!R36:R43,'Input|Rate of change'!R49:R56)</f>
        <v>3.130563406194645E-3</v>
      </c>
      <c r="R63" s="117">
        <f>SUMPRODUCT('Input|Rate of change'!S36:S43,'Input|Rate of change'!S49:S56)</f>
        <v>3.4448673075277696E-3</v>
      </c>
      <c r="S63" s="117">
        <f>SUMPRODUCT('Input|Rate of change'!T36:T43,'Input|Rate of change'!T49:T56)</f>
        <v>2.9754824389247479E-3</v>
      </c>
      <c r="U63" s="217"/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U64" s="2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  <c r="U65" s="217"/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145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8.3313716709829677E-3</v>
      </c>
      <c r="P67" s="143">
        <f t="shared" si="6"/>
        <v>9.3416710711005102E-3</v>
      </c>
      <c r="Q67" s="143">
        <f t="shared" si="6"/>
        <v>8.3003146212228263E-3</v>
      </c>
      <c r="R67" s="143">
        <f t="shared" si="6"/>
        <v>8.6955499875545073E-3</v>
      </c>
      <c r="S67" s="143">
        <f t="shared" si="6"/>
        <v>8.2068752772495035E-3</v>
      </c>
      <c r="U67" s="217"/>
    </row>
    <row r="68" spans="1:47" outlineLevel="1">
      <c r="C68" s="124" t="s">
        <v>146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8.3313716709829677E-3</v>
      </c>
      <c r="P68" s="117">
        <f t="array" ref="P68">IF(P$58=P$4,PRODUCT(1+$J67:P67)-1,"")</f>
        <v>1.7750871675804802E-2</v>
      </c>
      <c r="Q68" s="117">
        <f t="array" ref="Q68">IF(Q$58=Q$4,PRODUCT(1+$J67:Q67)-1,"")</f>
        <v>2.6198524116737731E-2</v>
      </c>
      <c r="R68" s="117">
        <f t="array" ref="R68">IF(R$58=R$4,PRODUCT(1+$J67:R67)-1,"")</f>
        <v>3.512188468034938E-2</v>
      </c>
      <c r="S68" s="117">
        <f t="array" ref="S68">IF(S$58=S$4,PRODUCT(1+$J67:S67)-1,"")</f>
        <v>4.3617000884672352E-2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0</v>
      </c>
      <c r="Q84" s="177">
        <f t="shared" si="9"/>
        <v>0</v>
      </c>
      <c r="R84" s="177">
        <f t="shared" si="9"/>
        <v>0</v>
      </c>
      <c r="S84" s="177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123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124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141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378.48130948069939</v>
      </c>
      <c r="P100" s="151">
        <f t="shared" si="14"/>
        <v>382.01695738042741</v>
      </c>
      <c r="Q100" s="151">
        <f t="shared" si="14"/>
        <v>385.18781831732724</v>
      </c>
      <c r="R100" s="151">
        <f t="shared" si="14"/>
        <v>388.53723824610256</v>
      </c>
      <c r="S100" s="151">
        <f t="shared" si="14"/>
        <v>391.72591490095527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378.48130948069939</v>
      </c>
      <c r="P101" s="151">
        <f t="shared" si="15"/>
        <v>382.01695738042741</v>
      </c>
      <c r="Q101" s="151">
        <f t="shared" si="15"/>
        <v>385.18781831732724</v>
      </c>
      <c r="R101" s="151">
        <f t="shared" si="15"/>
        <v>388.53723824610256</v>
      </c>
      <c r="S101" s="151">
        <f t="shared" si="15"/>
        <v>391.72591490095527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382.71365287737427</v>
      </c>
      <c r="P102" s="151">
        <f>IF(YEAR(P$4)&gt;=FPFirstYear,IF(YEAR(P$4)&lt;=FPLastYear,P101+'Input|Step changes'!P38,""),"")</f>
        <v>386.23146568462028</v>
      </c>
      <c r="Q102" s="151">
        <f>IF(YEAR(Q$4)&gt;=FPFirstYear,IF(YEAR(Q$4)&lt;=FPLastYear,Q101+'Input|Step changes'!Q38,""),"")</f>
        <v>389.38161532409379</v>
      </c>
      <c r="R102" s="151">
        <f>IF(YEAR(R$4)&gt;=FPFirstYear,IF(YEAR(R$4)&lt;=FPLastYear,R101+'Input|Step changes'!R38,""),"")</f>
        <v>392.70453243758084</v>
      </c>
      <c r="S102" s="151">
        <f>IF(YEAR(S$4)&gt;=FPFirstYear,IF(YEAR(S$4)&lt;=FPLastYear,S101+'Input|Step changes'!S38,""),"")</f>
        <v>395.86191239402052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126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378.48130948069939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382.01695738042741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385.18781831732724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388.53723824610256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391.72591490095527</v>
      </c>
      <c r="T13" s="218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4" operator="equal">
      <formula>"Check"</formula>
    </cfRule>
    <cfRule type="cellIs" dxfId="24" priority="15" operator="equal">
      <formula>"Ok"</formula>
    </cfRule>
  </conditionalFormatting>
  <conditionalFormatting sqref="J13:S16">
    <cfRule type="expression" dxfId="23" priority="4">
      <formula>AND($C13=0,J$11=J$4)</formula>
    </cfRule>
    <cfRule type="expression" dxfId="22" priority="5">
      <formula>NOT(J$11=J$4)</formula>
    </cfRule>
    <cfRule type="expression" dxfId="21" priority="6">
      <formula>J$11=J$4</formula>
    </cfRule>
  </conditionalFormatting>
  <conditionalFormatting sqref="J11:S11">
    <cfRule type="expression" dxfId="20" priority="8">
      <formula>J$11=J$4</formula>
    </cfRule>
  </conditionalFormatting>
  <conditionalFormatting sqref="S1">
    <cfRule type="cellIs" dxfId="19" priority="2" operator="equal">
      <formula>"Check"</formula>
    </cfRule>
    <cfRule type="cellIs" dxfId="18" priority="3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127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128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129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130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131</v>
      </c>
      <c r="D28" s="16" t="s">
        <v>73</v>
      </c>
      <c r="E28" s="16"/>
      <c r="F28" s="16"/>
      <c r="G28" s="154">
        <v>36617</v>
      </c>
    </row>
    <row r="29" spans="1:47">
      <c r="C29" s="15" t="s">
        <v>132</v>
      </c>
      <c r="D29" s="16" t="s">
        <v>73</v>
      </c>
      <c r="E29" s="16"/>
      <c r="F29" s="16"/>
      <c r="G29" s="154">
        <v>36647</v>
      </c>
    </row>
    <row r="30" spans="1:47">
      <c r="C30" s="15" t="s">
        <v>133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134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135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136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137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138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139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163</v>
      </c>
      <c r="H40" s="14" t="s">
        <v>161</v>
      </c>
      <c r="I40" s="14" t="s">
        <v>162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159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160</v>
      </c>
      <c r="H64" s="14" t="s">
        <v>126</v>
      </c>
    </row>
    <row r="65" spans="1:47">
      <c r="C65" s="15" t="s">
        <v>147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148</v>
      </c>
      <c r="D66" s="16" t="s">
        <v>103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149</v>
      </c>
      <c r="D67" s="16" t="s">
        <v>103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150</v>
      </c>
      <c r="D68" s="16" t="s">
        <v>103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151</v>
      </c>
      <c r="D69" s="16" t="s">
        <v>103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152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153</v>
      </c>
      <c r="D71" s="16" t="s">
        <v>103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154</v>
      </c>
      <c r="D72" s="16" t="s">
        <v>103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155</v>
      </c>
      <c r="D73" s="16" t="s">
        <v>103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156</v>
      </c>
      <c r="D74" s="16" t="s">
        <v>103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2"/>
      <c r="H75" s="213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160</v>
      </c>
      <c r="H78" s="214"/>
    </row>
    <row r="79" spans="1:47">
      <c r="C79" s="15" t="s">
        <v>195</v>
      </c>
      <c r="D79" s="16" t="s">
        <v>73</v>
      </c>
      <c r="E79" s="16"/>
      <c r="F79" s="16"/>
      <c r="G79" s="184" t="s">
        <v>112</v>
      </c>
      <c r="H79" s="213"/>
    </row>
    <row r="80" spans="1:47">
      <c r="C80" s="15" t="s">
        <v>196</v>
      </c>
      <c r="D80" s="16" t="s">
        <v>73</v>
      </c>
      <c r="E80" s="16"/>
      <c r="F80" s="16"/>
      <c r="G80" s="185" t="s">
        <v>197</v>
      </c>
      <c r="H80" s="213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2019-09-19T07:18:24Z</dcterms:created>
  <dcterms:modified xsi:type="dcterms:W3CDTF">2019-09-20T04:52:42Z</dcterms:modified>
</cp:coreProperties>
</file>