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EQ SAPN 2020-25\EQ Opex models\Alternative estimate and replicated opex models\Alternative estimate\For publication\"/>
    </mc:Choice>
  </mc:AlternateContent>
  <bookViews>
    <workbookView xWindow="0" yWindow="0" windowWidth="28800" windowHeight="1200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'Input|General'!$G$6:$G$14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62" i="55" l="1"/>
  <c r="G62" i="55" s="1"/>
  <c r="F61" i="55"/>
  <c r="G61" i="55" s="1"/>
  <c r="F60" i="55"/>
  <c r="G60" i="55" s="1"/>
  <c r="F59" i="55"/>
  <c r="G59" i="55" s="1"/>
  <c r="G58" i="55"/>
  <c r="F64" i="55" l="1"/>
  <c r="F56" i="55"/>
  <c r="G64" i="55" l="1"/>
  <c r="F63" i="55"/>
  <c r="G63" i="55" s="1"/>
  <c r="F37" i="42" l="1"/>
  <c r="F40" i="42" l="1"/>
  <c r="C53" i="2" l="1"/>
  <c r="C54" i="2"/>
  <c r="C55" i="2"/>
  <c r="C56" i="2"/>
  <c r="C52" i="2"/>
  <c r="S38" i="2"/>
  <c r="N15" i="58"/>
  <c r="M15" i="58"/>
  <c r="M14" i="42" s="1"/>
  <c r="K15" i="58"/>
  <c r="J15" i="58"/>
  <c r="T59" i="55"/>
  <c r="T104" i="2"/>
  <c r="S104" i="2"/>
  <c r="R104" i="2"/>
  <c r="Q104" i="2"/>
  <c r="F47" i="58"/>
  <c r="F42" i="58"/>
  <c r="F43" i="58"/>
  <c r="F44" i="58"/>
  <c r="F45" i="58"/>
  <c r="F41" i="58"/>
  <c r="C78" i="4"/>
  <c r="K47" i="58"/>
  <c r="L47" i="58"/>
  <c r="M47" i="58"/>
  <c r="N47" i="58"/>
  <c r="O47" i="58"/>
  <c r="P47" i="58"/>
  <c r="Q47" i="58"/>
  <c r="R47" i="58"/>
  <c r="S47" i="58"/>
  <c r="J47" i="58"/>
  <c r="W56" i="58"/>
  <c r="W29" i="58"/>
  <c r="S1" i="58" s="1"/>
  <c r="G12" i="16" s="1"/>
  <c r="C95" i="2" a="1"/>
  <c r="C98" i="2" s="1"/>
  <c r="T91" i="2" a="1"/>
  <c r="T91" i="2"/>
  <c r="S91" i="2" a="1"/>
  <c r="S91" i="2" s="1"/>
  <c r="R91" i="2" a="1"/>
  <c r="R91" i="2" s="1"/>
  <c r="Q91" i="2" a="1"/>
  <c r="Q91" i="2" s="1"/>
  <c r="P91" i="2" a="1"/>
  <c r="P91" i="2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C89" i="2"/>
  <c r="C88" i="2"/>
  <c r="C87" i="2"/>
  <c r="C86" i="2"/>
  <c r="C85" i="2"/>
  <c r="C84" i="2"/>
  <c r="C95" i="2"/>
  <c r="C97" i="2"/>
  <c r="F19" i="42"/>
  <c r="F8" i="42"/>
  <c r="F8" i="44"/>
  <c r="F24" i="42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L15" i="58"/>
  <c r="O15" i="58"/>
  <c r="P15" i="58"/>
  <c r="Q15" i="58"/>
  <c r="R15" i="58"/>
  <c r="S15" i="58"/>
  <c r="E29" i="42"/>
  <c r="F28" i="42"/>
  <c r="F29" i="42"/>
  <c r="C29" i="42"/>
  <c r="E68" i="58"/>
  <c r="E28" i="42"/>
  <c r="F35" i="42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/>
  <c r="G72" i="4" s="1"/>
  <c r="G73" i="4" s="1"/>
  <c r="G74" i="4" s="1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N4" i="42"/>
  <c r="N21" i="42" s="1"/>
  <c r="M4" i="42"/>
  <c r="M35" i="42" s="1"/>
  <c r="L4" i="42"/>
  <c r="L40" i="42" s="1"/>
  <c r="K4" i="42"/>
  <c r="J4" i="42"/>
  <c r="J35" i="42"/>
  <c r="S4" i="53"/>
  <c r="R4" i="53"/>
  <c r="Q4" i="53"/>
  <c r="Q36" i="53" s="1"/>
  <c r="P4" i="53"/>
  <c r="O4" i="53"/>
  <c r="N4" i="53"/>
  <c r="N26" i="53" s="1"/>
  <c r="M4" i="53"/>
  <c r="M10" i="53" s="1"/>
  <c r="L4" i="53"/>
  <c r="L36" i="53"/>
  <c r="K4" i="53"/>
  <c r="K26" i="53" s="1"/>
  <c r="J4" i="53"/>
  <c r="J4" i="2"/>
  <c r="T4" i="2"/>
  <c r="S4" i="2"/>
  <c r="R4" i="2"/>
  <c r="R73" i="2" s="1"/>
  <c r="Q4" i="2"/>
  <c r="Q62" i="2" s="1"/>
  <c r="Q71" i="2" s="1"/>
  <c r="P4" i="2"/>
  <c r="O4" i="2"/>
  <c r="O34" i="2" s="1"/>
  <c r="O45" i="2" s="1"/>
  <c r="N4" i="2"/>
  <c r="N34" i="2" s="1"/>
  <c r="N45" i="2" s="1"/>
  <c r="N93" i="2"/>
  <c r="N97" i="2" s="1"/>
  <c r="M4" i="2"/>
  <c r="L4" i="2"/>
  <c r="L73" i="2" s="1"/>
  <c r="K4" i="2"/>
  <c r="S4" i="58"/>
  <c r="S60" i="58" s="1"/>
  <c r="R4" i="58"/>
  <c r="R60" i="58" s="1"/>
  <c r="Q4" i="58"/>
  <c r="P4" i="58"/>
  <c r="P60" i="58" s="1"/>
  <c r="O4" i="58"/>
  <c r="N4" i="58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R34" i="58"/>
  <c r="N95" i="2"/>
  <c r="J23" i="42"/>
  <c r="J21" i="42"/>
  <c r="J19" i="42"/>
  <c r="L23" i="42"/>
  <c r="L21" i="42"/>
  <c r="L19" i="42"/>
  <c r="N19" i="42"/>
  <c r="P23" i="42"/>
  <c r="P19" i="42"/>
  <c r="R23" i="42"/>
  <c r="R21" i="42"/>
  <c r="M21" i="42"/>
  <c r="M19" i="42"/>
  <c r="Q23" i="42"/>
  <c r="Q21" i="42"/>
  <c r="S23" i="42"/>
  <c r="S19" i="42"/>
  <c r="J33" i="42"/>
  <c r="P33" i="42"/>
  <c r="R33" i="42"/>
  <c r="K33" i="42"/>
  <c r="S33" i="42"/>
  <c r="L12" i="42"/>
  <c r="J12" i="42"/>
  <c r="O49" i="42"/>
  <c r="O12" i="42"/>
  <c r="N49" i="42"/>
  <c r="P49" i="42"/>
  <c r="R49" i="42"/>
  <c r="R12" i="42"/>
  <c r="J10" i="58"/>
  <c r="L34" i="58"/>
  <c r="P34" i="58"/>
  <c r="L10" i="58"/>
  <c r="P10" i="58"/>
  <c r="P28" i="42" s="1"/>
  <c r="M10" i="58"/>
  <c r="O34" i="58"/>
  <c r="S34" i="58"/>
  <c r="S10" i="58"/>
  <c r="L10" i="2"/>
  <c r="L12" i="2" s="1"/>
  <c r="R62" i="2"/>
  <c r="R71" i="2" s="1"/>
  <c r="R14" i="2"/>
  <c r="R10" i="2"/>
  <c r="R12" i="2" s="1"/>
  <c r="J26" i="53"/>
  <c r="J32" i="53" s="1"/>
  <c r="J10" i="53"/>
  <c r="R26" i="53"/>
  <c r="R10" i="53"/>
  <c r="L49" i="42"/>
  <c r="T23" i="2"/>
  <c r="R34" i="2"/>
  <c r="N47" i="2"/>
  <c r="R47" i="2"/>
  <c r="R58" i="2" s="1"/>
  <c r="L102" i="2"/>
  <c r="L106" i="2" s="1"/>
  <c r="L10" i="53"/>
  <c r="K34" i="58"/>
  <c r="K10" i="58"/>
  <c r="K28" i="42" s="1"/>
  <c r="Q34" i="58"/>
  <c r="N73" i="2"/>
  <c r="N14" i="2"/>
  <c r="N10" i="2"/>
  <c r="N12" i="2" s="1"/>
  <c r="N10" i="53"/>
  <c r="J49" i="42"/>
  <c r="N23" i="2"/>
  <c r="P47" i="2"/>
  <c r="P58" i="2" s="1"/>
  <c r="N102" i="2"/>
  <c r="N106" i="2" s="1"/>
  <c r="P10" i="53"/>
  <c r="L26" i="53"/>
  <c r="J36" i="53"/>
  <c r="R36" i="53"/>
  <c r="M36" i="53"/>
  <c r="M26" i="53"/>
  <c r="M32" i="53" s="1"/>
  <c r="O36" i="53"/>
  <c r="O40" i="53" s="1"/>
  <c r="O26" i="53"/>
  <c r="O10" i="53"/>
  <c r="Q26" i="53"/>
  <c r="S36" i="53"/>
  <c r="K49" i="42"/>
  <c r="M49" i="42"/>
  <c r="S49" i="42"/>
  <c r="J73" i="2"/>
  <c r="Q102" i="2"/>
  <c r="Q106" i="2" s="1"/>
  <c r="J31" i="42"/>
  <c r="R31" i="42"/>
  <c r="P31" i="42"/>
  <c r="S31" i="42"/>
  <c r="Q31" i="42"/>
  <c r="J10" i="42"/>
  <c r="R10" i="42"/>
  <c r="P10" i="42"/>
  <c r="L10" i="42"/>
  <c r="J16" i="42"/>
  <c r="R16" i="42"/>
  <c r="P16" i="42"/>
  <c r="L16" i="42"/>
  <c r="J37" i="42"/>
  <c r="L37" i="42"/>
  <c r="P37" i="42"/>
  <c r="R37" i="42"/>
  <c r="J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M10" i="42"/>
  <c r="S16" i="42"/>
  <c r="O16" i="42"/>
  <c r="M37" i="42"/>
  <c r="O37" i="42"/>
  <c r="K40" i="42"/>
  <c r="M40" i="42"/>
  <c r="S40" i="42"/>
  <c r="K43" i="42"/>
  <c r="M43" i="42"/>
  <c r="Q43" i="42"/>
  <c r="S43" i="42"/>
  <c r="M46" i="42"/>
  <c r="O46" i="42"/>
  <c r="Q46" i="42"/>
  <c r="S46" i="42"/>
  <c r="S8" i="54"/>
  <c r="J14" i="42"/>
  <c r="F49" i="42"/>
  <c r="C49" i="42"/>
  <c r="F46" i="42"/>
  <c r="C46" i="42"/>
  <c r="C47" i="42" s="1"/>
  <c r="F43" i="42"/>
  <c r="C43" i="42"/>
  <c r="C40" i="42"/>
  <c r="C41" i="42" s="1"/>
  <c r="C37" i="42"/>
  <c r="F16" i="42"/>
  <c r="E16" i="42"/>
  <c r="F14" i="42"/>
  <c r="E14" i="42"/>
  <c r="F12" i="42"/>
  <c r="E12" i="42"/>
  <c r="U73" i="2"/>
  <c r="M28" i="42"/>
  <c r="S28" i="42"/>
  <c r="J28" i="42"/>
  <c r="L28" i="42"/>
  <c r="E66" i="58"/>
  <c r="E65" i="58"/>
  <c r="E64" i="58"/>
  <c r="E63" i="58"/>
  <c r="E62" i="58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E43" i="42"/>
  <c r="E46" i="42"/>
  <c r="E37" i="42"/>
  <c r="E49" i="42"/>
  <c r="F23" i="42"/>
  <c r="F21" i="42"/>
  <c r="E21" i="42"/>
  <c r="E23" i="42"/>
  <c r="E40" i="42"/>
  <c r="E1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M15" i="44" s="1"/>
  <c r="L11" i="44"/>
  <c r="L14" i="44" s="1"/>
  <c r="K11" i="44"/>
  <c r="K16" i="44" s="1"/>
  <c r="J11" i="44"/>
  <c r="F100" i="42"/>
  <c r="E100" i="42"/>
  <c r="K15" i="44"/>
  <c r="K14" i="44"/>
  <c r="J15" i="44"/>
  <c r="J16" i="44"/>
  <c r="J14" i="44"/>
  <c r="L15" i="44"/>
  <c r="L16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N22" i="53"/>
  <c r="M40" i="53"/>
  <c r="L22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60" i="55"/>
  <c r="T62" i="55"/>
  <c r="T63" i="55"/>
  <c r="T64" i="55"/>
  <c r="C24" i="4"/>
  <c r="S9" i="54"/>
  <c r="Q14" i="42"/>
  <c r="S14" i="42"/>
  <c r="N14" i="42"/>
  <c r="P14" i="42"/>
  <c r="R14" i="42"/>
  <c r="J98" i="42"/>
  <c r="L98" i="42"/>
  <c r="P98" i="42"/>
  <c r="R98" i="42"/>
  <c r="M98" i="42"/>
  <c r="O98" i="42"/>
  <c r="Q98" i="42"/>
  <c r="S98" i="42"/>
  <c r="J88" i="42"/>
  <c r="J72" i="42"/>
  <c r="J58" i="42"/>
  <c r="J68" i="42" s="1" a="1"/>
  <c r="J68" i="42" s="1"/>
  <c r="L88" i="42"/>
  <c r="L72" i="42"/>
  <c r="L58" i="42"/>
  <c r="L68" i="42" s="1" a="1"/>
  <c r="L68" i="42" s="1"/>
  <c r="N88" i="42"/>
  <c r="N72" i="42"/>
  <c r="P88" i="42"/>
  <c r="P72" i="42"/>
  <c r="P58" i="42"/>
  <c r="R88" i="42"/>
  <c r="R72" i="42"/>
  <c r="R58" i="42"/>
  <c r="M58" i="42"/>
  <c r="O58" i="42"/>
  <c r="Q58" i="42"/>
  <c r="S58" i="42"/>
  <c r="K72" i="42"/>
  <c r="M72" i="42"/>
  <c r="S72" i="42"/>
  <c r="K88" i="42"/>
  <c r="M88" i="42"/>
  <c r="Q88" i="42"/>
  <c r="S88" i="42"/>
  <c r="O22" i="53"/>
  <c r="M22" i="53"/>
  <c r="L32" i="53"/>
  <c r="N32" i="53"/>
  <c r="R32" i="53"/>
  <c r="J40" i="53"/>
  <c r="L40" i="53"/>
  <c r="R40" i="53"/>
  <c r="K32" i="53"/>
  <c r="O32" i="53"/>
  <c r="Q32" i="53"/>
  <c r="N58" i="2"/>
  <c r="J61" i="42"/>
  <c r="M61" i="42"/>
  <c r="K13" i="44"/>
  <c r="K101" i="42"/>
  <c r="L101" i="42"/>
  <c r="L102" i="42"/>
  <c r="L100" i="42"/>
  <c r="J100" i="42"/>
  <c r="J13" i="44"/>
  <c r="J101" i="42"/>
  <c r="J102" i="42"/>
  <c r="C50" i="42"/>
  <c r="F50" i="42"/>
  <c r="E50" i="42"/>
  <c r="C44" i="42"/>
  <c r="C38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" i="54" s="1"/>
  <c r="G10" i="16" s="1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/>
  <c r="C50" i="2"/>
  <c r="C51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8" i="42" a="1"/>
  <c r="M68" i="42" s="1"/>
  <c r="L31" i="42"/>
  <c r="M16" i="44"/>
  <c r="N15" i="44"/>
  <c r="N16" i="44"/>
  <c r="N14" i="44"/>
  <c r="L35" i="42"/>
  <c r="O35" i="42"/>
  <c r="L33" i="42"/>
  <c r="M100" i="42"/>
  <c r="M13" i="44"/>
  <c r="M101" i="42"/>
  <c r="M102" i="42"/>
  <c r="M16" i="42"/>
  <c r="L14" i="42"/>
  <c r="O31" i="42"/>
  <c r="M31" i="42"/>
  <c r="M33" i="42"/>
  <c r="N101" i="42"/>
  <c r="N102" i="42"/>
  <c r="N100" i="42"/>
  <c r="N13" i="44"/>
  <c r="N60" i="58" l="1"/>
  <c r="N28" i="42" s="1"/>
  <c r="N10" i="58"/>
  <c r="M73" i="2"/>
  <c r="M47" i="2"/>
  <c r="M58" i="2" s="1"/>
  <c r="P73" i="2"/>
  <c r="P14" i="2"/>
  <c r="P34" i="2"/>
  <c r="T73" i="2"/>
  <c r="T14" i="2"/>
  <c r="K35" i="42"/>
  <c r="K12" i="42"/>
  <c r="K31" i="42"/>
  <c r="O21" i="42"/>
  <c r="O10" i="42"/>
  <c r="O33" i="42"/>
  <c r="K100" i="42"/>
  <c r="L61" i="42"/>
  <c r="O88" i="42"/>
  <c r="Q72" i="42"/>
  <c r="K58" i="42"/>
  <c r="N58" i="42"/>
  <c r="N98" i="42"/>
  <c r="O14" i="42"/>
  <c r="O43" i="42"/>
  <c r="Q40" i="42"/>
  <c r="S37" i="42"/>
  <c r="K37" i="42"/>
  <c r="K10" i="42"/>
  <c r="N40" i="42"/>
  <c r="K10" i="53"/>
  <c r="K22" i="53" s="1"/>
  <c r="W22" i="53" s="1"/>
  <c r="M34" i="58"/>
  <c r="S12" i="42"/>
  <c r="S21" i="42"/>
  <c r="O19" i="42"/>
  <c r="K19" i="42"/>
  <c r="N34" i="58"/>
  <c r="O60" i="58"/>
  <c r="O10" i="58"/>
  <c r="S10" i="53"/>
  <c r="S22" i="53" s="1"/>
  <c r="S26" i="53"/>
  <c r="S32" i="53" s="1"/>
  <c r="M14" i="44"/>
  <c r="L13" i="44"/>
  <c r="K102" i="42"/>
  <c r="O72" i="42"/>
  <c r="K98" i="42"/>
  <c r="K14" i="42"/>
  <c r="K46" i="42"/>
  <c r="O40" i="42"/>
  <c r="Q37" i="42"/>
  <c r="K16" i="42"/>
  <c r="Q10" i="53"/>
  <c r="Q22" i="53" s="1"/>
  <c r="K36" i="53"/>
  <c r="K40" i="53" s="1"/>
  <c r="J34" i="58"/>
  <c r="Q49" i="42"/>
  <c r="O23" i="42"/>
  <c r="K21" i="42"/>
  <c r="P36" i="53"/>
  <c r="P40" i="53" s="1"/>
  <c r="W40" i="53" s="1"/>
  <c r="P26" i="53"/>
  <c r="P32" i="53" s="1"/>
  <c r="W32" i="53" s="1"/>
  <c r="R10" i="58"/>
  <c r="R28" i="42" s="1"/>
  <c r="K23" i="42"/>
  <c r="Q60" i="58"/>
  <c r="Q28" i="42" s="1"/>
  <c r="Q10" i="58"/>
  <c r="N36" i="53"/>
  <c r="N40" i="53" s="1"/>
  <c r="N12" i="42"/>
  <c r="N23" i="42"/>
  <c r="N10" i="42"/>
  <c r="N37" i="42"/>
  <c r="Q19" i="42"/>
  <c r="Q33" i="42"/>
  <c r="Q12" i="42"/>
  <c r="Q16" i="42"/>
  <c r="P12" i="42"/>
  <c r="M23" i="42"/>
  <c r="R19" i="42"/>
  <c r="P21" i="42"/>
  <c r="R93" i="2"/>
  <c r="N16" i="42"/>
  <c r="M12" i="42"/>
  <c r="M67" i="42"/>
  <c r="T61" i="55"/>
  <c r="T1" i="55" s="1"/>
  <c r="G11" i="16" s="1"/>
  <c r="T47" i="2"/>
  <c r="T58" i="2" s="1"/>
  <c r="T34" i="2"/>
  <c r="P23" i="2"/>
  <c r="T62" i="2"/>
  <c r="T71" i="2" s="1"/>
  <c r="P10" i="2"/>
  <c r="P12" i="2" s="1"/>
  <c r="L14" i="2"/>
  <c r="O62" i="2"/>
  <c r="O71" i="2" s="1"/>
  <c r="N96" i="2"/>
  <c r="P93" i="2"/>
  <c r="P97" i="2" s="1"/>
  <c r="Q38" i="2"/>
  <c r="L62" i="2"/>
  <c r="L71" i="2" s="1"/>
  <c r="L34" i="2"/>
  <c r="L45" i="2" s="1"/>
  <c r="T102" i="2"/>
  <c r="T106" i="2" s="1"/>
  <c r="T10" i="2"/>
  <c r="T12" i="2" s="1"/>
  <c r="P62" i="2"/>
  <c r="P71" i="2" s="1"/>
  <c r="L93" i="2"/>
  <c r="T93" i="2"/>
  <c r="T96" i="2" s="1"/>
  <c r="W91" i="2"/>
  <c r="R38" i="2"/>
  <c r="Q63" i="42" s="1"/>
  <c r="R96" i="2"/>
  <c r="P95" i="2"/>
  <c r="R95" i="2"/>
  <c r="P98" i="2"/>
  <c r="R63" i="42"/>
  <c r="P38" i="2"/>
  <c r="T38" i="2"/>
  <c r="K93" i="2"/>
  <c r="K62" i="2"/>
  <c r="K71" i="2" s="1"/>
  <c r="K102" i="2"/>
  <c r="K106" i="2" s="1"/>
  <c r="K34" i="2"/>
  <c r="K45" i="2" s="1"/>
  <c r="K47" i="2"/>
  <c r="K58" i="2" s="1"/>
  <c r="K23" i="2"/>
  <c r="K10" i="2"/>
  <c r="K12" i="2" s="1"/>
  <c r="K73" i="2"/>
  <c r="S93" i="2"/>
  <c r="S102" i="2"/>
  <c r="S106" i="2" s="1"/>
  <c r="S10" i="2"/>
  <c r="S12" i="2" s="1"/>
  <c r="S73" i="2"/>
  <c r="S14" i="2"/>
  <c r="S34" i="2"/>
  <c r="S62" i="2"/>
  <c r="S71" i="2" s="1"/>
  <c r="S47" i="2"/>
  <c r="S58" i="2" s="1"/>
  <c r="S23" i="2"/>
  <c r="K14" i="2"/>
  <c r="R97" i="2"/>
  <c r="Q93" i="2"/>
  <c r="Q73" i="2"/>
  <c r="Q14" i="2"/>
  <c r="Q10" i="2"/>
  <c r="Q12" i="2" s="1"/>
  <c r="Q47" i="2"/>
  <c r="Q58" i="2" s="1"/>
  <c r="Q23" i="2"/>
  <c r="Q34" i="2"/>
  <c r="O93" i="2"/>
  <c r="O73" i="2"/>
  <c r="O14" i="2"/>
  <c r="O47" i="2"/>
  <c r="O58" i="2" s="1"/>
  <c r="O23" i="2"/>
  <c r="O10" i="2"/>
  <c r="O12" i="2" s="1"/>
  <c r="O102" i="2"/>
  <c r="O106" i="2" s="1"/>
  <c r="M93" i="2"/>
  <c r="M14" i="2"/>
  <c r="M62" i="2"/>
  <c r="M71" i="2" s="1"/>
  <c r="M23" i="2"/>
  <c r="M34" i="2"/>
  <c r="M45" i="2" s="1"/>
  <c r="M102" i="2"/>
  <c r="M106" i="2" s="1"/>
  <c r="M10" i="2"/>
  <c r="M12" i="2" s="1"/>
  <c r="J93" i="2"/>
  <c r="J10" i="2"/>
  <c r="J12" i="2" s="1"/>
  <c r="J34" i="2"/>
  <c r="J45" i="2" s="1"/>
  <c r="J102" i="2"/>
  <c r="J106" i="2" s="1"/>
  <c r="J23" i="2"/>
  <c r="J62" i="2"/>
  <c r="J71" i="2" s="1"/>
  <c r="J47" i="2"/>
  <c r="J58" i="2" s="1"/>
  <c r="J14" i="2"/>
  <c r="N98" i="2"/>
  <c r="P96" i="2"/>
  <c r="R98" i="2"/>
  <c r="R102" i="2"/>
  <c r="R106" i="2" s="1"/>
  <c r="L47" i="2"/>
  <c r="L58" i="2" s="1"/>
  <c r="R23" i="2"/>
  <c r="N62" i="2"/>
  <c r="N71" i="2" s="1"/>
  <c r="P102" i="2"/>
  <c r="P106" i="2" s="1"/>
  <c r="L23" i="2"/>
  <c r="C96" i="2"/>
  <c r="L67" i="42"/>
  <c r="J67" i="42"/>
  <c r="S1" i="53" l="1"/>
  <c r="G14" i="16" s="1"/>
  <c r="O28" i="42"/>
  <c r="N61" i="42"/>
  <c r="N67" i="42" s="1"/>
  <c r="N68" i="42" a="1"/>
  <c r="N68" i="42" s="1"/>
  <c r="T95" i="2"/>
  <c r="T97" i="2"/>
  <c r="T98" i="2"/>
  <c r="K61" i="42"/>
  <c r="K67" i="42" s="1"/>
  <c r="K68" i="42" a="1"/>
  <c r="K68" i="42" s="1"/>
  <c r="S61" i="42"/>
  <c r="S45" i="2"/>
  <c r="P63" i="42"/>
  <c r="Q45" i="2"/>
  <c r="L97" i="2"/>
  <c r="L98" i="2"/>
  <c r="L95" i="2"/>
  <c r="L96" i="2"/>
  <c r="W71" i="2"/>
  <c r="Q61" i="42"/>
  <c r="Q67" i="42" s="1"/>
  <c r="O61" i="42"/>
  <c r="R45" i="2"/>
  <c r="M98" i="2"/>
  <c r="M97" i="2"/>
  <c r="M96" i="2"/>
  <c r="M95" i="2"/>
  <c r="J97" i="2"/>
  <c r="J95" i="2"/>
  <c r="J98" i="2"/>
  <c r="J96" i="2"/>
  <c r="Q98" i="2"/>
  <c r="Q97" i="2"/>
  <c r="Q96" i="2"/>
  <c r="Q95" i="2"/>
  <c r="C25" i="2" a="1"/>
  <c r="C16" i="2" a="1"/>
  <c r="W58" i="2"/>
  <c r="W106" i="2"/>
  <c r="O96" i="2"/>
  <c r="O95" i="2"/>
  <c r="O98" i="2"/>
  <c r="O97" i="2"/>
  <c r="S96" i="2"/>
  <c r="S95" i="2"/>
  <c r="S98" i="2"/>
  <c r="S97" i="2"/>
  <c r="K96" i="2"/>
  <c r="K95" i="2"/>
  <c r="K98" i="2"/>
  <c r="K97" i="2"/>
  <c r="O63" i="42" l="1"/>
  <c r="O67" i="42" s="1"/>
  <c r="O68" i="42" s="1" a="1"/>
  <c r="O68" i="42" s="1"/>
  <c r="T45" i="2"/>
  <c r="S63" i="42"/>
  <c r="S67" i="42" s="1"/>
  <c r="P45" i="2"/>
  <c r="C20" i="2"/>
  <c r="C17" i="2"/>
  <c r="C16" i="2"/>
  <c r="C19" i="2"/>
  <c r="C18" i="2"/>
  <c r="C21" i="2"/>
  <c r="R61" i="42"/>
  <c r="R67" i="42" s="1"/>
  <c r="C25" i="2"/>
  <c r="C28" i="2"/>
  <c r="C27" i="2"/>
  <c r="C30" i="2"/>
  <c r="C29" i="2"/>
  <c r="C26" i="2"/>
  <c r="P61" i="42"/>
  <c r="W45" i="2" l="1"/>
  <c r="T1" i="2" s="1"/>
  <c r="G13" i="16" s="1"/>
  <c r="S1" i="16" s="1"/>
  <c r="V1" i="53" s="1"/>
  <c r="P67" i="42"/>
  <c r="T30" i="2"/>
  <c r="S20" i="42" s="1"/>
  <c r="E30" i="2"/>
  <c r="P30" i="2"/>
  <c r="O13" i="42" s="1"/>
  <c r="O26" i="42" s="1"/>
  <c r="D30" i="2"/>
  <c r="Q30" i="2"/>
  <c r="P13" i="42" s="1"/>
  <c r="P26" i="42" s="1"/>
  <c r="R30" i="2"/>
  <c r="Q13" i="42" s="1"/>
  <c r="Q26" i="42" s="1"/>
  <c r="S30" i="2"/>
  <c r="R13" i="42" s="1"/>
  <c r="R26" i="42" s="1"/>
  <c r="M19" i="2"/>
  <c r="N19" i="2" s="1"/>
  <c r="D19" i="2"/>
  <c r="E19" i="2"/>
  <c r="D27" i="2"/>
  <c r="E27" i="2"/>
  <c r="T27" i="2"/>
  <c r="P27" i="2"/>
  <c r="R27" i="2"/>
  <c r="S27" i="2"/>
  <c r="Q27" i="2"/>
  <c r="J16" i="2"/>
  <c r="K16" i="2" s="1"/>
  <c r="E16" i="2"/>
  <c r="D16" i="2"/>
  <c r="E26" i="2"/>
  <c r="P26" i="2"/>
  <c r="T26" i="2"/>
  <c r="D26" i="2"/>
  <c r="Q26" i="2"/>
  <c r="R26" i="2"/>
  <c r="S26" i="2"/>
  <c r="E28" i="2"/>
  <c r="T28" i="2"/>
  <c r="P28" i="2"/>
  <c r="D28" i="2"/>
  <c r="Q28" i="2"/>
  <c r="S28" i="2"/>
  <c r="R28" i="2"/>
  <c r="O21" i="2"/>
  <c r="O30" i="2" s="1"/>
  <c r="D21" i="2"/>
  <c r="E21" i="2"/>
  <c r="K17" i="2"/>
  <c r="L17" i="2" s="1"/>
  <c r="E17" i="2"/>
  <c r="D17" i="2"/>
  <c r="T29" i="2"/>
  <c r="P29" i="2"/>
  <c r="E29" i="2"/>
  <c r="D29" i="2"/>
  <c r="Q29" i="2"/>
  <c r="S29" i="2"/>
  <c r="R29" i="2"/>
  <c r="T25" i="2"/>
  <c r="P25" i="2"/>
  <c r="E25" i="2"/>
  <c r="D25" i="2"/>
  <c r="S25" i="2"/>
  <c r="Q25" i="2"/>
  <c r="R25" i="2"/>
  <c r="L18" i="2"/>
  <c r="L27" i="2" s="1"/>
  <c r="E18" i="2"/>
  <c r="D18" i="2"/>
  <c r="N20" i="2"/>
  <c r="O20" i="2" s="1"/>
  <c r="O29" i="2" s="1"/>
  <c r="E20" i="2"/>
  <c r="D20" i="2"/>
  <c r="M28" i="2" l="1"/>
  <c r="J25" i="2"/>
  <c r="M20" i="2"/>
  <c r="M29" i="2" s="1"/>
  <c r="R20" i="42"/>
  <c r="N29" i="2"/>
  <c r="V1" i="58"/>
  <c r="V1" i="44"/>
  <c r="V1" i="54"/>
  <c r="W1" i="55"/>
  <c r="V1" i="42"/>
  <c r="W1" i="2"/>
  <c r="V1" i="4"/>
  <c r="O20" i="42"/>
  <c r="K18" i="2"/>
  <c r="J18" i="2" s="1"/>
  <c r="J27" i="2" s="1"/>
  <c r="L19" i="2"/>
  <c r="S13" i="42"/>
  <c r="S26" i="42" s="1"/>
  <c r="P20" i="42"/>
  <c r="Q20" i="42"/>
  <c r="O19" i="2"/>
  <c r="O90" i="42" s="1"/>
  <c r="N28" i="2"/>
  <c r="M18" i="2"/>
  <c r="M27" i="2" s="1"/>
  <c r="R68" i="42" a="1"/>
  <c r="R68" i="42" s="1"/>
  <c r="S68" i="42" a="1"/>
  <c r="S68" i="42" s="1"/>
  <c r="Q68" i="42" a="1"/>
  <c r="Q68" i="42" s="1"/>
  <c r="P68" i="42" a="1"/>
  <c r="P68" i="42" s="1"/>
  <c r="L26" i="2"/>
  <c r="M17" i="2"/>
  <c r="L16" i="2"/>
  <c r="K25" i="2"/>
  <c r="N13" i="42"/>
  <c r="N26" i="42" s="1"/>
  <c r="N20" i="42"/>
  <c r="M44" i="42"/>
  <c r="P41" i="42"/>
  <c r="P29" i="42"/>
  <c r="P47" i="42"/>
  <c r="J41" i="42"/>
  <c r="R38" i="42"/>
  <c r="L29" i="42"/>
  <c r="P50" i="42"/>
  <c r="S50" i="42"/>
  <c r="K50" i="42"/>
  <c r="M41" i="42"/>
  <c r="N47" i="42"/>
  <c r="O44" i="42"/>
  <c r="R41" i="42"/>
  <c r="R44" i="42"/>
  <c r="P38" i="42"/>
  <c r="K44" i="42"/>
  <c r="J29" i="42"/>
  <c r="S41" i="42"/>
  <c r="N50" i="42"/>
  <c r="K41" i="42"/>
  <c r="O38" i="42"/>
  <c r="Q78" i="42"/>
  <c r="J17" i="2"/>
  <c r="J26" i="2" s="1"/>
  <c r="K29" i="42"/>
  <c r="J44" i="42"/>
  <c r="K26" i="2"/>
  <c r="N44" i="42"/>
  <c r="Q50" i="42"/>
  <c r="M47" i="42"/>
  <c r="O47" i="42"/>
  <c r="S44" i="42"/>
  <c r="R29" i="42"/>
  <c r="Q38" i="42"/>
  <c r="N38" i="42"/>
  <c r="O50" i="42"/>
  <c r="J50" i="42"/>
  <c r="O29" i="42"/>
  <c r="O41" i="42"/>
  <c r="L41" i="42"/>
  <c r="N29" i="42"/>
  <c r="N41" i="42"/>
  <c r="L44" i="42"/>
  <c r="L50" i="42"/>
  <c r="Q41" i="42"/>
  <c r="K47" i="42"/>
  <c r="J47" i="42"/>
  <c r="S29" i="42"/>
  <c r="M29" i="42"/>
  <c r="R50" i="42"/>
  <c r="S47" i="42"/>
  <c r="N21" i="2"/>
  <c r="L47" i="42"/>
  <c r="Q47" i="42"/>
  <c r="M50" i="42"/>
  <c r="P44" i="42"/>
  <c r="Q29" i="42"/>
  <c r="S38" i="42"/>
  <c r="Q44" i="42"/>
  <c r="R47" i="42"/>
  <c r="S91" i="42" l="1"/>
  <c r="S15" i="44" s="1"/>
  <c r="L20" i="2"/>
  <c r="K91" i="42"/>
  <c r="J80" i="42"/>
  <c r="K27" i="2"/>
  <c r="N18" i="2"/>
  <c r="O18" i="2" s="1"/>
  <c r="O27" i="2" s="1"/>
  <c r="K19" i="2"/>
  <c r="L28" i="2"/>
  <c r="N82" i="42"/>
  <c r="J90" i="42"/>
  <c r="S78" i="42"/>
  <c r="S75" i="42"/>
  <c r="Q77" i="42"/>
  <c r="M78" i="42"/>
  <c r="M82" i="42"/>
  <c r="R79" i="42"/>
  <c r="S92" i="42"/>
  <c r="S16" i="44" s="1"/>
  <c r="R74" i="42"/>
  <c r="M91" i="42"/>
  <c r="P77" i="42"/>
  <c r="R92" i="42"/>
  <c r="R16" i="44" s="1"/>
  <c r="P81" i="42"/>
  <c r="M80" i="42"/>
  <c r="O74" i="42"/>
  <c r="L77" i="42"/>
  <c r="J76" i="42"/>
  <c r="P90" i="42"/>
  <c r="J77" i="42"/>
  <c r="L79" i="42"/>
  <c r="R82" i="42"/>
  <c r="K79" i="42"/>
  <c r="N79" i="42"/>
  <c r="N91" i="42"/>
  <c r="K77" i="42"/>
  <c r="N90" i="42"/>
  <c r="S80" i="42"/>
  <c r="P75" i="42"/>
  <c r="N74" i="42"/>
  <c r="N75" i="42"/>
  <c r="J91" i="42"/>
  <c r="N78" i="42"/>
  <c r="Q75" i="42"/>
  <c r="L91" i="42"/>
  <c r="Q90" i="42"/>
  <c r="O82" i="42"/>
  <c r="O79" i="42"/>
  <c r="P79" i="42"/>
  <c r="P76" i="42"/>
  <c r="K75" i="42"/>
  <c r="M81" i="42"/>
  <c r="Q82" i="42"/>
  <c r="P82" i="42"/>
  <c r="K92" i="42"/>
  <c r="J82" i="42"/>
  <c r="K82" i="42"/>
  <c r="P92" i="42"/>
  <c r="P16" i="44" s="1"/>
  <c r="O77" i="42"/>
  <c r="J92" i="42"/>
  <c r="N80" i="42"/>
  <c r="O80" i="42"/>
  <c r="L81" i="42"/>
  <c r="S77" i="42"/>
  <c r="P74" i="42"/>
  <c r="Q80" i="42"/>
  <c r="K90" i="42"/>
  <c r="M74" i="42"/>
  <c r="M92" i="42"/>
  <c r="L82" i="42"/>
  <c r="R75" i="42"/>
  <c r="S76" i="42"/>
  <c r="S81" i="42"/>
  <c r="N92" i="42"/>
  <c r="N76" i="42"/>
  <c r="Q76" i="42"/>
  <c r="L78" i="42"/>
  <c r="Q91" i="42"/>
  <c r="Q15" i="44" s="1"/>
  <c r="K78" i="42"/>
  <c r="P78" i="42"/>
  <c r="R77" i="42"/>
  <c r="Q79" i="42"/>
  <c r="S74" i="42"/>
  <c r="L90" i="42"/>
  <c r="M90" i="42"/>
  <c r="M94" i="42" s="1"/>
  <c r="R90" i="42"/>
  <c r="Q81" i="42"/>
  <c r="M77" i="42"/>
  <c r="K74" i="42"/>
  <c r="K81" i="42"/>
  <c r="N77" i="42"/>
  <c r="O78" i="42"/>
  <c r="K76" i="42"/>
  <c r="L74" i="42"/>
  <c r="P91" i="42"/>
  <c r="P15" i="44" s="1"/>
  <c r="Q92" i="42"/>
  <c r="Q16" i="44" s="1"/>
  <c r="O92" i="42"/>
  <c r="O16" i="44" s="1"/>
  <c r="R80" i="42"/>
  <c r="J74" i="42"/>
  <c r="M76" i="42"/>
  <c r="O91" i="42"/>
  <c r="O15" i="44" s="1"/>
  <c r="S82" i="42"/>
  <c r="L92" i="42"/>
  <c r="J79" i="42"/>
  <c r="J81" i="42"/>
  <c r="L75" i="42"/>
  <c r="L76" i="42"/>
  <c r="S79" i="42"/>
  <c r="P80" i="42"/>
  <c r="Q74" i="42"/>
  <c r="R76" i="42"/>
  <c r="L80" i="42"/>
  <c r="N81" i="42"/>
  <c r="J75" i="42"/>
  <c r="K80" i="42"/>
  <c r="O76" i="42"/>
  <c r="R81" i="42"/>
  <c r="M79" i="42"/>
  <c r="J78" i="42"/>
  <c r="O75" i="42"/>
  <c r="O81" i="42"/>
  <c r="M75" i="42"/>
  <c r="R78" i="42"/>
  <c r="R91" i="42"/>
  <c r="R15" i="44" s="1"/>
  <c r="P52" i="42"/>
  <c r="P54" i="42" s="1"/>
  <c r="S90" i="42"/>
  <c r="S14" i="44" s="1"/>
  <c r="O28" i="2"/>
  <c r="S52" i="42"/>
  <c r="S54" i="42" s="1"/>
  <c r="Q52" i="42"/>
  <c r="Q54" i="42" s="1"/>
  <c r="O52" i="42"/>
  <c r="O54" i="42" s="1"/>
  <c r="K20" i="2"/>
  <c r="L29" i="2"/>
  <c r="O14" i="44"/>
  <c r="M26" i="2"/>
  <c r="N17" i="2"/>
  <c r="N30" i="2"/>
  <c r="M38" i="42" s="1"/>
  <c r="M52" i="42" s="1"/>
  <c r="M54" i="42" s="1"/>
  <c r="M21" i="2"/>
  <c r="R52" i="42"/>
  <c r="R54" i="42" s="1"/>
  <c r="M16" i="2"/>
  <c r="L25" i="2"/>
  <c r="K94" i="42" l="1"/>
  <c r="N27" i="2"/>
  <c r="O94" i="42"/>
  <c r="L94" i="42"/>
  <c r="Q84" i="42"/>
  <c r="J84" i="42"/>
  <c r="S84" i="42"/>
  <c r="L84" i="42"/>
  <c r="R14" i="44"/>
  <c r="R94" i="42"/>
  <c r="Q14" i="44"/>
  <c r="Q94" i="42"/>
  <c r="O84" i="42"/>
  <c r="S94" i="42"/>
  <c r="K84" i="42"/>
  <c r="P84" i="42"/>
  <c r="N94" i="42"/>
  <c r="P94" i="42"/>
  <c r="P14" i="44"/>
  <c r="K28" i="2"/>
  <c r="J19" i="2"/>
  <c r="J28" i="2" s="1"/>
  <c r="M84" i="42"/>
  <c r="N84" i="42"/>
  <c r="R84" i="42"/>
  <c r="J94" i="42"/>
  <c r="M25" i="2"/>
  <c r="N16" i="2"/>
  <c r="M13" i="42"/>
  <c r="M26" i="42" s="1"/>
  <c r="M20" i="42"/>
  <c r="K29" i="2"/>
  <c r="J20" i="2"/>
  <c r="J29" i="2" s="1"/>
  <c r="N26" i="2"/>
  <c r="O17" i="2"/>
  <c r="O26" i="2" s="1"/>
  <c r="L21" i="2"/>
  <c r="M30" i="2"/>
  <c r="L38" i="42" s="1"/>
  <c r="L52" i="42" s="1"/>
  <c r="L54" i="42" s="1"/>
  <c r="L13" i="42" l="1"/>
  <c r="L26" i="42" s="1"/>
  <c r="L20" i="42"/>
  <c r="K21" i="2"/>
  <c r="L30" i="2"/>
  <c r="K38" i="42" s="1"/>
  <c r="K52" i="42" s="1"/>
  <c r="K54" i="42" s="1"/>
  <c r="N25" i="2"/>
  <c r="O16" i="2"/>
  <c r="Q22" i="42" l="1"/>
  <c r="P15" i="42"/>
  <c r="S22" i="42"/>
  <c r="P17" i="42"/>
  <c r="J24" i="42"/>
  <c r="N15" i="42"/>
  <c r="K17" i="42"/>
  <c r="Q17" i="42"/>
  <c r="P24" i="42"/>
  <c r="J17" i="42"/>
  <c r="L15" i="42"/>
  <c r="M24" i="42"/>
  <c r="R17" i="42"/>
  <c r="L22" i="42"/>
  <c r="O15" i="42"/>
  <c r="J22" i="42"/>
  <c r="K15" i="42"/>
  <c r="L24" i="42"/>
  <c r="Q15" i="42"/>
  <c r="R15" i="42"/>
  <c r="O17" i="42"/>
  <c r="K22" i="42"/>
  <c r="J15" i="42"/>
  <c r="M22" i="42"/>
  <c r="S15" i="42"/>
  <c r="K24" i="42"/>
  <c r="M17" i="42"/>
  <c r="R22" i="42"/>
  <c r="L17" i="42"/>
  <c r="O24" i="42"/>
  <c r="N17" i="42"/>
  <c r="N24" i="42"/>
  <c r="M15" i="42"/>
  <c r="R24" i="42"/>
  <c r="Q24" i="42"/>
  <c r="P22" i="42"/>
  <c r="O22" i="42"/>
  <c r="O25" i="2"/>
  <c r="N22" i="42"/>
  <c r="S24" i="42"/>
  <c r="S17" i="42"/>
  <c r="K20" i="42"/>
  <c r="K13" i="42"/>
  <c r="K26" i="42" s="1"/>
  <c r="K30" i="2"/>
  <c r="J38" i="42" s="1"/>
  <c r="J21" i="2"/>
  <c r="J30" i="2" s="1"/>
  <c r="J52" i="42" l="1"/>
  <c r="J54" i="42" s="1"/>
  <c r="N31" i="42"/>
  <c r="J13" i="42"/>
  <c r="J26" i="42" s="1"/>
  <c r="J20" i="42"/>
  <c r="N35" i="42" s="1"/>
  <c r="N33" i="42" l="1"/>
  <c r="N52" i="42" l="1"/>
  <c r="N54" i="42" s="1"/>
  <c r="P101" i="42" l="1"/>
  <c r="P100" i="42"/>
  <c r="P13" i="44" s="1"/>
  <c r="Q101" i="42"/>
  <c r="R100" i="42"/>
  <c r="R13" i="44" s="1"/>
  <c r="S101" i="42"/>
  <c r="R101" i="42"/>
  <c r="O100" i="42"/>
  <c r="O13" i="44" s="1"/>
  <c r="S100" i="42"/>
  <c r="S13" i="44" s="1"/>
  <c r="Q100" i="42"/>
  <c r="Q13" i="44" s="1"/>
  <c r="O101" i="42"/>
  <c r="Q102" i="42" l="1"/>
  <c r="S102" i="42"/>
  <c r="P102" i="42"/>
  <c r="O102" i="42"/>
  <c r="R102" i="42"/>
</calcChain>
</file>

<file path=xl/sharedStrings.xml><?xml version="1.0" encoding="utf-8"?>
<sst xmlns="http://schemas.openxmlformats.org/spreadsheetml/2006/main" count="705" uniqueCount="211">
  <si>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</si>
  <si>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</si>
  <si>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</si>
  <si>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</si>
  <si>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</si>
  <si>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</si>
  <si>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</si>
  <si>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</si>
  <si>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</si>
  <si>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</si>
  <si>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</si>
  <si>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</si>
  <si>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</si>
  <si>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</si>
  <si>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</si>
  <si>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</si>
  <si>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</si>
  <si>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</si>
  <si>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</si>
  <si>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</si>
  <si>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</si>
  <si>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</si>
  <si>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</si>
  <si>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</si>
  <si>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</si>
  <si>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</si>
  <si>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</si>
  <si>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</si>
  <si>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</si>
  <si>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</si>
  <si>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</si>
  <si>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</si>
  <si>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</si>
  <si>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</si>
  <si>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</si>
  <si>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</si>
  <si>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</si>
  <si>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</si>
  <si>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</si>
  <si>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</si>
  <si>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</si>
  <si>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</si>
  <si>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</si>
  <si>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</si>
  <si>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</si>
  <si>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</si>
  <si>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</si>
  <si>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</si>
  <si>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</si>
  <si>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</si>
  <si>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</si>
  <si>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</si>
  <si>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</si>
  <si>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</si>
  <si>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</si>
  <si>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</si>
  <si>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</si>
  <si>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</si>
  <si>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</si>
  <si>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</si>
  <si>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</si>
  <si>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</si>
  <si>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</si>
  <si>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</si>
  <si>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</si>
  <si>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</si>
  <si>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</si>
  <si>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</si>
  <si>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</si>
  <si>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</si>
  <si>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</si>
  <si>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</si>
  <si>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</si>
  <si>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</si>
  <si>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</si>
  <si>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</si>
  <si>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</si>
  <si>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</si>
  <si>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</si>
  <si>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</si>
  <si>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</si>
  <si>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</si>
  <si>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</si>
  <si>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</si>
  <si>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</si>
  <si>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</si>
  <si>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</si>
  <si>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</si>
  <si>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</si>
  <si>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</si>
  <si>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</si>
  <si>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</si>
  <si>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</si>
  <si>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</si>
  <si>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</si>
  <si>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</si>
  <si>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</si>
  <si>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</si>
  <si>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</si>
  <si>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</si>
  <si>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</si>
  <si>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</si>
  <si>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</si>
  <si>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</si>
  <si>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</si>
  <si>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</si>
  <si>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</si>
  <si>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</si>
  <si>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</si>
  <si>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</si>
  <si>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</si>
  <si>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</si>
  <si>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</si>
  <si>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</si>
  <si>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</si>
  <si>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</si>
  <si>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</si>
  <si>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</si>
  <si>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</si>
  <si>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</si>
  <si>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</si>
  <si>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</si>
  <si>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</si>
  <si>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</si>
  <si>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</si>
  <si>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</si>
  <si>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</si>
  <si>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</si>
  <si>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</si>
  <si>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</si>
  <si>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</si>
  <si>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</si>
  <si>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</si>
  <si>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</si>
  <si>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</si>
  <si>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</si>
  <si>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</si>
  <si>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</si>
  <si>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</si>
  <si>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</si>
  <si>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</si>
  <si>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</si>
  <si>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</si>
  <si>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</si>
  <si>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</si>
  <si>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</si>
  <si>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</si>
  <si>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</si>
  <si>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</si>
  <si>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</si>
  <si>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</si>
  <si>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</si>
  <si>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</si>
  <si>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</si>
  <si>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</si>
  <si>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</si>
  <si>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</si>
  <si>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</si>
  <si>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</si>
  <si>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</si>
  <si>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</si>
  <si>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</si>
  <si>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</si>
  <si>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</si>
  <si>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</si>
  <si>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</si>
  <si>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</si>
  <si>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</si>
  <si>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</si>
  <si>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</si>
  <si>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</si>
  <si>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</si>
  <si>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</si>
  <si>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</si>
  <si>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</si>
  <si>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</si>
  <si>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</si>
  <si>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</si>
  <si>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</si>
  <si>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</si>
  <si>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</si>
  <si>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</si>
  <si>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</si>
  <si>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</si>
  <si>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</si>
  <si>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</si>
  <si>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</si>
  <si>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</si>
  <si>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</si>
  <si>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</si>
  <si>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</si>
  <si>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</si>
  <si>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</si>
  <si>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</si>
  <si>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</si>
  <si>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</si>
  <si>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</si>
  <si>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</si>
  <si>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Non recurring costs</t>
  </si>
  <si>
    <t>Operational Improvements</t>
  </si>
  <si>
    <t>19/20 Merger Savings not in Base</t>
  </si>
  <si>
    <t>CAM adjustment</t>
  </si>
  <si>
    <t>Service classification adjustment</t>
  </si>
  <si>
    <t>WPI - BIS</t>
  </si>
  <si>
    <t>WPI - average of DAE and BIS</t>
  </si>
  <si>
    <t>Ergon Energy</t>
  </si>
  <si>
    <t xml:space="preserve">Interpolated </t>
  </si>
  <si>
    <t>https://www.abs.gov.au/AUSSTATS/abs@.nsf/DetailsPage/6401.0Jun%202019?OpenDocument</t>
  </si>
  <si>
    <t>RBA Statement on Monetary Policy inflation forecast,  August 2019, Forecast Table - August 2019</t>
  </si>
  <si>
    <t>https://www.rba.gov.au/publications/smp/2019/aug/pdf/forecast-table-2019-08.pdf</t>
  </si>
  <si>
    <t>Adjustment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</si>
</sst>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</borders>
  <cellStyleXfs count="265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  <xf numFmtId="206" fontId="90" fillId="52" borderId="29" applyBorder="0">
      <alignment horizontal="right"/>
      <protection locked="0"/>
    </xf>
  </cellStyleXfs>
  <cellXfs count="22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1" fontId="5" fillId="0" borderId="0" xfId="0" applyNumberFormat="1" applyFont="1" applyAlignment="1" applyProtection="1">
      <alignment horizontal="center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4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3" fontId="3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0" fontId="3" fillId="0" borderId="0" xfId="2" applyNumberFormat="1" applyFont="1" applyAlignment="1" applyProtection="1">
      <alignment horizontal="center"/>
      <protection locked="0"/>
    </xf>
    <xf numFmtId="170" fontId="9" fillId="0" borderId="0" xfId="5" applyNumberFormat="1" applyFont="1" applyFill="1" applyBorder="1" applyAlignment="1" applyProtection="1">
      <alignment horizontal="center" vertical="center"/>
      <protection locked="0"/>
    </xf>
    <xf numFmtId="164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92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/>
    </xf>
    <xf numFmtId="164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2" fontId="3" fillId="41" borderId="3" xfId="0" applyNumberFormat="1" applyFont="1" applyFill="1" applyBorder="1" applyAlignment="1" applyProtection="1">
      <alignment horizontal="center"/>
      <protection locked="0"/>
    </xf>
    <xf numFmtId="0" fontId="3" fillId="41" borderId="3" xfId="0" applyNumberFormat="1" applyFont="1" applyFill="1" applyBorder="1" applyAlignment="1" applyProtection="1">
      <alignment horizontal="left" indent="1"/>
      <protection locked="0"/>
    </xf>
    <xf numFmtId="10" fontId="89" fillId="50" borderId="3" xfId="2" applyNumberFormat="1" applyFont="1" applyFill="1" applyBorder="1" applyAlignment="1" applyProtection="1">
      <alignment horizontal="center"/>
      <protection locked="0"/>
    </xf>
    <xf numFmtId="1" fontId="3" fillId="41" borderId="3" xfId="2" applyNumberFormat="1" applyFont="1" applyFill="1" applyBorder="1" applyAlignment="1" applyProtection="1">
      <alignment horizontal="center"/>
      <protection locked="0"/>
    </xf>
    <xf numFmtId="194" fontId="3" fillId="51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  <protection locked="0"/>
    </xf>
    <xf numFmtId="10" fontId="3" fillId="0" borderId="0" xfId="2" applyNumberFormat="1" applyFont="1" applyProtection="1"/>
    <xf numFmtId="0" fontId="11" fillId="0" borderId="0" xfId="3"/>
    <xf numFmtId="10" fontId="3" fillId="0" borderId="0" xfId="2" applyNumberFormat="1" applyFont="1" applyAlignment="1" applyProtection="1">
      <alignment horizontal="center"/>
      <protection locked="0"/>
    </xf>
    <xf numFmtId="203" fontId="4" fillId="0" borderId="0" xfId="0" applyNumberFormat="1" applyFont="1" applyFill="1" applyAlignment="1" applyProtection="1">
      <alignment horizontal="center"/>
    </xf>
    <xf numFmtId="43" fontId="3" fillId="0" borderId="0" xfId="0" applyNumberFormat="1" applyFont="1" applyAlignment="1" applyProtection="1">
      <alignment horizontal="left" indent="1"/>
    </xf>
    <xf numFmtId="0" fontId="71" fillId="38" borderId="2" xfId="0" applyNumberFormat="1" applyFont="1" applyFill="1" applyBorder="1" applyAlignment="1" applyProtection="1">
      <alignment horizontal="center"/>
    </xf>
  </cellXfs>
  <cellStyles count="265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NUM" xfId="264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ba.gov.au/publications/smp/2019/aug/pdf/forecast-table-2019-08.pdf" TargetMode="External"/><Relationship Id="rId1" Type="http://schemas.openxmlformats.org/officeDocument/2006/relationships/hyperlink" Target="https://www.abs.gov.au/AUSSTATS/abs@.nsf/DetailsPage/6401.0Jun%202019?OpenDocumen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B1" sqref="B1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176</v>
      </c>
    </row>
    <row r="13" spans="1:47">
      <c r="C13" s="19" t="s">
        <v>55</v>
      </c>
      <c r="D13" s="7" t="s">
        <v>177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="115" zoomScaleNormal="115" workbookViewId="0">
      <selection activeCell="C7" sqref="C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205</v>
      </c>
      <c r="H7" s="29"/>
      <c r="I7" s="29"/>
      <c r="S7" s="131" t="str">
        <f>IF(COUNTBLANK($G7),"Check","Ok")</f>
        <v>Ok</v>
      </c>
    </row>
    <row r="8" spans="1:47">
      <c r="C8" s="29" t="s">
        <v>142</v>
      </c>
      <c r="D8" s="30" t="s">
        <v>73</v>
      </c>
      <c r="E8" s="29"/>
      <c r="F8" s="29"/>
      <c r="G8" s="52" t="s">
        <v>143</v>
      </c>
      <c r="H8" s="29"/>
      <c r="I8" s="29"/>
      <c r="S8" s="131" t="str">
        <f>IF(COUNTBLANK($G8),"Check","Ok")</f>
        <v>Ok</v>
      </c>
    </row>
    <row r="9" spans="1:47">
      <c r="C9" s="29" t="s">
        <v>126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157</v>
      </c>
      <c r="D10" s="30" t="s">
        <v>72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2019</v>
      </c>
      <c r="H11" s="29"/>
      <c r="I11" s="29"/>
      <c r="S11" s="131" t="str">
        <f t="shared" si="0"/>
        <v>Ok</v>
      </c>
    </row>
    <row r="12" spans="1:47">
      <c r="C12" s="29" t="s">
        <v>158</v>
      </c>
      <c r="D12" s="30" t="s">
        <v>72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  <row r="27" spans="7:8" hidden="1"/>
  </sheetData>
  <dataConsolidate/>
  <conditionalFormatting sqref="W14:W15">
    <cfRule type="cellIs" dxfId="198" priority="13" operator="equal">
      <formula>"Check"</formula>
    </cfRule>
    <cfRule type="cellIs" dxfId="197" priority="14" operator="equal">
      <formula>"Ok"</formula>
    </cfRule>
  </conditionalFormatting>
  <conditionalFormatting sqref="V1">
    <cfRule type="cellIs" dxfId="196" priority="3" operator="equal">
      <formula>"Check"</formula>
    </cfRule>
    <cfRule type="cellIs" dxfId="195" priority="4" operator="equal">
      <formula>"Ok"</formula>
    </cfRule>
  </conditionalFormatting>
  <conditionalFormatting sqref="S7:S14">
    <cfRule type="cellIs" dxfId="194" priority="5" operator="equal">
      <formula>"Check"</formula>
    </cfRule>
    <cfRule type="cellIs" dxfId="193" priority="6" operator="equal">
      <formula>"Ok"</formula>
    </cfRule>
  </conditionalFormatting>
  <conditionalFormatting sqref="S1">
    <cfRule type="cellIs" dxfId="192" priority="1" operator="equal">
      <formula>"Check"</formula>
    </cfRule>
    <cfRule type="cellIs" dxfId="191" priority="2" operator="equal">
      <formula>"Ok"</formula>
    </cfRule>
  </conditionalFormatting>
  <dataValidations count="3">
    <dataValidation type="list" allowBlank="1" showInputMessage="1" showErrorMessage="1" sqref="F12:F13 I12:I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4:F15">
      <formula1>"Real 2010,Real 2011,Real 2012,Real 2013,Real 2014,Real 2015,Nominal"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workbookViewId="0">
      <selection activeCell="C7" sqref="C7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140</v>
      </c>
      <c r="F6" s="62" t="s">
        <v>102</v>
      </c>
      <c r="G6" s="62" t="s">
        <v>140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9"/>
      <c r="I55" s="224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F52*1.018</f>
        <v>114.1178</v>
      </c>
      <c r="G56" s="117">
        <f t="shared" si="1"/>
        <v>1.8000000000000016E-2</v>
      </c>
      <c r="H56" s="18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9" t="s">
        <v>23</v>
      </c>
      <c r="I58" s="224" t="s">
        <v>207</v>
      </c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115.42890129999999</v>
      </c>
      <c r="G59" s="117">
        <f t="shared" si="1"/>
        <v>1.6994725110132114E-2</v>
      </c>
      <c r="H59" s="189" t="s">
        <v>206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F56*1.017</f>
        <v>116.05780259999999</v>
      </c>
      <c r="G60" s="117">
        <f t="shared" si="1"/>
        <v>1.6999999999999904E-2</v>
      </c>
      <c r="H60" s="189" t="s">
        <v>208</v>
      </c>
      <c r="I60" s="29"/>
      <c r="J60" s="29"/>
      <c r="N60" s="224"/>
      <c r="P60" s="224" t="s">
        <v>209</v>
      </c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116.40470129999999</v>
      </c>
      <c r="G61" s="117">
        <f t="shared" si="1"/>
        <v>2.019895968448715E-2</v>
      </c>
      <c r="H61" s="189" t="s">
        <v>206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F58*1.017</f>
        <v>116.75159999999998</v>
      </c>
      <c r="G62" s="117">
        <f t="shared" si="1"/>
        <v>1.6999999999999904E-2</v>
      </c>
      <c r="H62" s="189" t="s">
        <v>208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117.50725042469998</v>
      </c>
      <c r="G63" s="117">
        <f t="shared" si="1"/>
        <v>1.8005448386780865E-2</v>
      </c>
      <c r="H63" s="189" t="s">
        <v>206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F60*1.019</f>
        <v>118.26290084939998</v>
      </c>
      <c r="G64" s="117">
        <f t="shared" si="1"/>
        <v>1.8999999999999906E-2</v>
      </c>
      <c r="H64" s="189" t="s">
        <v>208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90" priority="11" operator="equal">
      <formula>"Check"</formula>
    </cfRule>
    <cfRule type="cellIs" dxfId="189" priority="12" operator="equal">
      <formula>"Ok"</formula>
    </cfRule>
  </conditionalFormatting>
  <conditionalFormatting sqref="W1">
    <cfRule type="cellIs" dxfId="188" priority="7" operator="equal">
      <formula>"Check"</formula>
    </cfRule>
    <cfRule type="cellIs" dxfId="187" priority="8" operator="equal">
      <formula>"Ok"</formula>
    </cfRule>
  </conditionalFormatting>
  <conditionalFormatting sqref="T1">
    <cfRule type="cellIs" dxfId="186" priority="5" operator="equal">
      <formula>"Check"</formula>
    </cfRule>
    <cfRule type="cellIs" dxfId="185" priority="6" operator="equal">
      <formula>"Ok"</formula>
    </cfRule>
  </conditionalFormatting>
  <conditionalFormatting sqref="X51:X57">
    <cfRule type="cellIs" dxfId="184" priority="3" operator="equal">
      <formula>"Check"</formula>
    </cfRule>
    <cfRule type="cellIs" dxfId="183" priority="4" operator="equal">
      <formula>"Ok"</formula>
    </cfRule>
  </conditionalFormatting>
  <conditionalFormatting sqref="X58:X62 T9:T64">
    <cfRule type="cellIs" dxfId="182" priority="1" operator="equal">
      <formula>"Check"</formula>
    </cfRule>
    <cfRule type="cellIs" dxfId="181" priority="2" operator="equal">
      <formula>"Ok"</formula>
    </cfRule>
  </conditionalFormatting>
  <dataValidations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  <hyperlink ref="I58" r:id="rId1" display="https://www.abs.gov.au/AUSSTATS/abs@.nsf/DetailsPage/6401.0Jun 2019?OpenDocument"/>
    <hyperlink ref="P60" r:id="rId2"/>
  </hyperlinks>
  <pageMargins left="0.7" right="0.7" top="0.75" bottom="0.75" header="0.3" footer="0.3"/>
  <pageSetup paperSize="9" orientation="portrait" verticalDpi="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topLeftCell="E28" zoomScale="115" zoomScaleNormal="115" workbookViewId="0">
      <selection activeCell="M17" sqref="M17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17" width="10.83203125" style="103" customWidth="1"/>
    <col min="18" max="18" width="15.83203125" style="103" customWidth="1"/>
    <col min="19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126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42156</v>
      </c>
      <c r="G13" s="32"/>
      <c r="H13" s="32"/>
      <c r="I13" s="30"/>
      <c r="J13" s="217">
        <v>339.20204020318909</v>
      </c>
      <c r="K13" s="217">
        <v>345.05513971250281</v>
      </c>
      <c r="L13" s="217">
        <v>350.81264904507054</v>
      </c>
      <c r="M13" s="217">
        <v>358.06024926893065</v>
      </c>
      <c r="N13" s="217">
        <v>364.79570789060602</v>
      </c>
      <c r="O13" s="152"/>
      <c r="P13" s="152"/>
      <c r="Q13" s="152"/>
      <c r="R13" s="152"/>
      <c r="S13" s="152"/>
      <c r="T13" s="29" t="s">
        <v>178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 t="shared" ref="J15:O15" si="1">J13</f>
        <v>339.20204020318909</v>
      </c>
      <c r="K15" s="129">
        <f t="shared" si="1"/>
        <v>345.05513971250281</v>
      </c>
      <c r="L15" s="129">
        <f t="shared" si="1"/>
        <v>350.81264904507054</v>
      </c>
      <c r="M15" s="129">
        <f t="shared" si="1"/>
        <v>358.06024926893065</v>
      </c>
      <c r="N15" s="129">
        <f t="shared" si="1"/>
        <v>364.79570789060602</v>
      </c>
      <c r="O15" s="129">
        <f t="shared" si="1"/>
        <v>0</v>
      </c>
      <c r="P15" s="129">
        <f t="shared" ref="P15:S15" si="2">P13</f>
        <v>0</v>
      </c>
      <c r="Q15" s="129">
        <f t="shared" si="2"/>
        <v>0</v>
      </c>
      <c r="R15" s="129">
        <f t="shared" si="2"/>
        <v>0</v>
      </c>
      <c r="S15" s="129">
        <f t="shared" si="2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167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>$E$29</f>
        <v>$millions</v>
      </c>
      <c r="F19" s="161">
        <f t="shared" ref="F19:F27" si="3">$F$15</f>
        <v>42156</v>
      </c>
      <c r="G19" s="32"/>
      <c r="H19" s="32"/>
      <c r="I19" s="30"/>
      <c r="J19" s="217">
        <v>4.8989712779297276</v>
      </c>
      <c r="K19" s="217">
        <v>5.019446732395564</v>
      </c>
      <c r="L19" s="217">
        <v>5.1326884041393539</v>
      </c>
      <c r="M19" s="217">
        <v>5.2216894966777447</v>
      </c>
      <c r="N19" s="217">
        <v>5.2866337219504667</v>
      </c>
      <c r="O19" s="152"/>
      <c r="P19" s="152"/>
      <c r="Q19" s="152"/>
      <c r="R19" s="152"/>
      <c r="S19" s="152"/>
      <c r="T19" s="29" t="s">
        <v>190</v>
      </c>
      <c r="U19" s="29"/>
      <c r="V19" s="29"/>
      <c r="W19" s="29"/>
    </row>
    <row r="20" spans="1:23">
      <c r="A20" s="29"/>
      <c r="B20" s="29"/>
      <c r="C20" s="61"/>
      <c r="D20" s="30" t="s">
        <v>73</v>
      </c>
      <c r="E20" s="30" t="str">
        <f t="shared" ref="E20:E27" si="4">$E$15</f>
        <v>$millions</v>
      </c>
      <c r="F20" s="161">
        <f t="shared" si="3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4"/>
        <v>$millions</v>
      </c>
      <c r="F21" s="161">
        <f t="shared" si="3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4"/>
        <v>$millions</v>
      </c>
      <c r="F22" s="161">
        <f t="shared" si="3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4"/>
        <v>$millions</v>
      </c>
      <c r="F23" s="161">
        <f t="shared" si="3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4"/>
        <v>$millions</v>
      </c>
      <c r="F24" s="161">
        <f t="shared" si="3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4"/>
        <v>$millions</v>
      </c>
      <c r="F25" s="161">
        <f t="shared" si="3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4"/>
        <v>$millions</v>
      </c>
      <c r="F26" s="161">
        <f t="shared" si="3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4"/>
        <v>$millions</v>
      </c>
      <c r="F27" s="161">
        <f t="shared" si="3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165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4.8989712779297276</v>
      </c>
      <c r="K29" s="129">
        <f t="shared" ref="K29:S29" si="5">SUM(K19:K27)</f>
        <v>5.019446732395564</v>
      </c>
      <c r="L29" s="129">
        <f t="shared" si="5"/>
        <v>5.1326884041393539</v>
      </c>
      <c r="M29" s="129">
        <f t="shared" si="5"/>
        <v>5.2216894966777447</v>
      </c>
      <c r="N29" s="129">
        <f t="shared" si="5"/>
        <v>5.2866337219504667</v>
      </c>
      <c r="O29" s="129">
        <f t="shared" si="5"/>
        <v>0</v>
      </c>
      <c r="P29" s="129">
        <f t="shared" si="5"/>
        <v>0</v>
      </c>
      <c r="Q29" s="129">
        <f t="shared" si="5"/>
        <v>0</v>
      </c>
      <c r="R29" s="129">
        <f t="shared" si="5"/>
        <v>0</v>
      </c>
      <c r="S29" s="129">
        <f t="shared" si="5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 t="s">
        <v>78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6">IF(YEAR(J$4)&lt;=PPLastYear,J$4,"")</f>
        <v>42522</v>
      </c>
      <c r="K34" s="159">
        <f t="shared" si="6"/>
        <v>42887</v>
      </c>
      <c r="L34" s="159">
        <f t="shared" si="6"/>
        <v>43252</v>
      </c>
      <c r="M34" s="159">
        <f t="shared" si="6"/>
        <v>43617</v>
      </c>
      <c r="N34" s="159">
        <f t="shared" si="6"/>
        <v>43983</v>
      </c>
      <c r="O34" s="159" t="str">
        <f t="shared" si="6"/>
        <v/>
      </c>
      <c r="P34" s="159" t="str">
        <f t="shared" si="6"/>
        <v/>
      </c>
      <c r="Q34" s="159" t="str">
        <f t="shared" si="6"/>
        <v/>
      </c>
      <c r="R34" s="159" t="str">
        <f t="shared" si="6"/>
        <v/>
      </c>
      <c r="S34" s="159" t="str">
        <f t="shared" si="6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15" t="str">
        <f>$E$56</f>
        <v>$millions</v>
      </c>
      <c r="F37" s="216" t="s">
        <v>105</v>
      </c>
      <c r="G37" s="32"/>
      <c r="H37" s="32"/>
      <c r="I37" s="30"/>
      <c r="J37" s="164"/>
      <c r="K37" s="164"/>
      <c r="L37" s="164"/>
      <c r="M37" s="217">
        <v>367.75770145966646</v>
      </c>
      <c r="N37" s="164"/>
      <c r="O37" s="152"/>
      <c r="P37" s="152"/>
      <c r="Q37" s="152"/>
      <c r="R37" s="152"/>
      <c r="S37" s="152"/>
      <c r="T37" s="29" t="s">
        <v>179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152"/>
      <c r="U38" s="29"/>
      <c r="V38" s="29"/>
      <c r="W38" s="29"/>
    </row>
    <row r="39" spans="1:23">
      <c r="A39" s="29"/>
      <c r="B39" s="29"/>
      <c r="C39" s="67" t="s">
        <v>194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152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198</v>
      </c>
      <c r="D41" s="30" t="s">
        <v>79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217">
        <v>0</v>
      </c>
      <c r="N41" s="164"/>
      <c r="O41" s="152"/>
      <c r="P41" s="152"/>
      <c r="Q41" s="152"/>
      <c r="R41" s="152"/>
      <c r="S41" s="152"/>
      <c r="T41" s="29" t="s">
        <v>193</v>
      </c>
      <c r="U41" s="29"/>
      <c r="V41" s="29"/>
      <c r="W41" s="152"/>
    </row>
    <row r="42" spans="1:23">
      <c r="A42" s="29"/>
      <c r="B42" s="29"/>
      <c r="C42" s="61" t="s">
        <v>199</v>
      </c>
      <c r="D42" s="30" t="s">
        <v>79</v>
      </c>
      <c r="E42" s="30" t="str">
        <f>$E$56</f>
        <v>$millions</v>
      </c>
      <c r="F42" s="161" t="str">
        <f t="shared" ref="F42:F45" si="7">$F$37</f>
        <v>nominal</v>
      </c>
      <c r="G42" s="32"/>
      <c r="H42" s="32"/>
      <c r="I42" s="30"/>
      <c r="J42" s="164"/>
      <c r="K42" s="164"/>
      <c r="L42" s="164"/>
      <c r="M42" s="217">
        <v>0</v>
      </c>
      <c r="N42" s="164"/>
      <c r="O42" s="152"/>
      <c r="P42" s="152"/>
      <c r="Q42" s="152"/>
      <c r="R42" s="152"/>
      <c r="S42" s="152"/>
      <c r="T42" s="29"/>
      <c r="U42" s="29"/>
      <c r="V42" s="29"/>
      <c r="W42" s="152"/>
    </row>
    <row r="43" spans="1:23">
      <c r="A43" s="29"/>
      <c r="B43" s="29"/>
      <c r="C43" s="61" t="s">
        <v>200</v>
      </c>
      <c r="D43" s="30" t="s">
        <v>79</v>
      </c>
      <c r="E43" s="30" t="str">
        <f>$E$56</f>
        <v>$millions</v>
      </c>
      <c r="F43" s="161" t="str">
        <f t="shared" si="7"/>
        <v>nominal</v>
      </c>
      <c r="G43" s="32"/>
      <c r="H43" s="32"/>
      <c r="I43" s="30"/>
      <c r="J43" s="164"/>
      <c r="K43" s="164"/>
      <c r="L43" s="164"/>
      <c r="M43" s="217">
        <v>0</v>
      </c>
      <c r="N43" s="164"/>
      <c r="O43" s="152"/>
      <c r="P43" s="152"/>
      <c r="Q43" s="152"/>
      <c r="R43" s="152"/>
      <c r="S43" s="152"/>
      <c r="T43" s="29"/>
      <c r="U43" s="29"/>
      <c r="V43" s="29"/>
      <c r="W43" s="152"/>
    </row>
    <row r="44" spans="1:23">
      <c r="A44" s="29"/>
      <c r="B44" s="29"/>
      <c r="C44" s="61"/>
      <c r="D44" s="30" t="s">
        <v>79</v>
      </c>
      <c r="E44" s="30" t="str">
        <f>$E$56</f>
        <v>$millions</v>
      </c>
      <c r="F44" s="161" t="str">
        <f t="shared" si="7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$E$56</f>
        <v>$millions</v>
      </c>
      <c r="F45" s="161" t="str">
        <f t="shared" si="7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191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0</v>
      </c>
      <c r="K47" s="129">
        <f t="shared" ref="K47:S47" si="8">K37-SUM(K41:K45)</f>
        <v>0</v>
      </c>
      <c r="L47" s="129">
        <f t="shared" si="8"/>
        <v>0</v>
      </c>
      <c r="M47" s="129">
        <f t="shared" si="8"/>
        <v>367.75770145966646</v>
      </c>
      <c r="N47" s="129">
        <f t="shared" si="8"/>
        <v>0</v>
      </c>
      <c r="O47" s="129">
        <f t="shared" si="8"/>
        <v>0</v>
      </c>
      <c r="P47" s="129">
        <f t="shared" si="8"/>
        <v>0</v>
      </c>
      <c r="Q47" s="129">
        <f t="shared" si="8"/>
        <v>0</v>
      </c>
      <c r="R47" s="129">
        <f t="shared" si="8"/>
        <v>0</v>
      </c>
      <c r="S47" s="129">
        <f t="shared" si="8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116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$E$56</f>
        <v>$millions</v>
      </c>
      <c r="F51" s="161" t="str">
        <f t="shared" ref="F51:F54" si="9">$F$56</f>
        <v>nominal</v>
      </c>
      <c r="G51" s="32"/>
      <c r="H51" s="32"/>
      <c r="I51" s="30"/>
      <c r="J51" s="217"/>
      <c r="K51" s="217"/>
      <c r="L51" s="217"/>
      <c r="M51" s="217"/>
      <c r="N51" s="217"/>
      <c r="O51" s="152"/>
      <c r="P51" s="152"/>
      <c r="Q51" s="152"/>
      <c r="R51" s="152"/>
      <c r="S51" s="152"/>
      <c r="T51" s="29" t="s">
        <v>190</v>
      </c>
      <c r="U51" s="29"/>
      <c r="V51" s="29"/>
      <c r="W51" s="29"/>
    </row>
    <row r="52" spans="1:23">
      <c r="A52" s="29"/>
      <c r="B52" s="29"/>
      <c r="C52" s="61" t="s">
        <v>122</v>
      </c>
      <c r="D52" s="30" t="s">
        <v>79</v>
      </c>
      <c r="E52" s="30" t="str">
        <f>$E$56</f>
        <v>$millions</v>
      </c>
      <c r="F52" s="161" t="str">
        <f t="shared" si="9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79</v>
      </c>
      <c r="E53" s="30" t="str">
        <f>$E$56</f>
        <v>$millions</v>
      </c>
      <c r="F53" s="161" t="str">
        <f t="shared" si="9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$E$56</f>
        <v>$millions</v>
      </c>
      <c r="F54" s="161" t="str">
        <f t="shared" si="9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165</v>
      </c>
      <c r="D56" s="140" t="s">
        <v>30</v>
      </c>
      <c r="E56" s="130" t="s">
        <v>15</v>
      </c>
      <c r="F56" s="162" t="s">
        <v>105</v>
      </c>
      <c r="G56" s="32"/>
      <c r="H56" s="32"/>
      <c r="I56" s="30"/>
      <c r="J56" s="187">
        <f>SUM(J51:J54)</f>
        <v>0</v>
      </c>
      <c r="K56" s="187">
        <f t="shared" ref="K56:S56" si="10">SUM(K51:K54)</f>
        <v>0</v>
      </c>
      <c r="L56" s="187">
        <f t="shared" si="10"/>
        <v>0</v>
      </c>
      <c r="M56" s="187">
        <f t="shared" si="10"/>
        <v>0</v>
      </c>
      <c r="N56" s="187">
        <f t="shared" si="10"/>
        <v>0</v>
      </c>
      <c r="O56" s="187">
        <f t="shared" si="10"/>
        <v>0</v>
      </c>
      <c r="P56" s="187">
        <f t="shared" si="10"/>
        <v>0</v>
      </c>
      <c r="Q56" s="187">
        <f t="shared" si="10"/>
        <v>0</v>
      </c>
      <c r="R56" s="187">
        <f t="shared" si="10"/>
        <v>0</v>
      </c>
      <c r="S56" s="187">
        <f t="shared" si="10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117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118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1">IF(YEAR(J$4)=PPLastYear,J$4,"")</f>
        <v/>
      </c>
      <c r="K60" s="159" t="str">
        <f t="shared" si="11"/>
        <v/>
      </c>
      <c r="L60" s="159" t="str">
        <f t="shared" si="11"/>
        <v/>
      </c>
      <c r="M60" s="159" t="str">
        <f t="shared" si="11"/>
        <v/>
      </c>
      <c r="N60" s="159">
        <f t="shared" si="11"/>
        <v>43983</v>
      </c>
      <c r="O60" s="159" t="str">
        <f t="shared" si="11"/>
        <v/>
      </c>
      <c r="P60" s="159" t="str">
        <f t="shared" si="11"/>
        <v/>
      </c>
      <c r="Q60" s="159" t="str">
        <f t="shared" si="11"/>
        <v/>
      </c>
      <c r="R60" s="159" t="str">
        <f t="shared" si="11"/>
        <v/>
      </c>
      <c r="S60" s="159" t="str">
        <f t="shared" si="11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201</v>
      </c>
      <c r="D62" s="30" t="s">
        <v>34</v>
      </c>
      <c r="E62" s="30" t="str">
        <f>$E$56</f>
        <v>$millions</v>
      </c>
      <c r="F62" s="172">
        <v>43983</v>
      </c>
      <c r="G62" s="32"/>
      <c r="H62" s="32"/>
      <c r="I62" s="32"/>
      <c r="J62" s="164"/>
      <c r="K62" s="164"/>
      <c r="L62" s="164"/>
      <c r="M62" s="164"/>
      <c r="N62" s="217">
        <v>0</v>
      </c>
      <c r="O62" s="164"/>
      <c r="P62" s="164"/>
      <c r="Q62" s="164"/>
      <c r="R62" s="163"/>
      <c r="S62" s="163"/>
      <c r="T62" s="29"/>
      <c r="U62" s="29"/>
      <c r="V62" s="29"/>
      <c r="W62" s="29"/>
    </row>
    <row r="63" spans="1:23">
      <c r="A63" s="29"/>
      <c r="B63" s="29"/>
      <c r="C63" s="61" t="s">
        <v>202</v>
      </c>
      <c r="D63" s="30" t="s">
        <v>34</v>
      </c>
      <c r="E63" s="30" t="str">
        <f t="shared" ref="E63:E68" si="12">$E$56</f>
        <v>$millions</v>
      </c>
      <c r="F63" s="172">
        <v>43983</v>
      </c>
      <c r="G63" s="32"/>
      <c r="H63" s="32"/>
      <c r="I63" s="32"/>
      <c r="J63" s="164"/>
      <c r="K63" s="164"/>
      <c r="L63" s="164"/>
      <c r="M63" s="164"/>
      <c r="N63" s="217">
        <v>0.25830638476133183</v>
      </c>
      <c r="O63" s="164"/>
      <c r="P63" s="164"/>
      <c r="Q63" s="164"/>
      <c r="R63" s="163"/>
      <c r="S63" s="163"/>
      <c r="T63" s="29"/>
      <c r="U63" s="29"/>
      <c r="V63" s="29"/>
      <c r="W63" s="29"/>
    </row>
    <row r="64" spans="1:23">
      <c r="A64" s="29"/>
      <c r="B64" s="29"/>
      <c r="C64" s="61" t="s">
        <v>210</v>
      </c>
      <c r="D64" s="30" t="s">
        <v>34</v>
      </c>
      <c r="E64" s="30" t="str">
        <f t="shared" si="12"/>
        <v>$millions</v>
      </c>
      <c r="F64" s="172">
        <v>43983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3"/>
      <c r="S64" s="163"/>
      <c r="T64" s="29"/>
      <c r="U64" s="29"/>
      <c r="V64" s="29"/>
      <c r="W64" s="29"/>
    </row>
    <row r="65" spans="1:23">
      <c r="A65" s="29"/>
      <c r="B65" s="29"/>
      <c r="C65" s="61" t="s">
        <v>119</v>
      </c>
      <c r="D65" s="30" t="s">
        <v>34</v>
      </c>
      <c r="E65" s="30" t="str">
        <f t="shared" si="12"/>
        <v>$millions</v>
      </c>
      <c r="F65" s="172">
        <v>43983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120</v>
      </c>
      <c r="D66" s="30" t="s">
        <v>34</v>
      </c>
      <c r="E66" s="30" t="str">
        <f t="shared" si="12"/>
        <v>$millions</v>
      </c>
      <c r="F66" s="172">
        <v>43983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192</v>
      </c>
      <c r="D68" s="30" t="s">
        <v>34</v>
      </c>
      <c r="E68" s="30" t="str">
        <f t="shared" si="12"/>
        <v>$millions</v>
      </c>
      <c r="F68" s="172">
        <v>43983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22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93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4:W45">
    <cfRule type="cellIs" dxfId="180" priority="33" operator="equal">
      <formula>"Check"</formula>
    </cfRule>
    <cfRule type="cellIs" dxfId="179" priority="34" operator="equal">
      <formula>"Ok"</formula>
    </cfRule>
  </conditionalFormatting>
  <conditionalFormatting sqref="W56">
    <cfRule type="cellIs" dxfId="178" priority="31" operator="equal">
      <formula>"Check"</formula>
    </cfRule>
    <cfRule type="cellIs" dxfId="177" priority="32" operator="equal">
      <formula>"Ok"</formula>
    </cfRule>
  </conditionalFormatting>
  <conditionalFormatting sqref="W15">
    <cfRule type="cellIs" dxfId="176" priority="29" operator="equal">
      <formula>"Check"</formula>
    </cfRule>
    <cfRule type="cellIs" dxfId="175" priority="30" operator="equal">
      <formula>"Ok"</formula>
    </cfRule>
  </conditionalFormatting>
  <conditionalFormatting sqref="V1">
    <cfRule type="cellIs" dxfId="174" priority="27" operator="equal">
      <formula>"Check"</formula>
    </cfRule>
    <cfRule type="cellIs" dxfId="173" priority="28" operator="equal">
      <formula>"Ok"</formula>
    </cfRule>
  </conditionalFormatting>
  <conditionalFormatting sqref="S1">
    <cfRule type="cellIs" dxfId="172" priority="25" operator="equal">
      <formula>"Check"</formula>
    </cfRule>
    <cfRule type="cellIs" dxfId="171" priority="26" operator="equal">
      <formula>"Ok"</formula>
    </cfRule>
  </conditionalFormatting>
  <conditionalFormatting sqref="J15:S15">
    <cfRule type="cellIs" dxfId="170" priority="24" operator="equal">
      <formula>0</formula>
    </cfRule>
  </conditionalFormatting>
  <conditionalFormatting sqref="J56:S56">
    <cfRule type="cellIs" dxfId="169" priority="23" operator="equal">
      <formula>0</formula>
    </cfRule>
  </conditionalFormatting>
  <conditionalFormatting sqref="W48:W50">
    <cfRule type="cellIs" dxfId="168" priority="21" operator="equal">
      <formula>"Check"</formula>
    </cfRule>
    <cfRule type="cellIs" dxfId="167" priority="22" operator="equal">
      <formula>"Ok"</formula>
    </cfRule>
  </conditionalFormatting>
  <conditionalFormatting sqref="J44:S45 N37:S37 J33:S33 J52:S54 J41:L43 N41:S43 O51:S51">
    <cfRule type="expression" dxfId="166" priority="19">
      <formula>J$34=J$4</formula>
    </cfRule>
  </conditionalFormatting>
  <conditionalFormatting sqref="P13:S13 J20:S27 O19:S19">
    <cfRule type="expression" dxfId="165" priority="18">
      <formula>J$10=J$4</formula>
    </cfRule>
  </conditionalFormatting>
  <conditionalFormatting sqref="J37:L37 N37">
    <cfRule type="expression" dxfId="164" priority="15">
      <formula>J$10=J$4</formula>
    </cfRule>
  </conditionalFormatting>
  <conditionalFormatting sqref="W47">
    <cfRule type="cellIs" dxfId="163" priority="13" operator="equal">
      <formula>"Check"</formula>
    </cfRule>
    <cfRule type="cellIs" dxfId="162" priority="14" operator="equal">
      <formula>"Ok"</formula>
    </cfRule>
  </conditionalFormatting>
  <conditionalFormatting sqref="J47:S47">
    <cfRule type="cellIs" dxfId="161" priority="11" operator="equal">
      <formula>0</formula>
    </cfRule>
  </conditionalFormatting>
  <conditionalFormatting sqref="J68:S68 J70:S70 J62:M63 O62:P63 J65:S66 J64:Q64">
    <cfRule type="expression" dxfId="160" priority="10">
      <formula>J$60=J$4</formula>
    </cfRule>
  </conditionalFormatting>
  <conditionalFormatting sqref="W29">
    <cfRule type="cellIs" dxfId="159" priority="6" operator="equal">
      <formula>"Check"</formula>
    </cfRule>
    <cfRule type="cellIs" dxfId="158" priority="7" operator="equal">
      <formula>"Ok"</formula>
    </cfRule>
  </conditionalFormatting>
  <conditionalFormatting sqref="J29:S29">
    <cfRule type="cellIs" dxfId="157" priority="5" operator="equal">
      <formula>0</formula>
    </cfRule>
  </conditionalFormatting>
  <conditionalFormatting sqref="Q62:Q63">
    <cfRule type="expression" dxfId="156" priority="149">
      <formula>R$60=R$4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4"/>
  <sheetViews>
    <sheetView showGridLines="0" topLeftCell="E70" workbookViewId="0">
      <selection activeCell="C7" sqref="C7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126</v>
      </c>
      <c r="K3" s="228"/>
      <c r="L3" s="228"/>
      <c r="M3" s="228"/>
      <c r="N3" s="183"/>
      <c r="O3" s="228"/>
      <c r="P3" s="228"/>
      <c r="Q3" s="228"/>
      <c r="R3" s="228"/>
      <c r="S3" s="228"/>
      <c r="T3" s="228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1.5108593012275628E-2</v>
      </c>
      <c r="K12" s="143">
        <f>IF(K10=K4,LOOKUP(EOMONTH(K4,0),'Input|Inflation'!$C$9:$C$64,'Input|Inflation'!$G$9:$G$64),"")</f>
        <v>1.0232558139534831E-2</v>
      </c>
      <c r="L12" s="143">
        <f>IF(L10=L4,LOOKUP(EOMONTH(L4,0),'Input|Inflation'!$C$9:$C$64,'Input|Inflation'!$G$9:$G$64),"")</f>
        <v>1.9337016574585641E-2</v>
      </c>
      <c r="M12" s="143">
        <f>IF(M10=M4,LOOKUP(EOMONTH(M4,0),'Input|Inflation'!$C$9:$C$64,'Input|Inflation'!$G$9:$G$64),"")</f>
        <v>2.0776874435411097E-2</v>
      </c>
      <c r="N12" s="143">
        <f>IF(N10=N4,LOOKUP(EOMONTH(N4,0),'Input|Inflation'!$C$9:$C$64,'Input|Inflation'!$G$9:$G$64),"")</f>
        <v>1.5929203539823078E-2</v>
      </c>
      <c r="O12" s="143">
        <f>IF(O10=O4,LOOKUP(EOMONTH(O4,0),'Input|Inflation'!$C$9:$C$64,'Input|Inflation'!$G$9:$G$64),"")</f>
        <v>1.6999999999999904E-2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21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:O21" si="4">IF(AND($C16&gt;O$14,ISNONTEXT($C16)),P16/(1+O$12),IF(AND($C16=O$14,O$14=O$4),1,IF(AND($C16&lt;O$14,O$14=O$4),N16*(1+O$12),0)))</f>
        <v>1.0860613953488372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si="3"/>
        <v>0.98987108655616951</v>
      </c>
      <c r="K17" s="22">
        <f t="shared" si="3"/>
        <v>1</v>
      </c>
      <c r="L17" s="22">
        <f t="shared" si="3"/>
        <v>1.0193370165745856</v>
      </c>
      <c r="M17" s="22">
        <f t="shared" si="3"/>
        <v>1.0405156537753224</v>
      </c>
      <c r="N17" s="22">
        <f t="shared" si="3"/>
        <v>1.0570902394106816</v>
      </c>
      <c r="O17" s="22">
        <f t="shared" si="4"/>
        <v>1.075060773480663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si="3"/>
        <v>0.97109304426377607</v>
      </c>
      <c r="K18" s="22">
        <f t="shared" si="3"/>
        <v>0.98102981029810299</v>
      </c>
      <c r="L18" s="22">
        <f t="shared" si="3"/>
        <v>1</v>
      </c>
      <c r="M18" s="22">
        <f t="shared" si="3"/>
        <v>1.0207768744354111</v>
      </c>
      <c r="N18" s="22">
        <f t="shared" si="3"/>
        <v>1.0370370370370372</v>
      </c>
      <c r="O18" s="22">
        <f t="shared" si="4"/>
        <v>1.0546666666666666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si="3"/>
        <v>0.95132743362831851</v>
      </c>
      <c r="K19" s="22">
        <f t="shared" si="3"/>
        <v>0.96106194690265478</v>
      </c>
      <c r="L19" s="22">
        <f t="shared" si="3"/>
        <v>0.97964601769911497</v>
      </c>
      <c r="M19" s="22">
        <f t="shared" si="3"/>
        <v>1</v>
      </c>
      <c r="N19" s="22">
        <f t="shared" si="3"/>
        <v>1.0159292035398231</v>
      </c>
      <c r="O19" s="22">
        <f t="shared" si="4"/>
        <v>1.0331999999999999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si="3"/>
        <v>0.94599303135888479</v>
      </c>
      <c r="L20" s="22">
        <f t="shared" si="3"/>
        <v>0.96428571428571408</v>
      </c>
      <c r="M20" s="22">
        <f t="shared" si="3"/>
        <v>0.98432055749128911</v>
      </c>
      <c r="N20" s="22">
        <f t="shared" si="3"/>
        <v>1</v>
      </c>
      <c r="O20" s="22">
        <f t="shared" si="4"/>
        <v>1.0169999999999999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0.92075825941571665</v>
      </c>
      <c r="K21" s="22">
        <f t="shared" si="3"/>
        <v>0.93017997183764489</v>
      </c>
      <c r="L21" s="22">
        <f t="shared" si="3"/>
        <v>0.94816687737041705</v>
      </c>
      <c r="M21" s="22">
        <f t="shared" si="3"/>
        <v>0.96786682152535808</v>
      </c>
      <c r="N21" s="22">
        <f t="shared" si="3"/>
        <v>0.98328416912487715</v>
      </c>
      <c r="O21" s="22">
        <f t="shared" si="4"/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6">IF(YEAR(J$4)&lt;=PPLastYear,J$4,"")</f>
        <v>42156</v>
      </c>
      <c r="K23" s="159">
        <f t="shared" si="6"/>
        <v>42522</v>
      </c>
      <c r="L23" s="159">
        <f t="shared" si="6"/>
        <v>42887</v>
      </c>
      <c r="M23" s="159">
        <f t="shared" si="6"/>
        <v>43252</v>
      </c>
      <c r="N23" s="159">
        <f t="shared" si="6"/>
        <v>43617</v>
      </c>
      <c r="O23" s="159">
        <f t="shared" si="6"/>
        <v>43983</v>
      </c>
      <c r="P23" s="159" t="str">
        <f t="shared" si="6"/>
        <v/>
      </c>
      <c r="Q23" s="159" t="str">
        <f t="shared" si="6"/>
        <v/>
      </c>
      <c r="R23" s="159" t="str">
        <f t="shared" si="6"/>
        <v/>
      </c>
      <c r="S23" s="159" t="str">
        <f t="shared" si="6"/>
        <v/>
      </c>
      <c r="T23" s="159" t="str">
        <f t="shared" si="6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7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8">IF(AND(K$23=K$4,ISNONTEXT($C25)),1/K16*(1+K$12)^0.5,0)</f>
        <v>0.99492265355462162</v>
      </c>
      <c r="L25" s="22">
        <f t="shared" si="8"/>
        <v>0.98043711010575396</v>
      </c>
      <c r="M25" s="22">
        <f t="shared" si="8"/>
        <v>0.96115943194340514</v>
      </c>
      <c r="N25" s="22">
        <f t="shared" si="8"/>
        <v>0.94383982538601641</v>
      </c>
      <c r="O25" s="22">
        <f t="shared" si="8"/>
        <v>0.92855172199025027</v>
      </c>
      <c r="P25" s="22">
        <f t="shared" si="8"/>
        <v>0</v>
      </c>
      <c r="Q25" s="22">
        <f t="shared" si="8"/>
        <v>0</v>
      </c>
      <c r="R25" s="22">
        <f t="shared" si="8"/>
        <v>0</v>
      </c>
      <c r="S25" s="22">
        <f t="shared" si="8"/>
        <v>0</v>
      </c>
      <c r="T25" s="22">
        <f t="shared" si="8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7"/>
        <v>calculated</v>
      </c>
      <c r="E26" s="30" t="str">
        <f t="shared" ref="E26:E30" si="9">IF(ISNONTEXT($C26),"index","")</f>
        <v>index</v>
      </c>
      <c r="I26" s="22"/>
      <c r="J26" s="22">
        <f t="shared" ref="J26:T26" si="10">IF(AND(J$23=J$4,ISNONTEXT($C26)),1/J17*(1+J$12)^0.5,0)</f>
        <v>1.0178355444762099</v>
      </c>
      <c r="K26" s="22">
        <f t="shared" si="10"/>
        <v>1.0051032574514596</v>
      </c>
      <c r="L26" s="22">
        <f t="shared" si="10"/>
        <v>0.99046948983706851</v>
      </c>
      <c r="M26" s="22">
        <f t="shared" si="10"/>
        <v>0.97099455171212823</v>
      </c>
      <c r="N26" s="22">
        <f t="shared" si="10"/>
        <v>0.95349772127368704</v>
      </c>
      <c r="O26" s="22">
        <f t="shared" si="10"/>
        <v>0.93805318147108052</v>
      </c>
      <c r="P26" s="22">
        <f t="shared" si="10"/>
        <v>0</v>
      </c>
      <c r="Q26" s="22">
        <f t="shared" si="10"/>
        <v>0</v>
      </c>
      <c r="R26" s="22">
        <f t="shared" si="10"/>
        <v>0</v>
      </c>
      <c r="S26" s="22">
        <f t="shared" si="10"/>
        <v>0</v>
      </c>
      <c r="T26" s="22">
        <f t="shared" si="10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7"/>
        <v>calculated</v>
      </c>
      <c r="E27" s="30" t="str">
        <f t="shared" si="9"/>
        <v>index</v>
      </c>
      <c r="I27" s="22"/>
      <c r="J27" s="22">
        <f t="shared" ref="J27:T27" si="11">IF(AND(J$23=J$4,ISNONTEXT($C27)),1/J18*(1+J$12)^0.5,0)</f>
        <v>1.0375174472699489</v>
      </c>
      <c r="K27" s="22">
        <f t="shared" si="11"/>
        <v>1.0245389557999685</v>
      </c>
      <c r="L27" s="22">
        <f t="shared" si="11"/>
        <v>1.0096222147786693</v>
      </c>
      <c r="M27" s="22">
        <f t="shared" si="11"/>
        <v>0.98977068945241797</v>
      </c>
      <c r="N27" s="22">
        <f t="shared" si="11"/>
        <v>0.97193552251378601</v>
      </c>
      <c r="O27" s="22">
        <f t="shared" si="11"/>
        <v>0.95619233138902981</v>
      </c>
      <c r="P27" s="22">
        <f t="shared" si="11"/>
        <v>0</v>
      </c>
      <c r="Q27" s="22">
        <f t="shared" si="11"/>
        <v>0</v>
      </c>
      <c r="R27" s="22">
        <f t="shared" si="11"/>
        <v>0</v>
      </c>
      <c r="S27" s="22">
        <f t="shared" si="11"/>
        <v>0</v>
      </c>
      <c r="T27" s="22">
        <f t="shared" si="11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7"/>
        <v>calculated</v>
      </c>
      <c r="E28" s="30" t="str">
        <f t="shared" si="9"/>
        <v>index</v>
      </c>
      <c r="I28" s="22"/>
      <c r="J28" s="22">
        <f t="shared" ref="J28:T28" si="12">IF(AND(J$23=J$4,ISNONTEXT($C28)),1/J19*(1+J$12)^0.5,0)</f>
        <v>1.0590738169964251</v>
      </c>
      <c r="K28" s="22">
        <f t="shared" si="12"/>
        <v>1.0458256730388116</v>
      </c>
      <c r="L28" s="22">
        <f t="shared" si="12"/>
        <v>1.0305990087623274</v>
      </c>
      <c r="M28" s="22">
        <f t="shared" si="12"/>
        <v>1.0103350307870211</v>
      </c>
      <c r="N28" s="22">
        <f t="shared" si="12"/>
        <v>0.99212930482437067</v>
      </c>
      <c r="O28" s="22">
        <f t="shared" si="12"/>
        <v>0.97605901939440254</v>
      </c>
      <c r="P28" s="22">
        <f t="shared" si="12"/>
        <v>0</v>
      </c>
      <c r="Q28" s="22">
        <f t="shared" si="12"/>
        <v>0</v>
      </c>
      <c r="R28" s="22">
        <f t="shared" si="12"/>
        <v>0</v>
      </c>
      <c r="S28" s="22">
        <f t="shared" si="12"/>
        <v>0</v>
      </c>
      <c r="T28" s="22">
        <f t="shared" si="12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7"/>
        <v>calculated</v>
      </c>
      <c r="E29" s="30" t="str">
        <f t="shared" si="9"/>
        <v>index</v>
      </c>
      <c r="I29" s="22"/>
      <c r="J29" s="22">
        <f t="shared" ref="J29:T29" si="13">IF(AND(J$23=J$4,ISNONTEXT($C29)),1/J20*(1+J$12)^0.5,0)</f>
        <v>1.0759440193910583</v>
      </c>
      <c r="K29" s="22">
        <f t="shared" si="13"/>
        <v>1.0624848430518192</v>
      </c>
      <c r="L29" s="22">
        <f t="shared" si="13"/>
        <v>1.0470156301408424</v>
      </c>
      <c r="M29" s="22">
        <f t="shared" si="13"/>
        <v>1.0264288631358409</v>
      </c>
      <c r="N29" s="22">
        <f t="shared" si="13"/>
        <v>1.0079331344587412</v>
      </c>
      <c r="O29" s="22">
        <f t="shared" si="13"/>
        <v>0.99160686218121608</v>
      </c>
      <c r="P29" s="22">
        <f t="shared" si="13"/>
        <v>0</v>
      </c>
      <c r="Q29" s="22">
        <f t="shared" si="13"/>
        <v>0</v>
      </c>
      <c r="R29" s="22">
        <f t="shared" si="13"/>
        <v>0</v>
      </c>
      <c r="S29" s="22">
        <f t="shared" si="13"/>
        <v>0</v>
      </c>
      <c r="T29" s="22">
        <f t="shared" si="13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7"/>
        <v>calculated</v>
      </c>
      <c r="E30" s="30" t="str">
        <f t="shared" si="9"/>
        <v>index</v>
      </c>
      <c r="I30" s="22"/>
      <c r="J30" s="22">
        <f t="shared" ref="J30:T30" si="14">IF(AND(J$23=J$4,ISNONTEXT($C30)),1/J21*(1+J$12)^0.5,0)</f>
        <v>1.0942350677207062</v>
      </c>
      <c r="K30" s="22">
        <f t="shared" si="14"/>
        <v>1.0805470853837003</v>
      </c>
      <c r="L30" s="22">
        <f t="shared" si="14"/>
        <v>1.0648148958532369</v>
      </c>
      <c r="M30" s="22">
        <f t="shared" si="14"/>
        <v>1.0438781538091504</v>
      </c>
      <c r="N30" s="22">
        <f t="shared" si="14"/>
        <v>1.0250679977445398</v>
      </c>
      <c r="O30" s="22">
        <f t="shared" si="14"/>
        <v>1.0084641788382966</v>
      </c>
      <c r="P30" s="22">
        <f t="shared" si="14"/>
        <v>0</v>
      </c>
      <c r="Q30" s="22">
        <f t="shared" si="14"/>
        <v>0</v>
      </c>
      <c r="R30" s="22">
        <f t="shared" si="14"/>
        <v>0</v>
      </c>
      <c r="S30" s="22">
        <f t="shared" si="14"/>
        <v>0</v>
      </c>
      <c r="T30" s="22">
        <f t="shared" si="14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15">IF(YEAR(J$4)&gt;=FPFirstYear,IF(YEAR(J$4)&lt;=FPLastYear,J$4,""),"")</f>
        <v/>
      </c>
      <c r="K34" s="163" t="str">
        <f t="shared" si="15"/>
        <v/>
      </c>
      <c r="L34" s="163" t="str">
        <f t="shared" si="15"/>
        <v/>
      </c>
      <c r="M34" s="163" t="str">
        <f t="shared" si="15"/>
        <v/>
      </c>
      <c r="N34" s="163" t="str">
        <f t="shared" si="15"/>
        <v/>
      </c>
      <c r="O34" s="163" t="str">
        <f t="shared" si="15"/>
        <v/>
      </c>
      <c r="P34" s="163">
        <f t="shared" si="15"/>
        <v>44348</v>
      </c>
      <c r="Q34" s="163">
        <f t="shared" si="15"/>
        <v>44713</v>
      </c>
      <c r="R34" s="163">
        <f t="shared" si="15"/>
        <v>45078</v>
      </c>
      <c r="S34" s="163">
        <f t="shared" si="15"/>
        <v>45444</v>
      </c>
      <c r="T34" s="163">
        <f t="shared" si="15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125</v>
      </c>
      <c r="D36" s="30" t="s">
        <v>106</v>
      </c>
      <c r="E36" s="30" t="str">
        <f t="shared" ref="E36:E43" si="16">percent</f>
        <v>Per cent</v>
      </c>
      <c r="J36" s="205"/>
      <c r="K36" s="152"/>
      <c r="L36" s="152"/>
      <c r="M36" s="152"/>
      <c r="N36" s="152"/>
      <c r="O36" s="152"/>
      <c r="P36" s="168">
        <v>4.6982444628733688E-3</v>
      </c>
      <c r="Q36" s="168">
        <v>6.2851223931517097E-3</v>
      </c>
      <c r="R36" s="168">
        <v>5.2438248009960553E-3</v>
      </c>
      <c r="S36" s="168">
        <v>5.7702969975339524E-3</v>
      </c>
      <c r="T36" s="168">
        <v>4.984057686641119E-3</v>
      </c>
    </row>
    <row r="37" spans="3:23" ht="11.25" customHeight="1" outlineLevel="1">
      <c r="C37" s="61" t="s">
        <v>203</v>
      </c>
      <c r="D37" s="30" t="s">
        <v>106</v>
      </c>
      <c r="E37" s="30" t="str">
        <f t="shared" si="16"/>
        <v>Per cent</v>
      </c>
      <c r="J37" s="205"/>
      <c r="K37" s="152"/>
      <c r="L37" s="152"/>
      <c r="M37" s="152"/>
      <c r="N37" s="152"/>
      <c r="O37" s="152"/>
      <c r="P37" s="168">
        <v>5.0000000000000001E-3</v>
      </c>
      <c r="Q37" s="168">
        <v>8.0000000000000002E-3</v>
      </c>
      <c r="R37" s="168">
        <v>1.2999999999999999E-2</v>
      </c>
      <c r="S37" s="168">
        <v>1.4E-2</v>
      </c>
      <c r="T37" s="168">
        <v>1.4E-2</v>
      </c>
    </row>
    <row r="38" spans="3:23" ht="11.25" customHeight="1" outlineLevel="1">
      <c r="C38" s="61" t="s">
        <v>204</v>
      </c>
      <c r="D38" s="30" t="s">
        <v>106</v>
      </c>
      <c r="E38" s="30" t="str">
        <f t="shared" si="16"/>
        <v>Per cent</v>
      </c>
      <c r="J38" s="205"/>
      <c r="K38" s="152"/>
      <c r="L38" s="152"/>
      <c r="M38" s="152"/>
      <c r="N38" s="152"/>
      <c r="O38" s="152"/>
      <c r="P38" s="60">
        <f>AVERAGE(P36:P37)</f>
        <v>4.8491222314366849E-3</v>
      </c>
      <c r="Q38" s="60">
        <f t="shared" ref="Q38:T38" si="17">AVERAGE(Q36:Q37)</f>
        <v>7.1425611965758549E-3</v>
      </c>
      <c r="R38" s="60">
        <f t="shared" si="17"/>
        <v>9.1219124004980265E-3</v>
      </c>
      <c r="S38" s="60">
        <f t="shared" si="17"/>
        <v>9.8851484987669755E-3</v>
      </c>
      <c r="T38" s="60">
        <f t="shared" si="17"/>
        <v>9.4920288433205588E-3</v>
      </c>
    </row>
    <row r="39" spans="3:23" ht="11.25" customHeight="1" outlineLevel="1">
      <c r="C39" s="218"/>
      <c r="D39" s="30" t="s">
        <v>106</v>
      </c>
      <c r="E39" s="30" t="str">
        <f t="shared" si="16"/>
        <v>Per cent</v>
      </c>
      <c r="J39" s="205"/>
      <c r="K39" s="152"/>
      <c r="L39" s="152"/>
      <c r="M39" s="152"/>
      <c r="N39" s="152"/>
      <c r="O39" s="152"/>
      <c r="P39" s="219"/>
      <c r="Q39" s="219"/>
      <c r="R39" s="219"/>
      <c r="S39" s="219"/>
      <c r="T39" s="219"/>
      <c r="U39" s="147"/>
    </row>
    <row r="40" spans="3:23" ht="11.25" customHeight="1" outlineLevel="1">
      <c r="C40" s="218"/>
      <c r="D40" s="30" t="s">
        <v>106</v>
      </c>
      <c r="E40" s="30" t="str">
        <f t="shared" si="16"/>
        <v>Per cent</v>
      </c>
      <c r="J40" s="205"/>
      <c r="K40" s="152"/>
      <c r="L40" s="152"/>
      <c r="M40" s="152"/>
      <c r="N40" s="152"/>
      <c r="O40" s="152"/>
      <c r="P40" s="219"/>
      <c r="Q40" s="219"/>
      <c r="R40" s="219"/>
      <c r="S40" s="219"/>
      <c r="T40" s="219"/>
    </row>
    <row r="41" spans="3:23" ht="11.25" customHeight="1" outlineLevel="1">
      <c r="C41" s="218"/>
      <c r="D41" s="30" t="s">
        <v>106</v>
      </c>
      <c r="E41" s="30" t="str">
        <f t="shared" si="16"/>
        <v>Per cent</v>
      </c>
      <c r="J41" s="205"/>
      <c r="K41" s="152"/>
      <c r="L41" s="152"/>
      <c r="M41" s="152"/>
      <c r="N41" s="152"/>
      <c r="O41" s="152"/>
      <c r="P41" s="219"/>
      <c r="Q41" s="219"/>
      <c r="R41" s="219"/>
      <c r="S41" s="219"/>
      <c r="T41" s="219"/>
    </row>
    <row r="42" spans="3:23" ht="11.25" customHeight="1" outlineLevel="1">
      <c r="C42" s="218"/>
      <c r="D42" s="30" t="s">
        <v>106</v>
      </c>
      <c r="E42" s="30" t="str">
        <f t="shared" si="16"/>
        <v>Per cent</v>
      </c>
      <c r="J42" s="205"/>
      <c r="K42" s="152"/>
      <c r="L42" s="152"/>
      <c r="M42" s="152"/>
      <c r="N42" s="152"/>
      <c r="O42" s="152"/>
      <c r="P42" s="219"/>
      <c r="Q42" s="219"/>
      <c r="R42" s="219"/>
      <c r="S42" s="219"/>
      <c r="T42" s="219"/>
    </row>
    <row r="43" spans="3:23" ht="11.25" customHeight="1" outlineLevel="1">
      <c r="C43" s="61" t="s">
        <v>85</v>
      </c>
      <c r="D43" s="30" t="s">
        <v>106</v>
      </c>
      <c r="E43" s="30" t="str">
        <f t="shared" si="16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T45" si="18">IF(J34=J4,IF(COUNTA($C36:$C43)=COUNT(J36:J43),"Ok","Check"),"")</f>
        <v/>
      </c>
      <c r="K45" s="132" t="str">
        <f t="shared" si="18"/>
        <v/>
      </c>
      <c r="L45" s="132" t="str">
        <f t="shared" si="18"/>
        <v/>
      </c>
      <c r="M45" s="132" t="str">
        <f t="shared" si="18"/>
        <v/>
      </c>
      <c r="N45" s="132" t="str">
        <f t="shared" si="18"/>
        <v/>
      </c>
      <c r="O45" s="132" t="str">
        <f t="shared" si="18"/>
        <v/>
      </c>
      <c r="P45" s="132" t="str">
        <f t="shared" si="18"/>
        <v>Ok</v>
      </c>
      <c r="Q45" s="132" t="str">
        <f t="shared" si="18"/>
        <v>Ok</v>
      </c>
      <c r="R45" s="132" t="str">
        <f t="shared" si="18"/>
        <v>Ok</v>
      </c>
      <c r="S45" s="132" t="str">
        <f t="shared" si="18"/>
        <v>Ok</v>
      </c>
      <c r="T45" s="132" t="str">
        <f t="shared" si="18"/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19">IF(YEAR(J$4)&gt;=FPFirstYear,IF(YEAR(J$4)&lt;=FPLastYear,J$4,""),"")</f>
        <v/>
      </c>
      <c r="K47" s="163" t="str">
        <f t="shared" si="19"/>
        <v/>
      </c>
      <c r="L47" s="163" t="str">
        <f t="shared" si="19"/>
        <v/>
      </c>
      <c r="M47" s="163" t="str">
        <f t="shared" si="19"/>
        <v/>
      </c>
      <c r="N47" s="163" t="str">
        <f t="shared" si="19"/>
        <v/>
      </c>
      <c r="O47" s="163" t="str">
        <f t="shared" si="19"/>
        <v/>
      </c>
      <c r="P47" s="163">
        <f t="shared" si="19"/>
        <v>44348</v>
      </c>
      <c r="Q47" s="163">
        <f t="shared" si="19"/>
        <v>44713</v>
      </c>
      <c r="R47" s="163">
        <f t="shared" si="19"/>
        <v>45078</v>
      </c>
      <c r="S47" s="163">
        <f t="shared" si="19"/>
        <v>45444</v>
      </c>
      <c r="T47" s="163">
        <f t="shared" si="19"/>
        <v>45809</v>
      </c>
    </row>
    <row r="48" spans="3:23" ht="11.25" customHeight="1" outlineLevel="1"/>
    <row r="49" spans="1:50" ht="11.25" customHeight="1" outlineLevel="1">
      <c r="C49" s="148" t="str">
        <f t="shared" ref="C49:C51" si="20">C36</f>
        <v>WPI - DAE</v>
      </c>
      <c r="D49" s="30" t="s">
        <v>106</v>
      </c>
      <c r="E49" s="30" t="str">
        <f t="shared" ref="E49:E56" si="21">percent</f>
        <v>Per cent</v>
      </c>
      <c r="J49" s="205"/>
      <c r="K49" s="152"/>
      <c r="L49" s="152"/>
      <c r="M49" s="152"/>
      <c r="N49" s="152"/>
      <c r="O49" s="152"/>
      <c r="P49" s="60">
        <v>0.59699999999999998</v>
      </c>
      <c r="Q49" s="60">
        <v>0.59699999999999998</v>
      </c>
      <c r="R49" s="60">
        <v>0.59699999999999998</v>
      </c>
      <c r="S49" s="60">
        <v>0.59699999999999998</v>
      </c>
      <c r="T49" s="60">
        <v>0.59699999999999998</v>
      </c>
    </row>
    <row r="50" spans="1:50" ht="11.25" customHeight="1" outlineLevel="1">
      <c r="C50" s="148" t="str">
        <f t="shared" si="20"/>
        <v>WPI - BIS</v>
      </c>
      <c r="D50" s="30" t="s">
        <v>106</v>
      </c>
      <c r="E50" s="30" t="str">
        <f t="shared" si="21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25">
        <v>0</v>
      </c>
    </row>
    <row r="51" spans="1:50" ht="11.25" customHeight="1" outlineLevel="1">
      <c r="C51" s="148" t="str">
        <f t="shared" si="20"/>
        <v>WPI - average of DAE and BIS</v>
      </c>
      <c r="D51" s="30" t="s">
        <v>106</v>
      </c>
      <c r="E51" s="30" t="str">
        <f t="shared" si="21"/>
        <v>Per cent</v>
      </c>
      <c r="J51" s="205"/>
      <c r="K51" s="152"/>
      <c r="L51" s="152"/>
      <c r="M51" s="152"/>
      <c r="N51" s="152"/>
      <c r="O51" s="152"/>
      <c r="P51" s="60">
        <v>0</v>
      </c>
      <c r="Q51" s="60">
        <v>0</v>
      </c>
      <c r="R51" s="60">
        <v>0</v>
      </c>
      <c r="S51" s="60">
        <v>0</v>
      </c>
      <c r="T51" s="225">
        <v>0</v>
      </c>
    </row>
    <row r="52" spans="1:50" ht="11.25" customHeight="1" outlineLevel="1">
      <c r="C52" s="148">
        <f>C39</f>
        <v>0</v>
      </c>
      <c r="D52" s="30" t="s">
        <v>106</v>
      </c>
      <c r="E52" s="30" t="str">
        <f t="shared" si="21"/>
        <v>Per cent</v>
      </c>
      <c r="J52" s="205"/>
      <c r="K52" s="152"/>
      <c r="L52" s="152"/>
      <c r="M52" s="152"/>
      <c r="N52" s="152"/>
      <c r="O52" s="152"/>
      <c r="P52" s="60">
        <v>0</v>
      </c>
      <c r="Q52" s="60">
        <v>0</v>
      </c>
      <c r="R52" s="60">
        <v>0</v>
      </c>
      <c r="S52" s="60">
        <v>0</v>
      </c>
      <c r="T52" s="225">
        <v>0</v>
      </c>
      <c r="U52" s="147"/>
    </row>
    <row r="53" spans="1:50" ht="11.25" customHeight="1" outlineLevel="1">
      <c r="C53" s="148">
        <f t="shared" ref="C53:C56" si="22">C40</f>
        <v>0</v>
      </c>
      <c r="D53" s="30" t="s">
        <v>106</v>
      </c>
      <c r="E53" s="30" t="str">
        <f t="shared" si="21"/>
        <v>Per cent</v>
      </c>
      <c r="J53" s="205"/>
      <c r="K53" s="152"/>
      <c r="L53" s="152"/>
      <c r="M53" s="152"/>
      <c r="N53" s="152"/>
      <c r="O53" s="152"/>
      <c r="P53" s="60">
        <v>0</v>
      </c>
      <c r="Q53" s="60">
        <v>0</v>
      </c>
      <c r="R53" s="60">
        <v>0</v>
      </c>
      <c r="S53" s="60">
        <v>0</v>
      </c>
      <c r="T53" s="225">
        <v>0</v>
      </c>
    </row>
    <row r="54" spans="1:50" ht="11.25" customHeight="1" outlineLevel="1">
      <c r="C54" s="148">
        <f t="shared" si="22"/>
        <v>0</v>
      </c>
      <c r="D54" s="30" t="s">
        <v>106</v>
      </c>
      <c r="E54" s="30" t="str">
        <f t="shared" si="21"/>
        <v>Per cent</v>
      </c>
      <c r="J54" s="205"/>
      <c r="K54" s="152"/>
      <c r="L54" s="152"/>
      <c r="M54" s="152"/>
      <c r="N54" s="152"/>
      <c r="O54" s="152"/>
      <c r="P54" s="60">
        <v>0</v>
      </c>
      <c r="Q54" s="60">
        <v>0</v>
      </c>
      <c r="R54" s="60">
        <v>0</v>
      </c>
      <c r="S54" s="60">
        <v>0</v>
      </c>
      <c r="T54" s="225">
        <v>0</v>
      </c>
    </row>
    <row r="55" spans="1:50" ht="11.25" customHeight="1" outlineLevel="1">
      <c r="C55" s="148">
        <f t="shared" si="22"/>
        <v>0</v>
      </c>
      <c r="D55" s="30" t="s">
        <v>106</v>
      </c>
      <c r="E55" s="30" t="str">
        <f t="shared" si="21"/>
        <v>Per cent</v>
      </c>
      <c r="J55" s="205"/>
      <c r="K55" s="152"/>
      <c r="L55" s="152"/>
      <c r="M55" s="152"/>
      <c r="N55" s="152"/>
      <c r="O55" s="152"/>
      <c r="P55" s="60">
        <v>0</v>
      </c>
      <c r="Q55" s="60">
        <v>0</v>
      </c>
      <c r="R55" s="60">
        <v>0</v>
      </c>
      <c r="S55" s="60">
        <v>0</v>
      </c>
      <c r="T55" s="225">
        <v>0</v>
      </c>
    </row>
    <row r="56" spans="1:50" ht="11.25" customHeight="1" outlineLevel="1">
      <c r="C56" s="148" t="str">
        <f t="shared" si="22"/>
        <v>CPI</v>
      </c>
      <c r="D56" s="30" t="s">
        <v>106</v>
      </c>
      <c r="E56" s="30" t="str">
        <f t="shared" si="21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225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23">IF(J47=J$4,IF(SUM(J49:J56)=1,"Ok","Check"),"")</f>
        <v/>
      </c>
      <c r="K58" s="132" t="str">
        <f t="shared" si="23"/>
        <v/>
      </c>
      <c r="L58" s="132" t="str">
        <f t="shared" si="23"/>
        <v/>
      </c>
      <c r="M58" s="132" t="str">
        <f t="shared" si="23"/>
        <v/>
      </c>
      <c r="N58" s="132" t="str">
        <f t="shared" si="23"/>
        <v/>
      </c>
      <c r="O58" s="132" t="str">
        <f t="shared" si="23"/>
        <v/>
      </c>
      <c r="P58" s="132" t="str">
        <f t="shared" si="23"/>
        <v>Ok</v>
      </c>
      <c r="Q58" s="132" t="str">
        <f t="shared" si="23"/>
        <v>Ok</v>
      </c>
      <c r="R58" s="132" t="str">
        <f t="shared" si="23"/>
        <v>Ok</v>
      </c>
      <c r="S58" s="132" t="str">
        <f t="shared" si="23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24">IF(YEAR(J$4)&gt;=PPLastYear,IF(YEAR(J$4)&lt;=FPLastYear,J$4,""),"")</f>
        <v/>
      </c>
      <c r="K62" s="163" t="str">
        <f t="shared" si="24"/>
        <v/>
      </c>
      <c r="L62" s="163" t="str">
        <f t="shared" si="24"/>
        <v/>
      </c>
      <c r="M62" s="163" t="str">
        <f t="shared" si="24"/>
        <v/>
      </c>
      <c r="N62" s="163" t="str">
        <f t="shared" si="24"/>
        <v/>
      </c>
      <c r="O62" s="163">
        <f t="shared" si="24"/>
        <v>43983</v>
      </c>
      <c r="P62" s="163">
        <f t="shared" si="24"/>
        <v>44348</v>
      </c>
      <c r="Q62" s="163">
        <f t="shared" si="24"/>
        <v>44713</v>
      </c>
      <c r="R62" s="163">
        <f t="shared" si="24"/>
        <v>45078</v>
      </c>
      <c r="S62" s="163">
        <f t="shared" si="24"/>
        <v>45444</v>
      </c>
      <c r="T62" s="163">
        <f t="shared" si="24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180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220">
        <v>720152</v>
      </c>
      <c r="P64" s="220">
        <v>726943</v>
      </c>
      <c r="Q64" s="220">
        <v>733797</v>
      </c>
      <c r="R64" s="220">
        <v>740718</v>
      </c>
      <c r="S64" s="220">
        <v>747702</v>
      </c>
      <c r="T64" s="220">
        <v>754753</v>
      </c>
    </row>
    <row r="65" spans="3:23" outlineLevel="1">
      <c r="C65" s="61" t="s">
        <v>181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220">
        <v>152522.03131631317</v>
      </c>
      <c r="P65" s="220">
        <v>152810.55486449535</v>
      </c>
      <c r="Q65" s="220">
        <v>153095.77697195532</v>
      </c>
      <c r="R65" s="220">
        <v>153408.61326052973</v>
      </c>
      <c r="S65" s="220">
        <v>153695.72334436545</v>
      </c>
      <c r="T65" s="220">
        <v>153984.32593250828</v>
      </c>
    </row>
    <row r="66" spans="3:23" outlineLevel="1">
      <c r="C66" s="61" t="s">
        <v>182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220">
        <v>3238.0459999999998</v>
      </c>
      <c r="P66" s="220">
        <v>3238.0459999999998</v>
      </c>
      <c r="Q66" s="220">
        <v>3238.0459999999998</v>
      </c>
      <c r="R66" s="220">
        <v>3238.0459999999998</v>
      </c>
      <c r="S66" s="220">
        <v>3238.0459999999998</v>
      </c>
      <c r="T66" s="220">
        <v>3238.0459999999998</v>
      </c>
    </row>
    <row r="67" spans="3:23" outlineLevel="1">
      <c r="C67" s="61" t="s">
        <v>183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220">
        <v>13624.045325803689</v>
      </c>
      <c r="P67" s="220">
        <v>13652.6341329273</v>
      </c>
      <c r="Q67" s="220">
        <v>13685.166223792099</v>
      </c>
      <c r="R67" s="220">
        <v>13719.669956527492</v>
      </c>
      <c r="S67" s="220">
        <v>13747.272942715806</v>
      </c>
      <c r="T67" s="220">
        <v>13780.790854515901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25">IF(J62=J$4,IF(COUNTA($C64:$C69)=COUNT(J64:J69),"Ok","Check"),"")</f>
        <v/>
      </c>
      <c r="K71" s="132" t="str">
        <f t="shared" si="25"/>
        <v/>
      </c>
      <c r="L71" s="132" t="str">
        <f t="shared" si="25"/>
        <v/>
      </c>
      <c r="M71" s="132" t="str">
        <f t="shared" si="25"/>
        <v/>
      </c>
      <c r="N71" s="132" t="str">
        <f t="shared" si="25"/>
        <v/>
      </c>
      <c r="O71" s="132" t="str">
        <f t="shared" si="25"/>
        <v>Ok</v>
      </c>
      <c r="P71" s="132" t="str">
        <f t="shared" si="25"/>
        <v>Ok</v>
      </c>
      <c r="Q71" s="132" t="str">
        <f t="shared" si="25"/>
        <v>Ok</v>
      </c>
      <c r="R71" s="132" t="str">
        <f t="shared" si="25"/>
        <v>Ok</v>
      </c>
      <c r="S71" s="132" t="str">
        <f t="shared" si="25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26">IF(YEAR(J$4)&gt;=FPFirstYear,IF(YEAR(J$4)&lt;=FPLastYear,J$4,""),"")</f>
        <v/>
      </c>
      <c r="K73" s="163" t="str">
        <f t="shared" si="26"/>
        <v/>
      </c>
      <c r="L73" s="163" t="str">
        <f t="shared" si="26"/>
        <v/>
      </c>
      <c r="M73" s="163" t="str">
        <f t="shared" si="26"/>
        <v/>
      </c>
      <c r="N73" s="163" t="str">
        <f t="shared" si="26"/>
        <v/>
      </c>
      <c r="O73" s="163" t="str">
        <f t="shared" si="26"/>
        <v/>
      </c>
      <c r="P73" s="163">
        <f t="shared" si="26"/>
        <v>44348</v>
      </c>
      <c r="Q73" s="163">
        <f t="shared" si="26"/>
        <v>44713</v>
      </c>
      <c r="R73" s="163">
        <f t="shared" si="26"/>
        <v>45078</v>
      </c>
      <c r="S73" s="163">
        <f t="shared" si="26"/>
        <v>45444</v>
      </c>
      <c r="T73" s="163">
        <f t="shared" si="26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27">IF(ISBLANK(I64),"",IF(ISBLANK(J64),"",LN(J64)-LN(I64)))</f>
        <v/>
      </c>
      <c r="K75" s="117" t="str">
        <f t="shared" si="27"/>
        <v/>
      </c>
      <c r="L75" s="117" t="str">
        <f t="shared" si="27"/>
        <v/>
      </c>
      <c r="M75" s="117" t="str">
        <f t="shared" si="27"/>
        <v/>
      </c>
      <c r="N75" s="117" t="str">
        <f>IF(ISBLANK(M64),"",IF(ISBLANK(N64),"",LN(N64)-LN(M64)))</f>
        <v/>
      </c>
      <c r="O75" s="117" t="str">
        <f t="shared" ref="O75:T75" si="28">IF(ISBLANK(N64),"",IF(ISBLANK(O64),"",LN(O64)-LN(N64)))</f>
        <v/>
      </c>
      <c r="P75" s="117">
        <f t="shared" si="28"/>
        <v>9.3857692176850804E-3</v>
      </c>
      <c r="Q75" s="117">
        <f t="shared" si="28"/>
        <v>9.384353547302382E-3</v>
      </c>
      <c r="R75" s="117">
        <f t="shared" si="28"/>
        <v>9.3875624551600367E-3</v>
      </c>
      <c r="S75" s="117">
        <f t="shared" si="28"/>
        <v>9.3845168113482202E-3</v>
      </c>
      <c r="T75" s="117">
        <f t="shared" si="28"/>
        <v>9.3860405332577557E-3</v>
      </c>
    </row>
    <row r="76" spans="3:23" outlineLevel="1">
      <c r="C76" s="148" t="str">
        <f t="shared" ref="C76:C80" si="29">C65</f>
        <v>Circuit Length (km)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30">IF(ISBLANK(I65),"",IF(ISBLANK(J65),"",LN(J65)-LN(I65)))</f>
        <v/>
      </c>
      <c r="K76" s="117" t="str">
        <f t="shared" si="30"/>
        <v/>
      </c>
      <c r="L76" s="117" t="str">
        <f t="shared" si="30"/>
        <v/>
      </c>
      <c r="M76" s="117" t="str">
        <f t="shared" si="30"/>
        <v/>
      </c>
      <c r="N76" s="117" t="str">
        <f t="shared" si="30"/>
        <v/>
      </c>
      <c r="O76" s="117" t="str">
        <f t="shared" si="30"/>
        <v/>
      </c>
      <c r="P76" s="117">
        <f t="shared" si="30"/>
        <v>1.8898974241032818E-3</v>
      </c>
      <c r="Q76" s="117">
        <f t="shared" si="30"/>
        <v>1.864768136046635E-3</v>
      </c>
      <c r="R76" s="117">
        <f t="shared" si="30"/>
        <v>2.0413175613498424E-3</v>
      </c>
      <c r="S76" s="117">
        <f t="shared" si="30"/>
        <v>1.869789079874451E-3</v>
      </c>
      <c r="T76" s="117">
        <f t="shared" si="30"/>
        <v>1.8759921123407963E-3</v>
      </c>
    </row>
    <row r="77" spans="3:23" outlineLevel="1">
      <c r="C77" s="148" t="str">
        <f t="shared" si="29"/>
        <v>Ratcheted Maximum Demand (MW)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31">IF(ISBLANK(I66),"",IF(ISBLANK(J66),"",LN(J66)-LN(I66)))</f>
        <v/>
      </c>
      <c r="K77" s="117" t="str">
        <f t="shared" si="31"/>
        <v/>
      </c>
      <c r="L77" s="117" t="str">
        <f t="shared" si="31"/>
        <v/>
      </c>
      <c r="M77" s="117" t="str">
        <f t="shared" si="31"/>
        <v/>
      </c>
      <c r="N77" s="117" t="str">
        <f t="shared" si="31"/>
        <v/>
      </c>
      <c r="O77" s="117" t="str">
        <f t="shared" si="31"/>
        <v/>
      </c>
      <c r="P77" s="117">
        <f t="shared" si="31"/>
        <v>0</v>
      </c>
      <c r="Q77" s="117">
        <f t="shared" si="31"/>
        <v>0</v>
      </c>
      <c r="R77" s="117">
        <f t="shared" si="31"/>
        <v>0</v>
      </c>
      <c r="S77" s="117">
        <f t="shared" si="31"/>
        <v>0</v>
      </c>
      <c r="T77" s="117">
        <f t="shared" si="31"/>
        <v>0</v>
      </c>
    </row>
    <row r="78" spans="3:23" outlineLevel="1">
      <c r="C78" s="148" t="str">
        <f t="shared" si="29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32">IF(ISBLANK(I67),"",IF(ISBLANK(J67),"",LN(J67)-LN(I67)))</f>
        <v/>
      </c>
      <c r="K78" s="117" t="str">
        <f t="shared" si="32"/>
        <v/>
      </c>
      <c r="L78" s="117" t="str">
        <f t="shared" si="32"/>
        <v/>
      </c>
      <c r="M78" s="117" t="str">
        <f t="shared" si="32"/>
        <v/>
      </c>
      <c r="N78" s="117" t="str">
        <f t="shared" si="32"/>
        <v/>
      </c>
      <c r="O78" s="117" t="str">
        <f t="shared" si="32"/>
        <v/>
      </c>
      <c r="P78" s="117">
        <f t="shared" si="32"/>
        <v>2.0962095210581566E-3</v>
      </c>
      <c r="Q78" s="117">
        <f t="shared" si="32"/>
        <v>2.3800090568109056E-3</v>
      </c>
      <c r="R78" s="117">
        <f t="shared" si="32"/>
        <v>2.5180775203246242E-3</v>
      </c>
      <c r="S78" s="117">
        <f t="shared" si="32"/>
        <v>2.0099066417351708E-3</v>
      </c>
      <c r="T78" s="117">
        <f t="shared" si="32"/>
        <v>2.4351824095401042E-3</v>
      </c>
    </row>
    <row r="79" spans="3:23" outlineLevel="1">
      <c r="C79" s="148">
        <f t="shared" si="29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33">IF(ISBLANK(I68),"",IF(ISBLANK(J68),"",LN(J68)-LN(I68)))</f>
        <v/>
      </c>
      <c r="K79" s="117" t="str">
        <f t="shared" si="33"/>
        <v/>
      </c>
      <c r="L79" s="117" t="str">
        <f t="shared" si="33"/>
        <v/>
      </c>
      <c r="M79" s="117" t="str">
        <f t="shared" si="33"/>
        <v/>
      </c>
      <c r="N79" s="117" t="str">
        <f t="shared" si="33"/>
        <v/>
      </c>
      <c r="O79" s="117" t="str">
        <f t="shared" si="33"/>
        <v/>
      </c>
      <c r="P79" s="117" t="str">
        <f t="shared" si="33"/>
        <v/>
      </c>
      <c r="Q79" s="117" t="str">
        <f t="shared" si="33"/>
        <v/>
      </c>
      <c r="R79" s="117" t="str">
        <f t="shared" si="33"/>
        <v/>
      </c>
      <c r="S79" s="117" t="str">
        <f t="shared" si="33"/>
        <v/>
      </c>
      <c r="T79" s="117" t="str">
        <f t="shared" si="33"/>
        <v/>
      </c>
    </row>
    <row r="80" spans="3:23" outlineLevel="1">
      <c r="C80" s="148">
        <f t="shared" si="29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34">IF(ISBLANK(I69),"",IF(ISBLANK(J69),"",LN(J69)-LN(I69)))</f>
        <v/>
      </c>
      <c r="K80" s="117" t="str">
        <f t="shared" si="34"/>
        <v/>
      </c>
      <c r="L80" s="117" t="str">
        <f t="shared" si="34"/>
        <v/>
      </c>
      <c r="M80" s="117" t="str">
        <f t="shared" si="34"/>
        <v/>
      </c>
      <c r="N80" s="117" t="str">
        <f t="shared" si="34"/>
        <v/>
      </c>
      <c r="O80" s="117" t="str">
        <f t="shared" si="34"/>
        <v/>
      </c>
      <c r="P80" s="117" t="str">
        <f t="shared" si="34"/>
        <v/>
      </c>
      <c r="Q80" s="117" t="str">
        <f t="shared" si="34"/>
        <v/>
      </c>
      <c r="R80" s="117" t="str">
        <f t="shared" si="34"/>
        <v/>
      </c>
      <c r="S80" s="117" t="str">
        <f t="shared" si="34"/>
        <v/>
      </c>
      <c r="T80" s="117" t="str">
        <f t="shared" si="34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184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1" t="s">
        <v>185</v>
      </c>
      <c r="K82" s="211" t="s">
        <v>186</v>
      </c>
      <c r="L82" s="211" t="s">
        <v>187</v>
      </c>
      <c r="M82" s="211" t="s">
        <v>188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0.71710255491777608</v>
      </c>
      <c r="K84" s="60">
        <v>0.68712715761212573</v>
      </c>
      <c r="L84" s="60">
        <v>0.57738136830492559</v>
      </c>
      <c r="M84" s="60">
        <v>0.31</v>
      </c>
      <c r="N84" s="194"/>
      <c r="O84" s="194"/>
      <c r="P84" s="194"/>
      <c r="Q84" s="194"/>
      <c r="R84" s="194"/>
      <c r="S84" s="194"/>
      <c r="T84" s="194"/>
    </row>
    <row r="85" spans="3:23" outlineLevel="1">
      <c r="C85" s="148" t="str">
        <f t="shared" ref="C85:C89" si="35">C65</f>
        <v>Circuit Length (km)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0.12650862933930324</v>
      </c>
      <c r="K85" s="60">
        <v>0.10762084130593763</v>
      </c>
      <c r="L85" s="60">
        <v>0.1127492284952822</v>
      </c>
      <c r="M85" s="60">
        <v>0.28999999999999998</v>
      </c>
      <c r="N85" s="194"/>
      <c r="O85" s="194"/>
      <c r="P85" s="194"/>
      <c r="Q85" s="194"/>
      <c r="R85" s="194"/>
      <c r="S85" s="194"/>
      <c r="T85" s="194"/>
    </row>
    <row r="86" spans="3:23" outlineLevel="1">
      <c r="C86" s="148" t="str">
        <f t="shared" si="35"/>
        <v>Ratcheted Maximum Demand (MW)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0.15638881574292068</v>
      </c>
      <c r="K86" s="60">
        <v>0.20525200108193667</v>
      </c>
      <c r="L86" s="60">
        <v>0.30986940319979217</v>
      </c>
      <c r="M86" s="60">
        <v>0.28000000000000003</v>
      </c>
      <c r="N86" s="194"/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35"/>
        <v>Energy throughput (GWh)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35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 t="shared" si="35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189</v>
      </c>
      <c r="D93" s="32" t="s">
        <v>7</v>
      </c>
      <c r="E93" s="32" t="s">
        <v>8</v>
      </c>
      <c r="F93" s="32" t="s">
        <v>22</v>
      </c>
      <c r="J93" s="163" t="str">
        <f t="shared" ref="J93:P93" si="36">IF(YEAR(J$4)&gt;=FPFirstYear,IF(YEAR(J$4)&lt;=FPLastYear,J$4,""),"")</f>
        <v/>
      </c>
      <c r="K93" s="163" t="str">
        <f t="shared" si="36"/>
        <v/>
      </c>
      <c r="L93" s="163" t="str">
        <f t="shared" si="36"/>
        <v/>
      </c>
      <c r="M93" s="163" t="str">
        <f t="shared" si="36"/>
        <v/>
      </c>
      <c r="N93" s="163" t="str">
        <f t="shared" si="36"/>
        <v/>
      </c>
      <c r="O93" s="163" t="str">
        <f t="shared" si="36"/>
        <v/>
      </c>
      <c r="P93" s="163">
        <f t="shared" si="36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37">IF(J$93=J$4,SUMPRODUCT(J$75:J$80,$J$84:$J$89),"")</f>
        <v/>
      </c>
      <c r="K95" s="117" t="str">
        <f t="shared" si="37"/>
        <v/>
      </c>
      <c r="L95" s="117" t="str">
        <f t="shared" si="37"/>
        <v/>
      </c>
      <c r="M95" s="117" t="str">
        <f t="shared" si="37"/>
        <v/>
      </c>
      <c r="N95" s="117" t="str">
        <f t="shared" si="37"/>
        <v/>
      </c>
      <c r="O95" s="117" t="str">
        <f t="shared" si="37"/>
        <v/>
      </c>
      <c r="P95" s="117">
        <f t="shared" si="37"/>
        <v>6.9696474185857735E-3</v>
      </c>
      <c r="Q95" s="117">
        <f t="shared" si="37"/>
        <v>6.9654531659491007E-3</v>
      </c>
      <c r="R95" s="117">
        <f t="shared" si="37"/>
        <v>6.9900893077780701E-3</v>
      </c>
      <c r="S95" s="117">
        <f t="shared" si="37"/>
        <v>6.9662054357351438E-3</v>
      </c>
      <c r="T95" s="117">
        <f>IF(T$93=T$4,SUMPRODUCT(T$75:T$80,$J$84:$J$89),"")</f>
        <v>6.9680828377445209E-3</v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38">IF(J$93=J$4,SUMPRODUCT(J$75:J$80,$K$84:$K$89),"")</f>
        <v/>
      </c>
      <c r="K96" s="117" t="str">
        <f t="shared" si="38"/>
        <v/>
      </c>
      <c r="L96" s="117" t="str">
        <f t="shared" si="38"/>
        <v/>
      </c>
      <c r="M96" s="117" t="str">
        <f t="shared" si="38"/>
        <v/>
      </c>
      <c r="N96" s="117" t="str">
        <f t="shared" si="38"/>
        <v/>
      </c>
      <c r="O96" s="117" t="str">
        <f t="shared" si="38"/>
        <v/>
      </c>
      <c r="P96" s="117">
        <f t="shared" si="38"/>
        <v>6.6526092753152544E-3</v>
      </c>
      <c r="Q96" s="117">
        <f t="shared" si="38"/>
        <v>6.6489320946269996E-3</v>
      </c>
      <c r="R96" s="117">
        <f t="shared" si="38"/>
        <v>6.6701374200454798E-3</v>
      </c>
      <c r="S96" s="117">
        <f t="shared" si="38"/>
        <v>6.6495846359856557E-3</v>
      </c>
      <c r="T96" s="117">
        <f>IF(T$93=T$4,SUMPRODUCT(T$75:T$80,$K$84:$K$89),"")</f>
        <v>6.6512992022630217E-3</v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39">IF(J$93=J$4,SUMPRODUCT(J$75:J$80,$L$84:$L$89),"")</f>
        <v/>
      </c>
      <c r="K97" s="117" t="str">
        <f t="shared" si="39"/>
        <v/>
      </c>
      <c r="L97" s="117" t="str">
        <f t="shared" si="39"/>
        <v/>
      </c>
      <c r="M97" s="117" t="str">
        <f t="shared" si="39"/>
        <v/>
      </c>
      <c r="N97" s="117" t="str">
        <f t="shared" si="39"/>
        <v/>
      </c>
      <c r="O97" s="117" t="str">
        <f t="shared" si="39"/>
        <v/>
      </c>
      <c r="P97" s="117">
        <f t="shared" si="39"/>
        <v>5.632252750004129E-3</v>
      </c>
      <c r="Q97" s="117">
        <f t="shared" si="39"/>
        <v>5.6286020604604751E-3</v>
      </c>
      <c r="R97" s="117">
        <f t="shared" si="39"/>
        <v>5.650360635564314E-3</v>
      </c>
      <c r="S97" s="117">
        <f t="shared" si="39"/>
        <v>5.62926243362156E-3</v>
      </c>
      <c r="T97" s="117">
        <f>IF(T$93=T$4,SUMPRODUCT(T$75:T$80,$L$84:$L$89),"")</f>
        <v>5.6308415893875164E-3</v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40">IF(J$93=J$4,SUMPRODUCT(J$75:J$80,$M$84:$M$89),"")</f>
        <v/>
      </c>
      <c r="K98" s="117" t="str">
        <f t="shared" si="40"/>
        <v/>
      </c>
      <c r="L98" s="117" t="str">
        <f t="shared" si="40"/>
        <v/>
      </c>
      <c r="M98" s="117" t="str">
        <f t="shared" si="40"/>
        <v/>
      </c>
      <c r="N98" s="117" t="str">
        <f t="shared" si="40"/>
        <v/>
      </c>
      <c r="O98" s="117" t="str">
        <f t="shared" si="40"/>
        <v/>
      </c>
      <c r="P98" s="117">
        <f t="shared" si="40"/>
        <v>3.7092038529993052E-3</v>
      </c>
      <c r="Q98" s="117">
        <f t="shared" si="40"/>
        <v>3.7355334459345715E-3</v>
      </c>
      <c r="R98" s="117">
        <f t="shared" si="40"/>
        <v>3.8042957563300204E-3</v>
      </c>
      <c r="S98" s="117">
        <f t="shared" si="40"/>
        <v>3.6926278416897595E-3</v>
      </c>
      <c r="T98" s="117">
        <f>IF(T$93=T$4,SUMPRODUCT(T$75:T$80,$M$84:$M$89),"")</f>
        <v>3.7459321670335476E-3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41">IF(YEAR(J$4)&gt;=FPFirstYear,IF(YEAR(J$4)&lt;=FPLastYear,J$4,""),"")</f>
        <v/>
      </c>
      <c r="K102" s="163" t="str">
        <f t="shared" si="41"/>
        <v/>
      </c>
      <c r="L102" s="163" t="str">
        <f t="shared" si="41"/>
        <v/>
      </c>
      <c r="M102" s="163" t="str">
        <f t="shared" si="41"/>
        <v/>
      </c>
      <c r="N102" s="163" t="str">
        <f t="shared" si="41"/>
        <v/>
      </c>
      <c r="O102" s="163" t="str">
        <f t="shared" si="41"/>
        <v/>
      </c>
      <c r="P102" s="163">
        <f t="shared" si="41"/>
        <v>44348</v>
      </c>
      <c r="Q102" s="163">
        <f t="shared" si="41"/>
        <v>44713</v>
      </c>
      <c r="R102" s="163">
        <f t="shared" si="41"/>
        <v>45078</v>
      </c>
      <c r="S102" s="163">
        <f t="shared" si="41"/>
        <v>45444</v>
      </c>
      <c r="T102" s="163">
        <f t="shared" si="41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6"/>
      <c r="K104" s="195"/>
      <c r="L104" s="195"/>
      <c r="M104" s="195"/>
      <c r="N104" s="195"/>
      <c r="O104" s="170"/>
      <c r="P104" s="60">
        <v>5.0000000000000001E-3</v>
      </c>
      <c r="Q104" s="60">
        <f>P104</f>
        <v>5.0000000000000001E-3</v>
      </c>
      <c r="R104" s="60">
        <f>P104</f>
        <v>5.0000000000000001E-3</v>
      </c>
      <c r="S104" s="60">
        <f>P104</f>
        <v>5.0000000000000001E-3</v>
      </c>
      <c r="T104" s="60">
        <f>P104</f>
        <v>5.0000000000000001E-3</v>
      </c>
    </row>
    <row r="105" spans="1:50" outlineLevel="1">
      <c r="C105" s="111"/>
      <c r="G105" s="32"/>
      <c r="H105" s="32"/>
      <c r="J105" s="169"/>
      <c r="K105" s="23"/>
      <c r="L105" s="23"/>
      <c r="M105" s="23"/>
      <c r="N105" s="23"/>
      <c r="O105" s="23"/>
      <c r="P105" s="193"/>
      <c r="Q105" s="193"/>
      <c r="R105" s="193"/>
      <c r="S105" s="193"/>
      <c r="T105" s="193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42">IF(J102=J$4,IF(ISBLANK(J104),"Check","Ok"),"")</f>
        <v/>
      </c>
      <c r="K106" s="132" t="str">
        <f t="shared" si="42"/>
        <v/>
      </c>
      <c r="L106" s="132" t="str">
        <f t="shared" si="42"/>
        <v/>
      </c>
      <c r="M106" s="132" t="str">
        <f t="shared" si="42"/>
        <v/>
      </c>
      <c r="N106" s="132" t="str">
        <f t="shared" si="42"/>
        <v/>
      </c>
      <c r="O106" s="132" t="str">
        <f t="shared" si="42"/>
        <v/>
      </c>
      <c r="P106" s="132" t="str">
        <f t="shared" si="42"/>
        <v>Ok</v>
      </c>
      <c r="Q106" s="132" t="str">
        <f t="shared" si="42"/>
        <v>Ok</v>
      </c>
      <c r="R106" s="132" t="str">
        <f t="shared" si="42"/>
        <v>Ok</v>
      </c>
      <c r="S106" s="132" t="str">
        <f t="shared" si="42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5" priority="114" operator="equal">
      <formula>"Check"</formula>
    </cfRule>
    <cfRule type="cellIs" dxfId="154" priority="115" operator="equal">
      <formula>"Ok"</formula>
    </cfRule>
  </conditionalFormatting>
  <conditionalFormatting sqref="T1">
    <cfRule type="cellIs" dxfId="153" priority="78" operator="equal">
      <formula>"Check"</formula>
    </cfRule>
    <cfRule type="cellIs" dxfId="152" priority="79" operator="equal">
      <formula>"Ok"</formula>
    </cfRule>
  </conditionalFormatting>
  <conditionalFormatting sqref="W58">
    <cfRule type="cellIs" dxfId="151" priority="66" operator="equal">
      <formula>"Check"</formula>
    </cfRule>
    <cfRule type="cellIs" dxfId="150" priority="67" operator="equal">
      <formula>"Ok"</formula>
    </cfRule>
  </conditionalFormatting>
  <conditionalFormatting sqref="J58:T58">
    <cfRule type="cellIs" dxfId="149" priority="58" operator="equal">
      <formula>"Check"</formula>
    </cfRule>
    <cfRule type="cellIs" dxfId="148" priority="59" operator="equal">
      <formula>"Ok"</formula>
    </cfRule>
  </conditionalFormatting>
  <conditionalFormatting sqref="J34:T34">
    <cfRule type="expression" dxfId="147" priority="49">
      <formula>J$34=J$4</formula>
    </cfRule>
  </conditionalFormatting>
  <conditionalFormatting sqref="J39:O43 J36:T38">
    <cfRule type="expression" dxfId="146" priority="47">
      <formula>J$34=J$4</formula>
    </cfRule>
  </conditionalFormatting>
  <conditionalFormatting sqref="J49:T56">
    <cfRule type="expression" dxfId="145" priority="46">
      <formula>J$47=J$4</formula>
    </cfRule>
  </conditionalFormatting>
  <conditionalFormatting sqref="W106">
    <cfRule type="cellIs" dxfId="144" priority="40" operator="equal">
      <formula>"Check"</formula>
    </cfRule>
    <cfRule type="cellIs" dxfId="143" priority="41" operator="equal">
      <formula>"Ok"</formula>
    </cfRule>
  </conditionalFormatting>
  <conditionalFormatting sqref="J106:T106">
    <cfRule type="cellIs" dxfId="142" priority="38" operator="equal">
      <formula>"Check"</formula>
    </cfRule>
    <cfRule type="cellIs" dxfId="141" priority="39" operator="equal">
      <formula>"Ok"</formula>
    </cfRule>
  </conditionalFormatting>
  <conditionalFormatting sqref="W45">
    <cfRule type="cellIs" dxfId="140" priority="36" operator="equal">
      <formula>"Check"</formula>
    </cfRule>
    <cfRule type="cellIs" dxfId="139" priority="37" operator="equal">
      <formula>"Ok"</formula>
    </cfRule>
  </conditionalFormatting>
  <conditionalFormatting sqref="J45:T45">
    <cfRule type="cellIs" dxfId="138" priority="34" operator="equal">
      <formula>"Check"</formula>
    </cfRule>
    <cfRule type="cellIs" dxfId="137" priority="35" operator="equal">
      <formula>"Ok"</formula>
    </cfRule>
  </conditionalFormatting>
  <conditionalFormatting sqref="W71">
    <cfRule type="cellIs" dxfId="136" priority="32" operator="equal">
      <formula>"Check"</formula>
    </cfRule>
    <cfRule type="cellIs" dxfId="135" priority="33" operator="equal">
      <formula>"Ok"</formula>
    </cfRule>
  </conditionalFormatting>
  <conditionalFormatting sqref="J71:T71">
    <cfRule type="cellIs" dxfId="134" priority="30" operator="equal">
      <formula>"Check"</formula>
    </cfRule>
    <cfRule type="cellIs" dxfId="133" priority="31" operator="equal">
      <formula>"Ok"</formula>
    </cfRule>
  </conditionalFormatting>
  <conditionalFormatting sqref="J62:T62">
    <cfRule type="expression" dxfId="132" priority="24">
      <formula>J$62=J$4</formula>
    </cfRule>
  </conditionalFormatting>
  <conditionalFormatting sqref="J64:N67 J68:T69">
    <cfRule type="expression" dxfId="131" priority="22">
      <formula>J$62=J$4</formula>
    </cfRule>
  </conditionalFormatting>
  <conditionalFormatting sqref="J47:T47">
    <cfRule type="expression" dxfId="130" priority="19">
      <formula>J$34=J$4</formula>
    </cfRule>
  </conditionalFormatting>
  <conditionalFormatting sqref="J73:T73">
    <cfRule type="expression" dxfId="129" priority="18">
      <formula>J$34=J$4</formula>
    </cfRule>
  </conditionalFormatting>
  <conditionalFormatting sqref="J102:T102">
    <cfRule type="expression" dxfId="128" priority="17">
      <formula>J$34=J$4</formula>
    </cfRule>
  </conditionalFormatting>
  <conditionalFormatting sqref="J25:T30">
    <cfRule type="cellIs" dxfId="127" priority="15" operator="equal">
      <formula>0</formula>
    </cfRule>
  </conditionalFormatting>
  <conditionalFormatting sqref="P16:T21">
    <cfRule type="cellIs" dxfId="126" priority="14" operator="equal">
      <formula>0</formula>
    </cfRule>
  </conditionalFormatting>
  <conditionalFormatting sqref="W91:W98">
    <cfRule type="cellIs" dxfId="125" priority="10" operator="equal">
      <formula>"Check"</formula>
    </cfRule>
    <cfRule type="cellIs" dxfId="124" priority="11" operator="equal">
      <formula>"Ok"</formula>
    </cfRule>
  </conditionalFormatting>
  <conditionalFormatting sqref="K88:M89">
    <cfRule type="expression" dxfId="123" priority="9">
      <formula>K$82=K$4</formula>
    </cfRule>
  </conditionalFormatting>
  <conditionalFormatting sqref="J91:T92 J94:T94">
    <cfRule type="cellIs" dxfId="122" priority="7" operator="equal">
      <formula>"Check"</formula>
    </cfRule>
    <cfRule type="cellIs" dxfId="121" priority="8" operator="equal">
      <formula>"Ok"</formula>
    </cfRule>
  </conditionalFormatting>
  <conditionalFormatting sqref="J93:T93">
    <cfRule type="expression" dxfId="120" priority="6">
      <formula>J$93=J$4</formula>
    </cfRule>
  </conditionalFormatting>
  <conditionalFormatting sqref="J104:O104">
    <cfRule type="expression" dxfId="119" priority="119">
      <formula>J$102=J$4</formula>
    </cfRule>
  </conditionalFormatting>
  <conditionalFormatting sqref="P43:S43">
    <cfRule type="expression" dxfId="118" priority="4">
      <formula>P$34=P$4</formula>
    </cfRule>
  </conditionalFormatting>
  <conditionalFormatting sqref="J16:O21">
    <cfRule type="cellIs" dxfId="117" priority="3" operator="equal">
      <formula>0</formula>
    </cfRule>
  </conditionalFormatting>
  <conditionalFormatting sqref="K84:M87">
    <cfRule type="expression" dxfId="116" priority="2">
      <formula>K$82=K$4</formula>
    </cfRule>
  </conditionalFormatting>
  <dataValidations disablePrompts="1" count="2">
    <dataValidation type="list" allowBlank="1" showInputMessage="1" showErrorMessage="1" sqref="F107 F72 F99">
      <formula1>#REF!</formula1>
    </dataValidation>
    <dataValidation type="list" allowBlank="1" showInputMessage="1" showErrorMessage="1" sqref="F83 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topLeftCell="A19" workbookViewId="0">
      <selection activeCell="C7" sqref="C7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126</v>
      </c>
      <c r="K3" s="173"/>
      <c r="L3" s="173"/>
      <c r="M3" s="183"/>
      <c r="N3" s="228"/>
      <c r="O3" s="228"/>
      <c r="P3" s="228"/>
      <c r="Q3" s="228"/>
      <c r="R3" s="228"/>
      <c r="S3" s="228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218"/>
      <c r="D12" s="30" t="s">
        <v>73</v>
      </c>
      <c r="E12" s="150" t="s">
        <v>15</v>
      </c>
      <c r="F12" s="172">
        <v>43252</v>
      </c>
      <c r="G12" s="32"/>
      <c r="H12" s="32"/>
      <c r="J12" s="152"/>
      <c r="K12" s="152"/>
      <c r="L12" s="152"/>
      <c r="M12" s="152"/>
      <c r="N12" s="152"/>
      <c r="O12" s="171"/>
      <c r="P12" s="171"/>
      <c r="Q12" s="171"/>
      <c r="R12" s="171"/>
      <c r="S12" s="171"/>
    </row>
    <row r="13" spans="1:47" outlineLevel="1">
      <c r="C13" s="218"/>
      <c r="D13" s="30" t="s">
        <v>73</v>
      </c>
      <c r="E13" s="150" t="s">
        <v>15</v>
      </c>
      <c r="F13" s="172">
        <v>43252</v>
      </c>
      <c r="G13" s="32"/>
      <c r="H13" s="32"/>
      <c r="J13" s="152"/>
      <c r="K13" s="152"/>
      <c r="L13" s="152"/>
      <c r="M13" s="152"/>
      <c r="N13" s="152"/>
      <c r="O13" s="171"/>
      <c r="P13" s="171"/>
      <c r="Q13" s="171"/>
      <c r="R13" s="171"/>
      <c r="S13" s="171"/>
    </row>
    <row r="14" spans="1:47" outlineLevel="1">
      <c r="C14" s="218"/>
      <c r="D14" s="30" t="s">
        <v>73</v>
      </c>
      <c r="E14" s="150" t="s">
        <v>15</v>
      </c>
      <c r="F14" s="172">
        <v>43252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218"/>
      <c r="D15" s="30" t="s">
        <v>73</v>
      </c>
      <c r="E15" s="150" t="s">
        <v>15</v>
      </c>
      <c r="F15" s="172">
        <v>43252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218"/>
      <c r="D16" s="30" t="s">
        <v>73</v>
      </c>
      <c r="E16" s="150" t="s">
        <v>15</v>
      </c>
      <c r="F16" s="172">
        <v>43252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218"/>
      <c r="D17" s="30" t="s">
        <v>73</v>
      </c>
      <c r="E17" s="150" t="s">
        <v>15</v>
      </c>
      <c r="F17" s="172">
        <v>43252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218"/>
      <c r="D18" s="30" t="s">
        <v>73</v>
      </c>
      <c r="E18" s="150" t="s">
        <v>15</v>
      </c>
      <c r="F18" s="172">
        <v>43252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218"/>
      <c r="D19" s="30" t="s">
        <v>73</v>
      </c>
      <c r="E19" s="150" t="s">
        <v>15</v>
      </c>
      <c r="F19" s="172">
        <v>43252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218"/>
      <c r="D20" s="30" t="s">
        <v>73</v>
      </c>
      <c r="E20" s="150" t="s">
        <v>15</v>
      </c>
      <c r="F20" s="172">
        <v>43252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121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218"/>
      <c r="D28" s="30" t="s">
        <v>73</v>
      </c>
      <c r="E28" s="150" t="s">
        <v>15</v>
      </c>
      <c r="F28" s="172">
        <v>43252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218"/>
      <c r="D29" s="30" t="s">
        <v>73</v>
      </c>
      <c r="E29" s="150" t="s">
        <v>15</v>
      </c>
      <c r="F29" s="172">
        <v>43252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218"/>
      <c r="D30" s="30" t="s">
        <v>73</v>
      </c>
      <c r="E30" s="150" t="s">
        <v>15</v>
      </c>
      <c r="F30" s="172">
        <v>43252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0">
        <v>43983</v>
      </c>
      <c r="G38" s="32"/>
      <c r="H38" s="32"/>
      <c r="J38" s="171"/>
      <c r="K38" s="171"/>
      <c r="L38" s="171"/>
      <c r="M38" s="171"/>
      <c r="N38" s="171"/>
      <c r="O38" s="221">
        <v>3.7980468210249678</v>
      </c>
      <c r="P38" s="221">
        <v>3.7926635365879231</v>
      </c>
      <c r="Q38" s="221">
        <v>3.7869774588826601</v>
      </c>
      <c r="R38" s="221">
        <v>3.7794429300889281</v>
      </c>
      <c r="S38" s="221">
        <v>3.7671664617910121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5" priority="26" operator="equal">
      <formula>"Check"</formula>
    </cfRule>
    <cfRule type="cellIs" dxfId="114" priority="27" operator="equal">
      <formula>"Ok"</formula>
    </cfRule>
  </conditionalFormatting>
  <conditionalFormatting sqref="V1">
    <cfRule type="cellIs" dxfId="113" priority="28" operator="equal">
      <formula>"Check"</formula>
    </cfRule>
    <cfRule type="cellIs" dxfId="112" priority="29" operator="equal">
      <formula>"Ok"</formula>
    </cfRule>
  </conditionalFormatting>
  <conditionalFormatting sqref="J10:S10">
    <cfRule type="expression" dxfId="111" priority="24">
      <formula>J$10=J$4</formula>
    </cfRule>
  </conditionalFormatting>
  <conditionalFormatting sqref="J12:S20">
    <cfRule type="expression" dxfId="110" priority="23">
      <formula>J$10=J$4</formula>
    </cfRule>
  </conditionalFormatting>
  <conditionalFormatting sqref="W22">
    <cfRule type="cellIs" dxfId="109" priority="19" operator="equal">
      <formula>"Check"</formula>
    </cfRule>
    <cfRule type="cellIs" dxfId="108" priority="20" operator="equal">
      <formula>"Ok"</formula>
    </cfRule>
  </conditionalFormatting>
  <conditionalFormatting sqref="J22:T22">
    <cfRule type="cellIs" dxfId="107" priority="17" operator="equal">
      <formula>"Check"</formula>
    </cfRule>
    <cfRule type="cellIs" dxfId="106" priority="18" operator="equal">
      <formula>"Ok"</formula>
    </cfRule>
  </conditionalFormatting>
  <conditionalFormatting sqref="W32">
    <cfRule type="cellIs" dxfId="105" priority="15" operator="equal">
      <formula>"Check"</formula>
    </cfRule>
    <cfRule type="cellIs" dxfId="104" priority="16" operator="equal">
      <formula>"Ok"</formula>
    </cfRule>
  </conditionalFormatting>
  <conditionalFormatting sqref="J32:T32">
    <cfRule type="cellIs" dxfId="103" priority="13" operator="equal">
      <formula>"Check"</formula>
    </cfRule>
    <cfRule type="cellIs" dxfId="102" priority="14" operator="equal">
      <formula>"Ok"</formula>
    </cfRule>
  </conditionalFormatting>
  <conditionalFormatting sqref="J28:M30">
    <cfRule type="expression" dxfId="101" priority="12">
      <formula>J$26=J$4</formula>
    </cfRule>
  </conditionalFormatting>
  <conditionalFormatting sqref="W40">
    <cfRule type="cellIs" dxfId="100" priority="10" operator="equal">
      <formula>"Check"</formula>
    </cfRule>
    <cfRule type="cellIs" dxfId="99" priority="11" operator="equal">
      <formula>"Ok"</formula>
    </cfRule>
  </conditionalFormatting>
  <conditionalFormatting sqref="J40:T40">
    <cfRule type="cellIs" dxfId="98" priority="8" operator="equal">
      <formula>"Check"</formula>
    </cfRule>
    <cfRule type="cellIs" dxfId="97" priority="9" operator="equal">
      <formula>"Ok"</formula>
    </cfRule>
  </conditionalFormatting>
  <conditionalFormatting sqref="O28:S30">
    <cfRule type="expression" dxfId="96" priority="7">
      <formula>O$10=O$4</formula>
    </cfRule>
  </conditionalFormatting>
  <conditionalFormatting sqref="N28:N30">
    <cfRule type="expression" dxfId="95" priority="6">
      <formula>N$10=N$4</formula>
    </cfRule>
  </conditionalFormatting>
  <conditionalFormatting sqref="J38:N38">
    <cfRule type="expression" dxfId="94" priority="3">
      <formula>J$36=J$4</formula>
    </cfRule>
  </conditionalFormatting>
  <conditionalFormatting sqref="J26:S26">
    <cfRule type="expression" dxfId="93" priority="2">
      <formula>J$10=J$4</formula>
    </cfRule>
  </conditionalFormatting>
  <conditionalFormatting sqref="J36:S36">
    <cfRule type="expression" dxfId="92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13" zoomScaleNormal="100" workbookViewId="0">
      <selection activeCell="T101" sqref="T10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126</v>
      </c>
      <c r="K3" s="173"/>
      <c r="L3" s="173"/>
      <c r="M3" s="183"/>
      <c r="N3" s="228"/>
      <c r="O3" s="228"/>
      <c r="P3" s="228"/>
      <c r="Q3" s="228"/>
      <c r="R3" s="228"/>
      <c r="S3" s="228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168</v>
      </c>
      <c r="D12" s="108" t="s">
        <v>96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367.75770145966646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168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376.97665069039454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169</v>
      </c>
      <c r="D14" s="108" t="s">
        <v>96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358.06024926893065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169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388.8754139399673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170</v>
      </c>
      <c r="D16" s="108" t="s">
        <v>96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364.79570789060602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170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396.19053552893837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171</v>
      </c>
      <c r="D19" s="108" t="s">
        <v>96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171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172</v>
      </c>
      <c r="D21" s="108" t="s">
        <v>96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5.2216894966777447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172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5.6710753808401986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173</v>
      </c>
      <c r="D23" s="108" t="s">
        <v>96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5.2866337219504667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173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5.7416087967597402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144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376.97665069039454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166</v>
      </c>
      <c r="D28" s="108" t="s">
        <v>96</v>
      </c>
      <c r="E28" s="110" t="str">
        <f>'Input|Reported opex'!E68</f>
        <v>$millions</v>
      </c>
      <c r="F28" s="161">
        <f>'Input|Reported opex'!F68</f>
        <v>43983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164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7.315121588971067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384.2917722793656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174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-7.0533415919541653E-2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CAM adjustment</v>
      </c>
      <c r="D37" s="108" t="s">
        <v>96</v>
      </c>
      <c r="E37" s="110" t="str">
        <f>'Input|Reported opex'!E62</f>
        <v>$millions</v>
      </c>
      <c r="F37" s="226">
        <f>'Input|Reported opex'!F63</f>
        <v>43983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opex'!#REF!,0)</f>
        <v>0</v>
      </c>
      <c r="R37" s="109">
        <f>IF(YEAR(R$4)=PPLastYear,'Input|Reported opex'!Q62,0)</f>
        <v>0</v>
      </c>
      <c r="S37" s="109">
        <f>IF(YEAR(S$4)=PPLastYear,'Input|Reported opex'!R62,0)</f>
        <v>0</v>
      </c>
    </row>
    <row r="38" spans="3:19" outlineLevel="1">
      <c r="C38" s="123" t="str">
        <f>C37</f>
        <v>CAM adjustment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Service classification adjustment</v>
      </c>
      <c r="D40" s="108" t="s">
        <v>96</v>
      </c>
      <c r="E40" s="30" t="str">
        <f>'Input|Reported opex'!$E$63</f>
        <v>$millions</v>
      </c>
      <c r="F40" s="226">
        <f>F37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0.25830638476133183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opex'!#REF!,0)</f>
        <v>0</v>
      </c>
      <c r="R40" s="109">
        <f>IF(YEAR(R$4)=PPLastYear,'Input|Reported opex'!Q63,0)</f>
        <v>0</v>
      </c>
      <c r="S40" s="109">
        <f>IF(YEAR(S$4)=PPLastYear,'Input|Reported opex'!R63,0)</f>
        <v>0</v>
      </c>
    </row>
    <row r="41" spans="3:19" outlineLevel="1">
      <c r="C41" s="123" t="str">
        <f>C40</f>
        <v>Service classification adjustment</v>
      </c>
      <c r="D41" s="110" t="s">
        <v>30</v>
      </c>
      <c r="E41" s="30" t="str">
        <f>$E$8</f>
        <v>$millions</v>
      </c>
      <c r="F41" s="226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0.25830638476133183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96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opex'!S63,0)</f>
        <v>0</v>
      </c>
      <c r="S43" s="109">
        <f>IF(YEAR(S$4)=PPLastYear,'Input|Reported opex'!U63,0)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96</v>
      </c>
      <c r="E46" s="30" t="str">
        <f>'Input|Reported opex'!$E$65</f>
        <v>$millions</v>
      </c>
      <c r="F46" s="161">
        <f>'Input|Reported opex'!$F$65</f>
        <v>43983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96</v>
      </c>
      <c r="E49" s="30" t="str">
        <f>'Input|Reported opex'!$E$66</f>
        <v>$millions</v>
      </c>
      <c r="F49" s="161">
        <f>'Input|Reported opex'!$F$66</f>
        <v>43983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175</v>
      </c>
      <c r="D54" s="112" t="s">
        <v>103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384.47954524820739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117">
        <f>IF(O58=O4,AVERAGE('Input|Rate of change'!P95:P98),0)</f>
        <v>5.7409283242261158E-3</v>
      </c>
      <c r="P61" s="117">
        <f>IF(P58=P4,AVERAGE('Input|Rate of change'!Q95:Q98),0)</f>
        <v>5.7446301917427871E-3</v>
      </c>
      <c r="Q61" s="117">
        <f>IF(Q58=Q4,AVERAGE('Input|Rate of change'!R95:R98),0)</f>
        <v>5.778720779929471E-3</v>
      </c>
      <c r="R61" s="117">
        <f>IF(R58=R4,AVERAGE('Input|Rate of change'!S95:S98),0)</f>
        <v>5.7344200867580292E-3</v>
      </c>
      <c r="S61" s="117">
        <f>IF(S58=S4,AVERAGE('Input|Rate of change'!T95:T98),0)</f>
        <v>5.7490389491071511E-3</v>
      </c>
      <c r="U61" s="223"/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U62" s="223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2.8048519443354012E-3</v>
      </c>
      <c r="P63" s="117">
        <f>SUMPRODUCT('Input|Rate of change'!Q36:Q43,'Input|Rate of change'!Q49:Q56)</f>
        <v>3.7522180687115706E-3</v>
      </c>
      <c r="Q63" s="117">
        <f>SUMPRODUCT('Input|Rate of change'!R36:R43,'Input|Rate of change'!R49:R56)</f>
        <v>3.130563406194645E-3</v>
      </c>
      <c r="R63" s="117">
        <f>SUMPRODUCT('Input|Rate of change'!S36:S43,'Input|Rate of change'!S49:S56)</f>
        <v>3.4448673075277696E-3</v>
      </c>
      <c r="S63" s="117">
        <f>SUMPRODUCT('Input|Rate of change'!T36:T43,'Input|Rate of change'!T49:T56)</f>
        <v>2.9754824389247479E-3</v>
      </c>
      <c r="U63" s="223"/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U64" s="223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5.0000000000000001E-3</v>
      </c>
      <c r="P65" s="117">
        <f>'Input|Rate of change'!Q104</f>
        <v>5.0000000000000001E-3</v>
      </c>
      <c r="Q65" s="117">
        <f>'Input|Rate of change'!R104</f>
        <v>5.0000000000000001E-3</v>
      </c>
      <c r="R65" s="117">
        <f>'Input|Rate of change'!S104</f>
        <v>5.0000000000000001E-3</v>
      </c>
      <c r="S65" s="117">
        <f>'Input|Rate of change'!T104</f>
        <v>5.0000000000000001E-3</v>
      </c>
      <c r="U65" s="223"/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145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3.5190733089212056E-3</v>
      </c>
      <c r="P67" s="143">
        <f t="shared" si="6"/>
        <v>4.4708113488296508E-3</v>
      </c>
      <c r="Q67" s="143">
        <f t="shared" si="6"/>
        <v>3.8827379637429438E-3</v>
      </c>
      <c r="R67" s="143">
        <f t="shared" si="6"/>
        <v>4.1530465020174212E-3</v>
      </c>
      <c r="S67" s="143">
        <f t="shared" si="6"/>
        <v>3.6979194147033212E-3</v>
      </c>
      <c r="U67" s="223"/>
      <c r="V67" s="223"/>
    </row>
    <row r="68" spans="1:47" outlineLevel="1">
      <c r="C68" s="124" t="s">
        <v>146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3.5190733089212056E-3</v>
      </c>
      <c r="P68" s="117">
        <f t="array" ref="P68">IF(P$58=P$4,PRODUCT(1+$J67:P67)-1,"")</f>
        <v>8.0056177706377962E-3</v>
      </c>
      <c r="Q68" s="117">
        <f t="array" ref="Q68">IF(Q$58=Q$4,PRODUCT(1+$J67:Q67)-1,"")</f>
        <v>1.1919439450422065E-2</v>
      </c>
      <c r="R68" s="117">
        <f t="array" ref="R68">IF(R$58=R$4,PRODUCT(1+$J67:R67)-1,"")</f>
        <v>1.6121987938755078E-2</v>
      </c>
      <c r="S68" s="117">
        <f t="array" ref="S68">IF(S$58=S$4,PRODUCT(1+$J67:S67)-1,"")</f>
        <v>1.9879525165660716E-2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0</v>
      </c>
      <c r="P84" s="177">
        <f t="shared" si="9"/>
        <v>0</v>
      </c>
      <c r="Q84" s="177">
        <f t="shared" si="9"/>
        <v>0</v>
      </c>
      <c r="R84" s="177">
        <f t="shared" si="9"/>
        <v>0</v>
      </c>
      <c r="S84" s="177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123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115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124</v>
      </c>
      <c r="D94" s="122" t="s">
        <v>30</v>
      </c>
      <c r="E94" s="122" t="str">
        <f>$E$8</f>
        <v>$millions</v>
      </c>
      <c r="F94" s="175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141</v>
      </c>
      <c r="D100" s="126" t="s">
        <v>30</v>
      </c>
      <c r="E100" s="126" t="str">
        <f>$E$8</f>
        <v>$millions</v>
      </c>
      <c r="F100" s="175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385.83255695371651</v>
      </c>
      <c r="P100" s="151">
        <f t="shared" si="14"/>
        <v>387.55754152809317</v>
      </c>
      <c r="Q100" s="151">
        <f t="shared" si="14"/>
        <v>389.06232590771918</v>
      </c>
      <c r="R100" s="151">
        <f t="shared" si="14"/>
        <v>390.67811983939703</v>
      </c>
      <c r="S100" s="151">
        <f t="shared" si="14"/>
        <v>392.12281604365091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5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385.83255695371651</v>
      </c>
      <c r="P101" s="151">
        <f t="shared" si="15"/>
        <v>387.55754152809317</v>
      </c>
      <c r="Q101" s="151">
        <f t="shared" si="15"/>
        <v>389.06232590771918</v>
      </c>
      <c r="R101" s="151">
        <f t="shared" si="15"/>
        <v>390.67811983939703</v>
      </c>
      <c r="S101" s="151">
        <f t="shared" si="15"/>
        <v>392.12281604365091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5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389.63060377474147</v>
      </c>
      <c r="P102" s="151">
        <f>IF(YEAR(P$4)&gt;=FPFirstYear,IF(YEAR(P$4)&lt;=FPLastYear,P101+'Input|Step changes'!P38,""),"")</f>
        <v>391.35020506468106</v>
      </c>
      <c r="Q102" s="151">
        <f>IF(YEAR(Q$4)&gt;=FPFirstYear,IF(YEAR(Q$4)&lt;=FPLastYear,Q101+'Input|Step changes'!Q38,""),"")</f>
        <v>392.84930336660182</v>
      </c>
      <c r="R102" s="151">
        <f>IF(YEAR(R$4)&gt;=FPFirstYear,IF(YEAR(R$4)&lt;=FPLastYear,R101+'Input|Step changes'!R38,""),"")</f>
        <v>394.45756276948595</v>
      </c>
      <c r="S102" s="151">
        <f>IF(YEAR(S$4)&gt;=FPFirstYear,IF(YEAR(S$4)&lt;=FPLastYear,S101+'Input|Step changes'!S38,""),"")</f>
        <v>395.88998250544194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1" priority="99" operator="equal">
      <formula>"Check"</formula>
    </cfRule>
    <cfRule type="cellIs" dxfId="90" priority="100" operator="equal">
      <formula>"Ok"</formula>
    </cfRule>
  </conditionalFormatting>
  <conditionalFormatting sqref="V1">
    <cfRule type="cellIs" dxfId="89" priority="101" operator="equal">
      <formula>"Check"</formula>
    </cfRule>
    <cfRule type="cellIs" dxfId="88" priority="102" operator="equal">
      <formula>"Ok"</formula>
    </cfRule>
  </conditionalFormatting>
  <conditionalFormatting sqref="R39:S39 R42:S42 R45:S45 R48:S48 J12:S18">
    <cfRule type="cellIs" dxfId="87" priority="98" operator="equal">
      <formula>0</formula>
    </cfRule>
  </conditionalFormatting>
  <conditionalFormatting sqref="J13:S13">
    <cfRule type="cellIs" dxfId="86" priority="97" operator="equal">
      <formula>0</formula>
    </cfRule>
  </conditionalFormatting>
  <conditionalFormatting sqref="J14:S14">
    <cfRule type="cellIs" dxfId="85" priority="96" operator="equal">
      <formula>0</formula>
    </cfRule>
  </conditionalFormatting>
  <conditionalFormatting sqref="J15:S15">
    <cfRule type="cellIs" dxfId="84" priority="95" operator="equal">
      <formula>0</formula>
    </cfRule>
  </conditionalFormatting>
  <conditionalFormatting sqref="J16:S16">
    <cfRule type="cellIs" dxfId="83" priority="94" operator="equal">
      <formula>0</formula>
    </cfRule>
  </conditionalFormatting>
  <conditionalFormatting sqref="J17:S18">
    <cfRule type="cellIs" dxfId="82" priority="93" operator="equal">
      <formula>0</formula>
    </cfRule>
  </conditionalFormatting>
  <conditionalFormatting sqref="J61:S65">
    <cfRule type="cellIs" dxfId="81" priority="92" operator="equal">
      <formula>0</formula>
    </cfRule>
  </conditionalFormatting>
  <conditionalFormatting sqref="J74:S82 J90:S92">
    <cfRule type="cellIs" dxfId="80" priority="90" operator="equal">
      <formula>0</formula>
    </cfRule>
  </conditionalFormatting>
  <conditionalFormatting sqref="J36:S36 J33:S34 J51:S54">
    <cfRule type="cellIs" dxfId="79" priority="87" operator="equal">
      <formula>0</formula>
    </cfRule>
  </conditionalFormatting>
  <conditionalFormatting sqref="J101:S102">
    <cfRule type="cellIs" dxfId="78" priority="86" operator="equal">
      <formula>0</formula>
    </cfRule>
  </conditionalFormatting>
  <conditionalFormatting sqref="J101:S102">
    <cfRule type="cellIs" dxfId="77" priority="85" operator="equal">
      <formula>0</formula>
    </cfRule>
  </conditionalFormatting>
  <conditionalFormatting sqref="J46:S46">
    <cfRule type="cellIs" dxfId="76" priority="48" operator="equal">
      <formula>0</formula>
    </cfRule>
  </conditionalFormatting>
  <conditionalFormatting sqref="J39:Q39 J42:Q42 J45:Q45">
    <cfRule type="cellIs" dxfId="75" priority="66" operator="equal">
      <formula>0</formula>
    </cfRule>
  </conditionalFormatting>
  <conditionalFormatting sqref="J39:Q39 J42:Q42 J45:Q45">
    <cfRule type="cellIs" dxfId="74" priority="65" operator="equal">
      <formula>0</formula>
    </cfRule>
  </conditionalFormatting>
  <conditionalFormatting sqref="J37:S37">
    <cfRule type="cellIs" dxfId="73" priority="61" operator="equal">
      <formula>0</formula>
    </cfRule>
  </conditionalFormatting>
  <conditionalFormatting sqref="J37:S37">
    <cfRule type="cellIs" dxfId="72" priority="60" operator="equal">
      <formula>0</formula>
    </cfRule>
  </conditionalFormatting>
  <conditionalFormatting sqref="J48:Q48">
    <cfRule type="cellIs" dxfId="71" priority="51" operator="equal">
      <formula>0</formula>
    </cfRule>
  </conditionalFormatting>
  <conditionalFormatting sqref="J48:Q48">
    <cfRule type="cellIs" dxfId="70" priority="50" operator="equal">
      <formula>0</formula>
    </cfRule>
  </conditionalFormatting>
  <conditionalFormatting sqref="J40:S40">
    <cfRule type="cellIs" dxfId="69" priority="57" operator="equal">
      <formula>0</formula>
    </cfRule>
  </conditionalFormatting>
  <conditionalFormatting sqref="J40:S40">
    <cfRule type="cellIs" dxfId="68" priority="56" operator="equal">
      <formula>0</formula>
    </cfRule>
  </conditionalFormatting>
  <conditionalFormatting sqref="J46:S46">
    <cfRule type="cellIs" dxfId="67" priority="49" operator="equal">
      <formula>0</formula>
    </cfRule>
  </conditionalFormatting>
  <conditionalFormatting sqref="J43:S43">
    <cfRule type="cellIs" dxfId="66" priority="53" operator="equal">
      <formula>0</formula>
    </cfRule>
  </conditionalFormatting>
  <conditionalFormatting sqref="J43:S43">
    <cfRule type="cellIs" dxfId="65" priority="52" operator="equal">
      <formula>0</formula>
    </cfRule>
  </conditionalFormatting>
  <conditionalFormatting sqref="J49:S49">
    <cfRule type="cellIs" dxfId="64" priority="43" operator="equal">
      <formula>0</formula>
    </cfRule>
  </conditionalFormatting>
  <conditionalFormatting sqref="J49:S49">
    <cfRule type="cellIs" dxfId="63" priority="44" operator="equal">
      <formula>0</formula>
    </cfRule>
  </conditionalFormatting>
  <conditionalFormatting sqref="J38:S38">
    <cfRule type="cellIs" dxfId="62" priority="42" operator="equal">
      <formula>0</formula>
    </cfRule>
  </conditionalFormatting>
  <conditionalFormatting sqref="J38:S38">
    <cfRule type="cellIs" dxfId="61" priority="41" operator="equal">
      <formula>0</formula>
    </cfRule>
  </conditionalFormatting>
  <conditionalFormatting sqref="J41:S41">
    <cfRule type="cellIs" dxfId="60" priority="40" operator="equal">
      <formula>0</formula>
    </cfRule>
  </conditionalFormatting>
  <conditionalFormatting sqref="J41:S41">
    <cfRule type="cellIs" dxfId="59" priority="39" operator="equal">
      <formula>0</formula>
    </cfRule>
  </conditionalFormatting>
  <conditionalFormatting sqref="J44:S44">
    <cfRule type="cellIs" dxfId="58" priority="38" operator="equal">
      <formula>0</formula>
    </cfRule>
  </conditionalFormatting>
  <conditionalFormatting sqref="J44:S44">
    <cfRule type="cellIs" dxfId="57" priority="37" operator="equal">
      <formula>0</formula>
    </cfRule>
  </conditionalFormatting>
  <conditionalFormatting sqref="J47:S47">
    <cfRule type="cellIs" dxfId="56" priority="36" operator="equal">
      <formula>0</formula>
    </cfRule>
  </conditionalFormatting>
  <conditionalFormatting sqref="J47:S47">
    <cfRule type="cellIs" dxfId="55" priority="35" operator="equal">
      <formula>0</formula>
    </cfRule>
  </conditionalFormatting>
  <conditionalFormatting sqref="J50:S50">
    <cfRule type="cellIs" dxfId="54" priority="34" operator="equal">
      <formula>0</formula>
    </cfRule>
  </conditionalFormatting>
  <conditionalFormatting sqref="J50:S50">
    <cfRule type="cellIs" dxfId="53" priority="33" operator="equal">
      <formula>0</formula>
    </cfRule>
  </conditionalFormatting>
  <conditionalFormatting sqref="J100:S100">
    <cfRule type="cellIs" dxfId="52" priority="22" operator="equal">
      <formula>0</formula>
    </cfRule>
  </conditionalFormatting>
  <conditionalFormatting sqref="J100:S100">
    <cfRule type="cellIs" dxfId="51" priority="21" operator="equal">
      <formula>0</formula>
    </cfRule>
  </conditionalFormatting>
  <conditionalFormatting sqref="J10:S10">
    <cfRule type="expression" dxfId="50" priority="20">
      <formula>J$10=J$4</formula>
    </cfRule>
  </conditionalFormatting>
  <conditionalFormatting sqref="J25:S25">
    <cfRule type="expression" dxfId="49" priority="19">
      <formula>J$10=J$4</formula>
    </cfRule>
  </conditionalFormatting>
  <conditionalFormatting sqref="J54:S54">
    <cfRule type="expression" dxfId="48" priority="18">
      <formula>J$10=J$4</formula>
    </cfRule>
  </conditionalFormatting>
  <conditionalFormatting sqref="J26:S28 J30:S30">
    <cfRule type="cellIs" dxfId="47" priority="15" operator="equal">
      <formula>0</formula>
    </cfRule>
  </conditionalFormatting>
  <conditionalFormatting sqref="J31:S32">
    <cfRule type="cellIs" dxfId="46" priority="14" operator="equal">
      <formula>0</formula>
    </cfRule>
  </conditionalFormatting>
  <conditionalFormatting sqref="J68:S68">
    <cfRule type="cellIs" dxfId="45" priority="11" operator="equal">
      <formula>0</formula>
    </cfRule>
  </conditionalFormatting>
  <conditionalFormatting sqref="J35:S35">
    <cfRule type="cellIs" dxfId="44" priority="10" operator="equal">
      <formula>0</formula>
    </cfRule>
  </conditionalFormatting>
  <conditionalFormatting sqref="J35:S35">
    <cfRule type="cellIs" dxfId="43" priority="9" operator="equal">
      <formula>0</formula>
    </cfRule>
  </conditionalFormatting>
  <conditionalFormatting sqref="J29:S29">
    <cfRule type="cellIs" dxfId="42" priority="8" operator="equal">
      <formula>0</formula>
    </cfRule>
  </conditionalFormatting>
  <conditionalFormatting sqref="J29:S29">
    <cfRule type="cellIs" dxfId="41" priority="7" operator="equal">
      <formula>0</formula>
    </cfRule>
  </conditionalFormatting>
  <conditionalFormatting sqref="J19:S24">
    <cfRule type="cellIs" dxfId="40" priority="6" operator="equal">
      <formula>0</formula>
    </cfRule>
  </conditionalFormatting>
  <conditionalFormatting sqref="J20:S20">
    <cfRule type="cellIs" dxfId="39" priority="5" operator="equal">
      <formula>0</formula>
    </cfRule>
  </conditionalFormatting>
  <conditionalFormatting sqref="J21:S21">
    <cfRule type="cellIs" dxfId="38" priority="4" operator="equal">
      <formula>0</formula>
    </cfRule>
  </conditionalFormatting>
  <conditionalFormatting sqref="J22:S22">
    <cfRule type="cellIs" dxfId="37" priority="3" operator="equal">
      <formula>0</formula>
    </cfRule>
  </conditionalFormatting>
  <conditionalFormatting sqref="J23:S23">
    <cfRule type="cellIs" dxfId="36" priority="2" operator="equal">
      <formula>0</formula>
    </cfRule>
  </conditionalFormatting>
  <conditionalFormatting sqref="J24:S24">
    <cfRule type="cellIs" dxfId="35" priority="1" operator="equal">
      <formula>0</formula>
    </cfRule>
  </conditionalFormatting>
  <conditionalFormatting sqref="J67:S67">
    <cfRule type="expression" dxfId="34" priority="104">
      <formula>J$58=J$4</formula>
    </cfRule>
    <cfRule type="cellIs" dxfId="33" priority="105" operator="equal">
      <formula>0</formula>
    </cfRule>
  </conditionalFormatting>
  <conditionalFormatting sqref="J94:S94">
    <cfRule type="expression" dxfId="32" priority="106">
      <formula>J$88=J$4</formula>
    </cfRule>
    <cfRule type="cellIs" dxfId="31" priority="107" operator="equal">
      <formula>0</formula>
    </cfRule>
  </conditionalFormatting>
  <conditionalFormatting sqref="J84:S84">
    <cfRule type="expression" dxfId="30" priority="108">
      <formula>J$72=J$4</formula>
    </cfRule>
    <cfRule type="cellIs" dxfId="29" priority="109" operator="equal">
      <formula>0</formula>
    </cfRule>
  </conditionalFormatting>
  <conditionalFormatting sqref="J58:S58 J72:S72 J88:S88">
    <cfRule type="expression" dxfId="28" priority="110">
      <formula>J$58=J$4</formula>
    </cfRule>
  </conditionalFormatting>
  <conditionalFormatting sqref="J98:S98">
    <cfRule type="expression" dxfId="27" priority="113">
      <formula>J$98=J$4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C7" sqref="C7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126</v>
      </c>
      <c r="K3" s="173"/>
      <c r="L3" s="173"/>
      <c r="M3" s="183"/>
      <c r="N3" s="228"/>
      <c r="O3" s="228"/>
      <c r="P3" s="228"/>
      <c r="Q3" s="228"/>
      <c r="R3" s="228"/>
      <c r="S3" s="228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T11" s="163"/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385.83255695371651</v>
      </c>
      <c r="P13" s="181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387.55754152809317</v>
      </c>
      <c r="Q13" s="181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389.06232590771918</v>
      </c>
      <c r="R13" s="181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390.67811983939703</v>
      </c>
      <c r="S13" s="181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392.12281604365091</v>
      </c>
      <c r="T13" s="227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43983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43983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6" priority="14" operator="equal">
      <formula>"Check"</formula>
    </cfRule>
    <cfRule type="cellIs" dxfId="25" priority="15" operator="equal">
      <formula>"Ok"</formula>
    </cfRule>
  </conditionalFormatting>
  <conditionalFormatting sqref="J13:S16">
    <cfRule type="expression" dxfId="24" priority="4">
      <formula>AND($C13=0,J$11=J$4)</formula>
    </cfRule>
    <cfRule type="expression" dxfId="23" priority="5">
      <formula>NOT(J$11=J$4)</formula>
    </cfRule>
    <cfRule type="expression" dxfId="22" priority="6">
      <formula>J$11=J$4</formula>
    </cfRule>
  </conditionalFormatting>
  <conditionalFormatting sqref="J11:S11">
    <cfRule type="expression" dxfId="21" priority="8">
      <formula>J$11=J$4</formula>
    </cfRule>
  </conditionalFormatting>
  <conditionalFormatting sqref="S1">
    <cfRule type="cellIs" dxfId="20" priority="2" operator="equal">
      <formula>"Check"</formula>
    </cfRule>
    <cfRule type="cellIs" dxfId="19" priority="3" operator="equal">
      <formula>"Ok"</formula>
    </cfRule>
  </conditionalFormatting>
  <conditionalFormatting sqref="T11">
    <cfRule type="expression" dxfId="18" priority="1">
      <formula>T$11=T$4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7"/>
  <sheetViews>
    <sheetView showGridLines="0" workbookViewId="0">
      <selection activeCell="C7" sqref="C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127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128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129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130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131</v>
      </c>
      <c r="D28" s="16" t="s">
        <v>73</v>
      </c>
      <c r="E28" s="16"/>
      <c r="F28" s="16"/>
      <c r="G28" s="154">
        <v>36617</v>
      </c>
    </row>
    <row r="29" spans="1:47">
      <c r="C29" s="15" t="s">
        <v>132</v>
      </c>
      <c r="D29" s="16" t="s">
        <v>73</v>
      </c>
      <c r="E29" s="16"/>
      <c r="F29" s="16"/>
      <c r="G29" s="154">
        <v>36647</v>
      </c>
    </row>
    <row r="30" spans="1:47">
      <c r="C30" s="15" t="s">
        <v>133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134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135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136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137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138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139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163</v>
      </c>
      <c r="H40" s="14" t="s">
        <v>161</v>
      </c>
      <c r="I40" s="14" t="s">
        <v>162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>
      <c r="H61" s="8" t="s">
        <v>105</v>
      </c>
    </row>
    <row r="62" spans="1:47" customFormat="1" ht="12.75">
      <c r="A62" s="43"/>
      <c r="B62" s="51" t="s">
        <v>159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160</v>
      </c>
      <c r="H64" s="14" t="s">
        <v>126</v>
      </c>
    </row>
    <row r="65" spans="1:47">
      <c r="C65" s="15" t="s">
        <v>147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2015–16</v>
      </c>
      <c r="H65" s="186">
        <f>DATE(PPFirstYear,MONTH('Input|General'!$G$9),1)</f>
        <v>42522</v>
      </c>
    </row>
    <row r="66" spans="1:47">
      <c r="C66" s="15" t="s">
        <v>148</v>
      </c>
      <c r="D66" s="16" t="s">
        <v>103</v>
      </c>
      <c r="E66" s="16"/>
      <c r="F66" s="16"/>
      <c r="G66" s="185" t="str">
        <f>IF(PPLastYear-PPFirstYear&lt;1,"",LEFT(G65,4)+1&amp;"–"&amp;RIGHT(G65,2)+1)</f>
        <v>2016–17</v>
      </c>
      <c r="H66" s="186">
        <f>IF(PPLastYear-PPFirstYear&lt;1,"",DATE(PPFirstYear+1,MONTH('Input|General'!$G$9),1))</f>
        <v>42887</v>
      </c>
    </row>
    <row r="67" spans="1:47">
      <c r="C67" s="15" t="s">
        <v>149</v>
      </c>
      <c r="D67" s="16" t="s">
        <v>103</v>
      </c>
      <c r="E67" s="16"/>
      <c r="F67" s="16"/>
      <c r="G67" s="185" t="str">
        <f>IF(PPLastYear-PPFirstYear&lt;2,"",LEFT(G66,4)+1&amp;"–"&amp;RIGHT(G66,2)+1)</f>
        <v>2017–18</v>
      </c>
      <c r="H67" s="186">
        <f>IF(PPLastYear-PPFirstYear&lt;2,"",DATE(PPFirstYear+2,MONTH('Input|General'!$G$9),1))</f>
        <v>43252</v>
      </c>
    </row>
    <row r="68" spans="1:47">
      <c r="C68" s="15" t="s">
        <v>150</v>
      </c>
      <c r="D68" s="16" t="s">
        <v>103</v>
      </c>
      <c r="E68" s="16"/>
      <c r="F68" s="16"/>
      <c r="G68" s="185" t="str">
        <f>IF(PPLastYear-PPFirstYear&lt;3,"",LEFT(G67,4)+1&amp;"–"&amp;RIGHT(G67,2)+1)</f>
        <v>2018–19</v>
      </c>
      <c r="H68" s="186">
        <f>IF(PPLastYear-PPFirstYear&lt;3,"",DATE(PPFirstYear+3,MONTH('Input|General'!$G$9),1))</f>
        <v>43617</v>
      </c>
    </row>
    <row r="69" spans="1:47">
      <c r="C69" s="15" t="s">
        <v>151</v>
      </c>
      <c r="D69" s="16" t="s">
        <v>103</v>
      </c>
      <c r="E69" s="16"/>
      <c r="F69" s="16"/>
      <c r="G69" s="185" t="str">
        <f>IF(PPLastYear-PPFirstYear&lt;4,"",LEFT(G68,4)+1&amp;"–"&amp;RIGHT(G68,2)+1)</f>
        <v>2019–20</v>
      </c>
      <c r="H69" s="186">
        <f>IF(PPLastYear-PPFirstYear&lt;4,"",DATE(PPFirstYear+4,MONTH('Input|General'!$G$9),1))</f>
        <v>43983</v>
      </c>
    </row>
    <row r="70" spans="1:47">
      <c r="C70" s="15" t="s">
        <v>152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2020–21</v>
      </c>
      <c r="H70" s="186">
        <f>DATE(FPFirstYear,MONTH('Input|General'!$G$9),1)</f>
        <v>44348</v>
      </c>
      <c r="T70" s="17"/>
    </row>
    <row r="71" spans="1:47">
      <c r="C71" s="15" t="s">
        <v>153</v>
      </c>
      <c r="D71" s="16" t="s">
        <v>103</v>
      </c>
      <c r="E71" s="16"/>
      <c r="F71" s="16"/>
      <c r="G71" s="185" t="str">
        <f>IF(FPLastYear-FPFirstYear&lt;1,"",LEFT(G70,4)+1&amp;"–"&amp;RIGHT(G70,2)+1)</f>
        <v>2021–22</v>
      </c>
      <c r="H71" s="186">
        <f>IF(FPLastYear-FPFirstYear&lt;1,"",DATE(FPFirstYear+1,MONTH('Input|General'!$G$9),1))</f>
        <v>44713</v>
      </c>
      <c r="T71" s="17"/>
    </row>
    <row r="72" spans="1:47">
      <c r="C72" s="15" t="s">
        <v>154</v>
      </c>
      <c r="D72" s="16" t="s">
        <v>103</v>
      </c>
      <c r="E72" s="16"/>
      <c r="F72" s="16"/>
      <c r="G72" s="185" t="str">
        <f>IF(FPLastYear-FPFirstYear&lt;2,"",LEFT(G71,4)+1&amp;"–"&amp;RIGHT(G71,2)+1)</f>
        <v>2022–23</v>
      </c>
      <c r="H72" s="186">
        <f>IF(FPLastYear-FPFirstYear&lt;2,"",DATE(FPFirstYear+2,MONTH('Input|General'!$G$9),1))</f>
        <v>45078</v>
      </c>
      <c r="T72" s="17"/>
    </row>
    <row r="73" spans="1:47">
      <c r="C73" s="15" t="s">
        <v>155</v>
      </c>
      <c r="D73" s="16" t="s">
        <v>103</v>
      </c>
      <c r="E73" s="16"/>
      <c r="F73" s="16"/>
      <c r="G73" s="185" t="str">
        <f>IF(FPLastYear-FPFirstYear&lt;3,"",LEFT(G72,4)+1&amp;"–"&amp;RIGHT(G72,2)+1)</f>
        <v>2023–24</v>
      </c>
      <c r="H73" s="186">
        <f>IF(FPLastYear-FPFirstYear&lt;3,"",DATE(FPFirstYear+3,MONTH('Input|General'!$G$9),1))</f>
        <v>45444</v>
      </c>
      <c r="T73" s="17"/>
    </row>
    <row r="74" spans="1:47">
      <c r="C74" s="15" t="s">
        <v>156</v>
      </c>
      <c r="D74" s="16" t="s">
        <v>103</v>
      </c>
      <c r="E74" s="16"/>
      <c r="F74" s="16"/>
      <c r="G74" s="185" t="str">
        <f>IF(FPLastYear-FPFirstYear&lt;4,"",LEFT(G73,4)+1&amp;"–"&amp;RIGHT(G73,2)+1)</f>
        <v>2024–25</v>
      </c>
      <c r="H74" s="186">
        <f>IF(FPLastYear-FPFirstYear&lt;4,"",DATE(FPFirstYear+4,MONTH('Input|General'!$G$9),1))</f>
        <v>45809</v>
      </c>
      <c r="T74" s="17"/>
    </row>
    <row r="75" spans="1:47">
      <c r="C75" s="15"/>
      <c r="D75" s="16"/>
      <c r="E75" s="16"/>
      <c r="F75" s="16"/>
      <c r="G75" s="212"/>
      <c r="H75" s="213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160</v>
      </c>
      <c r="H78" s="214"/>
    </row>
    <row r="79" spans="1:47">
      <c r="C79" s="15" t="s">
        <v>195</v>
      </c>
      <c r="D79" s="16" t="s">
        <v>73</v>
      </c>
      <c r="E79" s="16"/>
      <c r="F79" s="16"/>
      <c r="G79" s="184" t="s">
        <v>112</v>
      </c>
      <c r="H79" s="213"/>
    </row>
    <row r="80" spans="1:47">
      <c r="C80" s="15" t="s">
        <v>196</v>
      </c>
      <c r="D80" s="16" t="s">
        <v>73</v>
      </c>
      <c r="E80" s="16"/>
      <c r="F80" s="16"/>
      <c r="G80" s="185" t="s">
        <v>197</v>
      </c>
      <c r="H80" s="213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idden="1"/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C7" sqref="C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2019-09-19T07:20:22Z</dcterms:created>
  <dcterms:modified xsi:type="dcterms:W3CDTF">2019-09-20T04:53:58Z</dcterms:modified>
</cp:coreProperties>
</file>