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680" windowWidth="17070" windowHeight="429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ableName">"Dummy"</definedName>
    <definedName name="thousands">'Lookup|Tables'!$G$11</definedName>
    <definedName name="unit">'Lookup|Tables'!$G$15</definedName>
  </definedNames>
  <calcPr calcId="162913" concurrentCalc="0"/>
</workbook>
</file>

<file path=xl/calcChain.xml><?xml version="1.0" encoding="utf-8"?>
<calcChain xmlns="http://schemas.openxmlformats.org/spreadsheetml/2006/main">
  <c r="P56" i="2" l="1"/>
  <c r="Q56" i="2"/>
  <c r="R56" i="2"/>
  <c r="S56" i="2"/>
  <c r="T56" i="2"/>
  <c r="O56" i="2"/>
  <c r="P38" i="2"/>
  <c r="Q38" i="2"/>
  <c r="R38" i="2"/>
  <c r="S38" i="2"/>
  <c r="T38" i="2"/>
  <c r="O38" i="2"/>
  <c r="F58" i="55"/>
  <c r="F56" i="55"/>
  <c r="F12" i="42"/>
  <c r="K46" i="42"/>
  <c r="L46" i="42"/>
  <c r="M46" i="42"/>
  <c r="J46" i="42"/>
  <c r="C85" i="2"/>
  <c r="C86" i="2"/>
  <c r="C87" i="2"/>
  <c r="C88" i="2"/>
  <c r="C89" i="2"/>
  <c r="C84" i="2"/>
  <c r="C95" i="2" a="1"/>
  <c r="C98" i="2"/>
  <c r="T91" i="2" a="1"/>
  <c r="T91" i="2"/>
  <c r="S91" i="2" a="1"/>
  <c r="S91" i="2"/>
  <c r="R91" i="2" a="1"/>
  <c r="R91" i="2"/>
  <c r="Q91" i="2" a="1"/>
  <c r="Q91" i="2"/>
  <c r="P91" i="2" a="1"/>
  <c r="P91" i="2"/>
  <c r="O91" i="2" a="1"/>
  <c r="O91" i="2"/>
  <c r="N91" i="2" a="1"/>
  <c r="N91" i="2"/>
  <c r="M91" i="2" a="1"/>
  <c r="M91" i="2"/>
  <c r="L91" i="2" a="1"/>
  <c r="L91" i="2"/>
  <c r="K91" i="2" a="1"/>
  <c r="K91" i="2"/>
  <c r="J91" i="2" a="1"/>
  <c r="J91" i="2"/>
  <c r="C95" i="2"/>
  <c r="C96" i="2"/>
  <c r="W91" i="2"/>
  <c r="C97" i="2"/>
  <c r="F44" i="58"/>
  <c r="F48" i="58"/>
  <c r="F53" i="58"/>
  <c r="F15" i="42"/>
  <c r="F60" i="55"/>
  <c r="F55" i="55"/>
  <c r="F62" i="55"/>
  <c r="F59" i="55"/>
  <c r="F61" i="55"/>
  <c r="F57" i="55"/>
  <c r="F38" i="53"/>
  <c r="F8" i="42"/>
  <c r="F8" i="44"/>
  <c r="F16" i="42"/>
  <c r="E16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5" i="58"/>
  <c r="F20" i="42"/>
  <c r="E20" i="42"/>
  <c r="K53" i="58"/>
  <c r="L53" i="58"/>
  <c r="N53" i="58"/>
  <c r="O53" i="58"/>
  <c r="P53" i="58"/>
  <c r="Q53" i="58"/>
  <c r="R53" i="58"/>
  <c r="S53" i="58"/>
  <c r="J53" i="58"/>
  <c r="K44" i="58"/>
  <c r="N44" i="58"/>
  <c r="O44" i="58"/>
  <c r="P44" i="58"/>
  <c r="Q44" i="58"/>
  <c r="R44" i="58"/>
  <c r="S44" i="58"/>
  <c r="J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18" i="42"/>
  <c r="E18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M4" i="2"/>
  <c r="M93" i="2"/>
  <c r="L4" i="2"/>
  <c r="L93" i="2"/>
  <c r="K4" i="2"/>
  <c r="K93" i="2"/>
  <c r="S4" i="58"/>
  <c r="S57" i="58"/>
  <c r="R4" i="58"/>
  <c r="Q4" i="58"/>
  <c r="Q57" i="58"/>
  <c r="P4" i="58"/>
  <c r="P57" i="58"/>
  <c r="O4" i="58"/>
  <c r="O57" i="58"/>
  <c r="N4" i="58"/>
  <c r="M4" i="58"/>
  <c r="M57" i="58"/>
  <c r="L4" i="58"/>
  <c r="L57" i="58"/>
  <c r="K4" i="58"/>
  <c r="K57" i="58"/>
  <c r="J4" i="58"/>
  <c r="J57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3" i="2"/>
  <c r="N93" i="2"/>
  <c r="N102" i="2"/>
  <c r="P98" i="2"/>
  <c r="P97" i="2"/>
  <c r="P96" i="2"/>
  <c r="P95" i="2"/>
  <c r="M95" i="2"/>
  <c r="M98" i="2"/>
  <c r="M97" i="2"/>
  <c r="M96" i="2"/>
  <c r="Q95" i="2"/>
  <c r="Q98" i="2"/>
  <c r="Q97" i="2"/>
  <c r="Q96" i="2"/>
  <c r="J96" i="2"/>
  <c r="J98" i="2"/>
  <c r="J97" i="2"/>
  <c r="J95" i="2"/>
  <c r="T98" i="2"/>
  <c r="T96" i="2"/>
  <c r="T97" i="2"/>
  <c r="T95" i="2"/>
  <c r="R96" i="2"/>
  <c r="R97" i="2"/>
  <c r="R95" i="2"/>
  <c r="R98" i="2"/>
  <c r="L98" i="2"/>
  <c r="L96" i="2"/>
  <c r="L97" i="2"/>
  <c r="L95" i="2"/>
  <c r="K97" i="2"/>
  <c r="K96" i="2"/>
  <c r="K98" i="2"/>
  <c r="K95" i="2"/>
  <c r="O97" i="2"/>
  <c r="O96" i="2"/>
  <c r="O95" i="2"/>
  <c r="O98" i="2"/>
  <c r="S97" i="2"/>
  <c r="S96" i="2"/>
  <c r="S95" i="2"/>
  <c r="S98" i="2"/>
  <c r="P73" i="2"/>
  <c r="P62" i="2"/>
  <c r="P102" i="2"/>
  <c r="P34" i="2"/>
  <c r="P47" i="2"/>
  <c r="N43" i="42"/>
  <c r="N34" i="42"/>
  <c r="N28" i="42"/>
  <c r="N22" i="42"/>
  <c r="N31" i="42"/>
  <c r="N25" i="42"/>
  <c r="R25" i="42"/>
  <c r="R43" i="42"/>
  <c r="R34" i="42"/>
  <c r="R28" i="42"/>
  <c r="R22" i="42"/>
  <c r="R31" i="42"/>
  <c r="N34" i="58"/>
  <c r="N57" i="58"/>
  <c r="R34" i="58"/>
  <c r="R57" i="58"/>
  <c r="M62" i="2"/>
  <c r="M73" i="2"/>
  <c r="M47" i="2"/>
  <c r="M102" i="2"/>
  <c r="M34" i="2"/>
  <c r="Q62" i="2"/>
  <c r="Q47" i="2"/>
  <c r="Q73" i="2"/>
  <c r="Q102" i="2"/>
  <c r="Q34" i="2"/>
  <c r="J47" i="2"/>
  <c r="J102" i="2"/>
  <c r="J62" i="2"/>
  <c r="J73" i="2"/>
  <c r="J34" i="2"/>
  <c r="K31" i="42"/>
  <c r="K25" i="42"/>
  <c r="K43" i="42"/>
  <c r="K34" i="42"/>
  <c r="K28" i="42"/>
  <c r="K22" i="42"/>
  <c r="O31" i="42"/>
  <c r="O25" i="42"/>
  <c r="O43" i="42"/>
  <c r="O34" i="42"/>
  <c r="O28" i="42"/>
  <c r="O22" i="42"/>
  <c r="S31" i="42"/>
  <c r="S25" i="42"/>
  <c r="S43" i="42"/>
  <c r="S34" i="42"/>
  <c r="S28" i="42"/>
  <c r="S22" i="42"/>
  <c r="L73" i="2"/>
  <c r="L102" i="2"/>
  <c r="L34" i="2"/>
  <c r="L47" i="2"/>
  <c r="L62" i="2"/>
  <c r="T73" i="2"/>
  <c r="T102" i="2"/>
  <c r="T34" i="2"/>
  <c r="T47" i="2"/>
  <c r="T62" i="2"/>
  <c r="J34" i="42"/>
  <c r="J22" i="42"/>
  <c r="J43" i="42"/>
  <c r="J31" i="42"/>
  <c r="J25" i="42"/>
  <c r="J28" i="42"/>
  <c r="N47" i="2"/>
  <c r="N62" i="2"/>
  <c r="N34" i="2"/>
  <c r="R47" i="2"/>
  <c r="R34" i="2"/>
  <c r="R62" i="2"/>
  <c r="R73" i="2"/>
  <c r="R102" i="2"/>
  <c r="L31" i="42"/>
  <c r="L25" i="42"/>
  <c r="L43" i="42"/>
  <c r="L28" i="42"/>
  <c r="P28" i="42"/>
  <c r="P31" i="42"/>
  <c r="P25" i="42"/>
  <c r="P43" i="42"/>
  <c r="P34" i="42"/>
  <c r="P22" i="42"/>
  <c r="K102" i="2"/>
  <c r="K34" i="2"/>
  <c r="K47" i="2"/>
  <c r="K62" i="2"/>
  <c r="K73" i="2"/>
  <c r="O102" i="2"/>
  <c r="O34" i="2"/>
  <c r="O73" i="2"/>
  <c r="O47" i="2"/>
  <c r="O62" i="2"/>
  <c r="S102" i="2"/>
  <c r="S34" i="2"/>
  <c r="S47" i="2"/>
  <c r="S73" i="2"/>
  <c r="S62" i="2"/>
  <c r="M43" i="42"/>
  <c r="M34" i="42"/>
  <c r="M28" i="42"/>
  <c r="M22" i="42"/>
  <c r="M31" i="42"/>
  <c r="M25" i="42"/>
  <c r="Q43" i="42"/>
  <c r="Q34" i="42"/>
  <c r="Q28" i="42"/>
  <c r="Q22" i="42"/>
  <c r="Q31" i="42"/>
  <c r="Q25" i="42"/>
  <c r="J15" i="42"/>
  <c r="L15" i="42"/>
  <c r="N15" i="42"/>
  <c r="P20" i="42"/>
  <c r="P15" i="42"/>
  <c r="R20" i="42"/>
  <c r="R15" i="42"/>
  <c r="K15" i="42"/>
  <c r="O15" i="42"/>
  <c r="Q20" i="42"/>
  <c r="Q15" i="42"/>
  <c r="S20" i="42"/>
  <c r="S15" i="42"/>
  <c r="J12" i="42"/>
  <c r="K12" i="42"/>
  <c r="O12" i="42"/>
  <c r="Q12" i="42"/>
  <c r="S12" i="42"/>
  <c r="N12" i="42"/>
  <c r="P12" i="42"/>
  <c r="R12" i="42"/>
  <c r="J10" i="58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J10" i="42"/>
  <c r="R10" i="42"/>
  <c r="P10" i="42"/>
  <c r="N10" i="42"/>
  <c r="L10" i="42"/>
  <c r="S10" i="42"/>
  <c r="Q10" i="42"/>
  <c r="O10" i="42"/>
  <c r="M10" i="42"/>
  <c r="K10" i="42"/>
  <c r="S8" i="54"/>
  <c r="F34" i="42"/>
  <c r="C34" i="42"/>
  <c r="F31" i="42"/>
  <c r="C31" i="42"/>
  <c r="F28" i="42"/>
  <c r="C28" i="42"/>
  <c r="F25" i="42"/>
  <c r="C25" i="42"/>
  <c r="F22" i="42"/>
  <c r="C22" i="42"/>
  <c r="E12" i="42"/>
  <c r="U73" i="2"/>
  <c r="S46" i="42"/>
  <c r="O46" i="42"/>
  <c r="R46" i="42"/>
  <c r="N46" i="42"/>
  <c r="Q46" i="42"/>
  <c r="P46" i="42"/>
  <c r="E63" i="58"/>
  <c r="E34" i="42"/>
  <c r="E62" i="58"/>
  <c r="E31" i="42"/>
  <c r="E61" i="58"/>
  <c r="E28" i="42"/>
  <c r="E60" i="58"/>
  <c r="E59" i="58"/>
  <c r="E22" i="42"/>
  <c r="F51" i="58"/>
  <c r="E51" i="58"/>
  <c r="F50" i="58"/>
  <c r="E50" i="58"/>
  <c r="F49" i="58"/>
  <c r="E49" i="58"/>
  <c r="E48" i="58"/>
  <c r="F42" i="58"/>
  <c r="E42" i="58"/>
  <c r="F41" i="58"/>
  <c r="E41" i="58"/>
  <c r="F40" i="58"/>
  <c r="E40" i="58"/>
  <c r="F39" i="58"/>
  <c r="E39" i="58"/>
  <c r="F38" i="58"/>
  <c r="E38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E25" i="42"/>
  <c r="E15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85" i="42"/>
  <c r="E85" i="42"/>
  <c r="K15" i="44"/>
  <c r="K16" i="44"/>
  <c r="K14" i="44"/>
  <c r="J15" i="44"/>
  <c r="J16" i="44"/>
  <c r="J14" i="44"/>
  <c r="F87" i="42"/>
  <c r="F86" i="42"/>
  <c r="F79" i="42"/>
  <c r="F77" i="42"/>
  <c r="F76" i="42"/>
  <c r="F75" i="42"/>
  <c r="F69" i="42"/>
  <c r="F67" i="42"/>
  <c r="F66" i="42"/>
  <c r="F65" i="42"/>
  <c r="F64" i="42"/>
  <c r="F63" i="42"/>
  <c r="F62" i="42"/>
  <c r="F61" i="42"/>
  <c r="F60" i="42"/>
  <c r="F59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J83" i="42"/>
  <c r="L83" i="42"/>
  <c r="N83" i="42"/>
  <c r="P83" i="42"/>
  <c r="R83" i="42"/>
  <c r="K83" i="42"/>
  <c r="M83" i="42"/>
  <c r="O83" i="42"/>
  <c r="Q83" i="42"/>
  <c r="S83" i="42"/>
  <c r="J73" i="42"/>
  <c r="J57" i="42"/>
  <c r="J53" i="42" a="1"/>
  <c r="J53" i="42"/>
  <c r="L73" i="42"/>
  <c r="L57" i="42"/>
  <c r="L53" i="42" a="1"/>
  <c r="L53" i="42"/>
  <c r="N73" i="42"/>
  <c r="N57" i="42"/>
  <c r="P73" i="42"/>
  <c r="P57" i="42"/>
  <c r="R73" i="42"/>
  <c r="R57" i="42"/>
  <c r="K53" i="42" a="1"/>
  <c r="K53" i="42"/>
  <c r="K57" i="42"/>
  <c r="M57" i="42"/>
  <c r="O57" i="42"/>
  <c r="Q57" i="42"/>
  <c r="S57" i="42"/>
  <c r="K73" i="42"/>
  <c r="M73" i="42"/>
  <c r="O73" i="42"/>
  <c r="Q73" i="42"/>
  <c r="S73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K71" i="2"/>
  <c r="M44" i="58"/>
  <c r="M12" i="42"/>
  <c r="M53" i="58"/>
  <c r="M15" i="42"/>
  <c r="K85" i="42"/>
  <c r="K13" i="44"/>
  <c r="K86" i="42"/>
  <c r="K87" i="42"/>
  <c r="J85" i="42"/>
  <c r="J13" i="44"/>
  <c r="J86" i="42"/>
  <c r="J87" i="42"/>
  <c r="W22" i="53"/>
  <c r="W40" i="53"/>
  <c r="W32" i="53"/>
  <c r="W58" i="2"/>
  <c r="W106" i="2"/>
  <c r="P45" i="2"/>
  <c r="S45" i="2"/>
  <c r="Q45" i="2"/>
  <c r="R45" i="2"/>
  <c r="T45" i="2"/>
  <c r="W45" i="2"/>
  <c r="C35" i="42"/>
  <c r="F35" i="42"/>
  <c r="E35" i="42"/>
  <c r="C32" i="42"/>
  <c r="C29" i="42"/>
  <c r="C26" i="42"/>
  <c r="C23" i="42"/>
  <c r="F32" i="42"/>
  <c r="E32" i="42"/>
  <c r="F29" i="42"/>
  <c r="E29" i="42"/>
  <c r="F26" i="42"/>
  <c r="E26" i="42"/>
  <c r="F23" i="42"/>
  <c r="E23" i="42"/>
  <c r="E69" i="42"/>
  <c r="E87" i="42"/>
  <c r="F39" i="42"/>
  <c r="F37" i="42"/>
  <c r="C60" i="42"/>
  <c r="C61" i="42"/>
  <c r="C62" i="42"/>
  <c r="C63" i="42"/>
  <c r="C64" i="42"/>
  <c r="C65" i="42"/>
  <c r="C66" i="42"/>
  <c r="C67" i="42"/>
  <c r="C75" i="42"/>
  <c r="C76" i="42"/>
  <c r="C77" i="42"/>
  <c r="F13" i="44"/>
  <c r="E39" i="42"/>
  <c r="E37" i="42"/>
  <c r="F13" i="42"/>
  <c r="E13" i="42"/>
  <c r="E13" i="44"/>
  <c r="E86" i="42"/>
  <c r="E59" i="42"/>
  <c r="E60" i="42"/>
  <c r="E61" i="42"/>
  <c r="E62" i="42"/>
  <c r="E63" i="42"/>
  <c r="E64" i="42"/>
  <c r="E65" i="42"/>
  <c r="E66" i="42"/>
  <c r="E67" i="42"/>
  <c r="E75" i="42"/>
  <c r="E76" i="42"/>
  <c r="E77" i="42"/>
  <c r="E79" i="42"/>
  <c r="B2" i="55"/>
  <c r="S11" i="54"/>
  <c r="S14" i="54"/>
  <c r="G15" i="16"/>
  <c r="G16" i="16"/>
  <c r="T1" i="55"/>
  <c r="G11" i="16"/>
  <c r="B1" i="55"/>
  <c r="E12" i="2"/>
  <c r="O48" i="42"/>
  <c r="O50" i="42"/>
  <c r="J48" i="42"/>
  <c r="J50" i="42"/>
  <c r="K48" i="42"/>
  <c r="K50" i="42"/>
  <c r="L48" i="42"/>
  <c r="L50" i="42"/>
  <c r="M48" i="42"/>
  <c r="M50" i="42"/>
  <c r="N48" i="42"/>
  <c r="N50" i="42"/>
  <c r="P48" i="42"/>
  <c r="Q48" i="42"/>
  <c r="R48" i="42"/>
  <c r="S48" i="42"/>
  <c r="C59" i="42"/>
  <c r="P50" i="42"/>
  <c r="Q50" i="42"/>
  <c r="R50" i="42"/>
  <c r="S50" i="42"/>
  <c r="C76" i="2"/>
  <c r="C77" i="2"/>
  <c r="C78" i="2"/>
  <c r="C79" i="2"/>
  <c r="C80" i="2"/>
  <c r="C75" i="2"/>
  <c r="S7" i="54"/>
  <c r="S10" i="54"/>
  <c r="S12" i="54"/>
  <c r="S13" i="54"/>
  <c r="S1" i="53"/>
  <c r="G14" i="16"/>
  <c r="C12" i="16"/>
  <c r="D12" i="16"/>
  <c r="C13" i="16"/>
  <c r="D13" i="16"/>
  <c r="C14" i="16"/>
  <c r="D14" i="16"/>
  <c r="C15" i="16"/>
  <c r="D15" i="16"/>
  <c r="C16" i="16"/>
  <c r="D16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52" i="42"/>
  <c r="L52" i="42"/>
  <c r="R52" i="42"/>
  <c r="S1" i="54"/>
  <c r="G10" i="16"/>
  <c r="N52" i="42"/>
  <c r="J52" i="42"/>
  <c r="C25" i="2" a="1"/>
  <c r="C16" i="2" a="1"/>
  <c r="P52" i="42"/>
  <c r="O52" i="42"/>
  <c r="S52" i="42"/>
  <c r="Q52" i="42"/>
  <c r="C25" i="2"/>
  <c r="C27" i="2"/>
  <c r="C29" i="2"/>
  <c r="C26" i="2"/>
  <c r="C28" i="2"/>
  <c r="C30" i="2"/>
  <c r="C16" i="2"/>
  <c r="C18" i="2"/>
  <c r="C20" i="2"/>
  <c r="C17" i="2"/>
  <c r="C19" i="2"/>
  <c r="C21" i="2"/>
  <c r="O21" i="2"/>
  <c r="N21" i="2"/>
  <c r="M19" i="2"/>
  <c r="M28" i="2"/>
  <c r="N20" i="2"/>
  <c r="J16" i="2"/>
  <c r="K16" i="2"/>
  <c r="K25" i="2"/>
  <c r="K17" i="2"/>
  <c r="K26" i="2"/>
  <c r="L18" i="2"/>
  <c r="L27" i="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13" i="42"/>
  <c r="P18" i="42"/>
  <c r="R13" i="42"/>
  <c r="R18" i="42"/>
  <c r="S13" i="42"/>
  <c r="S18" i="42"/>
  <c r="P16" i="42"/>
  <c r="S16" i="42"/>
  <c r="R16" i="42"/>
  <c r="Q16" i="42"/>
  <c r="M21" i="2"/>
  <c r="O29" i="2"/>
  <c r="K18" i="2"/>
  <c r="K27" i="2"/>
  <c r="O30" i="2"/>
  <c r="J17" i="2"/>
  <c r="J26" i="2"/>
  <c r="L19" i="2"/>
  <c r="L28" i="2"/>
  <c r="L16" i="2"/>
  <c r="L25" i="2"/>
  <c r="M18" i="2"/>
  <c r="L17" i="2"/>
  <c r="L26" i="2"/>
  <c r="P30" i="2"/>
  <c r="M20" i="2"/>
  <c r="M29" i="2"/>
  <c r="N30" i="2"/>
  <c r="N19" i="2"/>
  <c r="N28" i="2"/>
  <c r="Q13" i="42"/>
  <c r="Q18" i="42"/>
  <c r="J25" i="2"/>
  <c r="N29" i="2"/>
  <c r="M16" i="2"/>
  <c r="M25" i="2"/>
  <c r="L21" i="2"/>
  <c r="L20" i="2"/>
  <c r="L29" i="2"/>
  <c r="M17" i="2"/>
  <c r="K19" i="2"/>
  <c r="K28" i="2"/>
  <c r="O19" i="2"/>
  <c r="N18" i="2"/>
  <c r="N27" i="2"/>
  <c r="M16" i="42"/>
  <c r="M20" i="42"/>
  <c r="J18" i="2"/>
  <c r="J27" i="2"/>
  <c r="P28" i="2"/>
  <c r="P26" i="2"/>
  <c r="P27" i="2"/>
  <c r="M30" i="2"/>
  <c r="M27" i="2"/>
  <c r="N16" i="2"/>
  <c r="M13" i="42"/>
  <c r="M18" i="42"/>
  <c r="O16" i="42"/>
  <c r="O28" i="2"/>
  <c r="L16" i="42"/>
  <c r="L20" i="42"/>
  <c r="O13" i="42"/>
  <c r="O18" i="42"/>
  <c r="K21" i="2"/>
  <c r="O18" i="2"/>
  <c r="J19" i="2"/>
  <c r="J28" i="2"/>
  <c r="N17" i="2"/>
  <c r="M26" i="2"/>
  <c r="K20" i="2"/>
  <c r="K29" i="2"/>
  <c r="O16" i="2"/>
  <c r="N25" i="2"/>
  <c r="L30" i="2"/>
  <c r="K13" i="42"/>
  <c r="K18" i="42"/>
  <c r="K16" i="42"/>
  <c r="K20" i="42"/>
  <c r="R60" i="42"/>
  <c r="J65" i="42"/>
  <c r="K35" i="42"/>
  <c r="K67" i="42"/>
  <c r="S66" i="42"/>
  <c r="R59" i="42"/>
  <c r="S35" i="42"/>
  <c r="M32" i="42"/>
  <c r="L65" i="42"/>
  <c r="O60" i="42"/>
  <c r="K26" i="42"/>
  <c r="N77" i="42"/>
  <c r="N16" i="44"/>
  <c r="P66" i="42"/>
  <c r="L29" i="42"/>
  <c r="K23" i="42"/>
  <c r="L64" i="42"/>
  <c r="Q61" i="42"/>
  <c r="O77" i="42"/>
  <c r="O16" i="44"/>
  <c r="R75" i="42"/>
  <c r="P67" i="42"/>
  <c r="P32" i="42"/>
  <c r="R65" i="42"/>
  <c r="K65" i="42"/>
  <c r="J29" i="42"/>
  <c r="M23" i="42"/>
  <c r="P62" i="42"/>
  <c r="K60" i="42"/>
  <c r="S75" i="42"/>
  <c r="P65" i="42"/>
  <c r="N64" i="42"/>
  <c r="Q35" i="42"/>
  <c r="L77" i="42"/>
  <c r="L16" i="44"/>
  <c r="S76" i="42"/>
  <c r="S15" i="44"/>
  <c r="N32" i="42"/>
  <c r="S23" i="42"/>
  <c r="J63" i="42"/>
  <c r="S60" i="42"/>
  <c r="M76" i="42"/>
  <c r="M15" i="44"/>
  <c r="N66" i="42"/>
  <c r="J66" i="42"/>
  <c r="O32" i="42"/>
  <c r="R67" i="42"/>
  <c r="K61" i="42"/>
  <c r="M35" i="42"/>
  <c r="K62" i="42"/>
  <c r="P23" i="42"/>
  <c r="K77" i="42"/>
  <c r="O75" i="42"/>
  <c r="N29" i="42"/>
  <c r="M65" i="42"/>
  <c r="S63" i="42"/>
  <c r="M26" i="42"/>
  <c r="N75" i="42"/>
  <c r="L75" i="42"/>
  <c r="L14" i="44"/>
  <c r="S65" i="42"/>
  <c r="M77" i="42"/>
  <c r="M16" i="44"/>
  <c r="N63" i="42"/>
  <c r="L67" i="42"/>
  <c r="L32" i="42"/>
  <c r="Q23" i="42"/>
  <c r="L62" i="42"/>
  <c r="K75" i="42"/>
  <c r="R64" i="42"/>
  <c r="O76" i="42"/>
  <c r="O15" i="44"/>
  <c r="P63" i="42"/>
  <c r="N26" i="42"/>
  <c r="J76" i="42"/>
  <c r="O67" i="42"/>
  <c r="R63" i="42"/>
  <c r="R35" i="42"/>
  <c r="N76" i="42"/>
  <c r="N15" i="44"/>
  <c r="L63" i="42"/>
  <c r="S67" i="42"/>
  <c r="P61" i="42"/>
  <c r="L60" i="42"/>
  <c r="Q63" i="42"/>
  <c r="R76" i="42"/>
  <c r="R15" i="44"/>
  <c r="N35" i="42"/>
  <c r="R26" i="42"/>
  <c r="O59" i="42"/>
  <c r="L66" i="42"/>
  <c r="K64" i="42"/>
  <c r="J60" i="42"/>
  <c r="S61" i="42"/>
  <c r="O61" i="42"/>
  <c r="S26" i="42"/>
  <c r="M63" i="42"/>
  <c r="R77" i="42"/>
  <c r="R16" i="44"/>
  <c r="Q29" i="42"/>
  <c r="P64" i="42"/>
  <c r="O62" i="42"/>
  <c r="S77" i="42"/>
  <c r="S16" i="44"/>
  <c r="P76" i="42"/>
  <c r="P15" i="44"/>
  <c r="L76" i="42"/>
  <c r="L15" i="44"/>
  <c r="P29" i="42"/>
  <c r="Q65" i="42"/>
  <c r="Q64" i="42"/>
  <c r="K29" i="42"/>
  <c r="O23" i="42"/>
  <c r="N65" i="42"/>
  <c r="S62" i="42"/>
  <c r="M59" i="42"/>
  <c r="M60" i="42"/>
  <c r="J77" i="42"/>
  <c r="O26" i="42"/>
  <c r="M61" i="42"/>
  <c r="R66" i="42"/>
  <c r="R29" i="42"/>
  <c r="N62" i="42"/>
  <c r="Q32" i="42"/>
  <c r="R61" i="42"/>
  <c r="J64" i="42"/>
  <c r="Q62" i="42"/>
  <c r="P35" i="42"/>
  <c r="N23" i="42"/>
  <c r="Q59" i="42"/>
  <c r="J35" i="42"/>
  <c r="J26" i="42"/>
  <c r="N59" i="42"/>
  <c r="J67" i="42"/>
  <c r="O64" i="42"/>
  <c r="N60" i="42"/>
  <c r="O63" i="42"/>
  <c r="M62" i="42"/>
  <c r="J59" i="42"/>
  <c r="S59" i="42"/>
  <c r="P26" i="42"/>
  <c r="M29" i="42"/>
  <c r="P59" i="42"/>
  <c r="N67" i="42"/>
  <c r="S64" i="42"/>
  <c r="L61" i="42"/>
  <c r="M64" i="42"/>
  <c r="K63" i="42"/>
  <c r="R23" i="42"/>
  <c r="Q67" i="42"/>
  <c r="Q75" i="42"/>
  <c r="S29" i="42"/>
  <c r="P77" i="42"/>
  <c r="P16" i="44"/>
  <c r="Q77" i="42"/>
  <c r="Q16" i="44"/>
  <c r="N61" i="42"/>
  <c r="K32" i="42"/>
  <c r="P60" i="42"/>
  <c r="O66" i="42"/>
  <c r="R62" i="42"/>
  <c r="M66" i="42"/>
  <c r="J75" i="42"/>
  <c r="Q26" i="42"/>
  <c r="J61" i="42"/>
  <c r="M67" i="42"/>
  <c r="M75" i="42"/>
  <c r="L59" i="42"/>
  <c r="R32" i="42"/>
  <c r="O29" i="42"/>
  <c r="Q60" i="42"/>
  <c r="J32" i="42"/>
  <c r="K76" i="42"/>
  <c r="S32" i="42"/>
  <c r="L26" i="42"/>
  <c r="K59" i="42"/>
  <c r="P75" i="42"/>
  <c r="K66" i="42"/>
  <c r="J62" i="42"/>
  <c r="Q66" i="42"/>
  <c r="O65" i="42"/>
  <c r="J23" i="42"/>
  <c r="Q76" i="42"/>
  <c r="Q15" i="44"/>
  <c r="O35" i="42"/>
  <c r="O20" i="42"/>
  <c r="J21" i="2"/>
  <c r="J30" i="2"/>
  <c r="J20" i="2"/>
  <c r="J29" i="2"/>
  <c r="O17" i="2"/>
  <c r="N26" i="2"/>
  <c r="O27" i="2"/>
  <c r="N13" i="42"/>
  <c r="N18" i="42"/>
  <c r="P25" i="2"/>
  <c r="O25" i="2"/>
  <c r="K30" i="2"/>
  <c r="N16" i="42"/>
  <c r="N20" i="42"/>
  <c r="K37" i="42"/>
  <c r="K39" i="42"/>
  <c r="J79" i="42"/>
  <c r="R37" i="42"/>
  <c r="R39" i="42"/>
  <c r="N37" i="42"/>
  <c r="O37" i="42"/>
  <c r="O39" i="42"/>
  <c r="P37" i="42"/>
  <c r="P39" i="42"/>
  <c r="J37" i="42"/>
  <c r="Q37" i="42"/>
  <c r="Q39" i="42"/>
  <c r="M37" i="42"/>
  <c r="M39" i="42"/>
  <c r="S37" i="42"/>
  <c r="S39" i="42"/>
  <c r="N69" i="42"/>
  <c r="O69" i="42"/>
  <c r="S69" i="42"/>
  <c r="M69" i="42"/>
  <c r="R79" i="42"/>
  <c r="R14" i="44"/>
  <c r="K69" i="42"/>
  <c r="P69" i="42"/>
  <c r="J69" i="42"/>
  <c r="R69" i="42"/>
  <c r="S79" i="42"/>
  <c r="S14" i="44"/>
  <c r="Q69" i="42"/>
  <c r="L69" i="42"/>
  <c r="K79" i="42"/>
  <c r="L79" i="42"/>
  <c r="J13" i="42"/>
  <c r="J18" i="42"/>
  <c r="J16" i="42"/>
  <c r="J20" i="42"/>
  <c r="P79" i="42"/>
  <c r="P14" i="44"/>
  <c r="M14" i="44"/>
  <c r="M79" i="42"/>
  <c r="N79" i="42"/>
  <c r="N14" i="44"/>
  <c r="Q14" i="44"/>
  <c r="Q79" i="42"/>
  <c r="O14" i="44"/>
  <c r="O79" i="42"/>
  <c r="O26" i="2"/>
  <c r="N39" i="42"/>
  <c r="L34" i="42"/>
  <c r="L35" i="42"/>
  <c r="J39" i="42"/>
  <c r="L86" i="42"/>
  <c r="L87" i="42"/>
  <c r="L85" i="42"/>
  <c r="L13" i="44"/>
  <c r="L22" i="42"/>
  <c r="L23" i="42"/>
  <c r="L44" i="58"/>
  <c r="L12" i="42"/>
  <c r="L13" i="42"/>
  <c r="L18" i="42"/>
  <c r="L37" i="42"/>
  <c r="L39" i="42"/>
  <c r="M71" i="2"/>
  <c r="W71" i="2"/>
  <c r="T1" i="2"/>
  <c r="G13" i="16"/>
  <c r="S1" i="16"/>
  <c r="N75" i="2"/>
  <c r="N96" i="2"/>
  <c r="N95" i="2"/>
  <c r="N98" i="2"/>
  <c r="N97" i="2"/>
  <c r="V1" i="54"/>
  <c r="W1" i="55"/>
  <c r="V1" i="58"/>
  <c r="V1" i="44"/>
  <c r="V1" i="53"/>
  <c r="V1" i="4"/>
  <c r="W1" i="2"/>
  <c r="V1" i="42"/>
  <c r="M52" i="42"/>
  <c r="M53" i="42" a="1"/>
  <c r="M53" i="42"/>
  <c r="Q53" i="42" a="1"/>
  <c r="Q53" i="42"/>
  <c r="O53" i="42" a="1"/>
  <c r="O53" i="42"/>
  <c r="S53" i="42" a="1"/>
  <c r="S53" i="42"/>
  <c r="R53" i="42" a="1"/>
  <c r="R53" i="42"/>
  <c r="N53" i="42" a="1"/>
  <c r="N53" i="42"/>
  <c r="P53" i="42" a="1"/>
  <c r="P53" i="42"/>
  <c r="M85" i="42"/>
  <c r="M13" i="44"/>
  <c r="M86" i="42"/>
  <c r="M87" i="42"/>
  <c r="N85" i="42"/>
  <c r="N13" i="44"/>
  <c r="N86" i="42"/>
  <c r="N87" i="42"/>
  <c r="O85" i="42"/>
  <c r="O13" i="44"/>
  <c r="O86" i="42"/>
  <c r="Q86" i="42"/>
  <c r="Q85" i="42"/>
  <c r="Q13" i="44"/>
  <c r="P86" i="42"/>
  <c r="P85" i="42"/>
  <c r="P13" i="44"/>
  <c r="R85" i="42"/>
  <c r="R13" i="44"/>
  <c r="R86" i="42"/>
  <c r="S85" i="42"/>
  <c r="S13" i="44"/>
  <c r="S86" i="42"/>
  <c r="R87" i="42"/>
  <c r="Q87" i="42"/>
  <c r="S87" i="42"/>
  <c r="O87" i="42"/>
  <c r="P87" i="42"/>
</calcChain>
</file>

<file path=xl/sharedStrings.xml><?xml version="1.0" encoding="utf-8"?>
<sst xmlns="http://schemas.openxmlformats.org/spreadsheetml/2006/main" count="656" uniqueCount="186">
  <si>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</si>
  <si>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</si>
  <si>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</si>
  <si>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</si>
  <si>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</si>
  <si>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</si>
  <si>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</si>
  <si>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</si>
  <si>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</si>
  <si>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</si>
  <si>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</si>
  <si>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</si>
  <si>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</si>
  <si>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</si>
  <si>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</si>
  <si>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</si>
  <si>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</si>
  <si>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</si>
  <si>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</si>
  <si>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</si>
  <si>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</si>
  <si>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</si>
  <si>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</si>
  <si>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</si>
  <si>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</si>
  <si>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</si>
  <si>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</si>
  <si>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</si>
  <si>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</si>
  <si>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</si>
  <si>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</si>
  <si>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</si>
  <si>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</si>
  <si>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</si>
  <si>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</si>
  <si>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</si>
  <si>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</si>
  <si>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</si>
  <si>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</si>
  <si>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</si>
  <si>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</si>
  <si>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</si>
  <si>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</si>
  <si>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</si>
  <si>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</si>
  <si>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</si>
  <si>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</si>
  <si>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</si>
  <si>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</si>
  <si>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</si>
  <si>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</si>
  <si>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</si>
  <si>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</si>
  <si>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</si>
  <si>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</si>
  <si>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</si>
  <si>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</si>
  <si>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</si>
  <si>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</si>
  <si>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</si>
  <si>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</si>
  <si>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</si>
  <si>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</si>
  <si>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</si>
  <si>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</si>
  <si>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</si>
  <si>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</si>
  <si>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</si>
  <si>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</si>
  <si>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</si>
  <si>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</si>
  <si>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</si>
  <si>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</si>
  <si>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</si>
  <si>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</si>
  <si>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</si>
  <si>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</si>
  <si>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</si>
  <si>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</si>
  <si>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</si>
  <si>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</si>
  <si>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</si>
  <si>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</si>
  <si>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</si>
  <si>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</si>
  <si>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</si>
  <si>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</si>
  <si>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</si>
  <si>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</si>
  <si>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</si>
  <si>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</si>
  <si>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</si>
  <si>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</si>
  <si>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</si>
  <si>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</si>
  <si>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</si>
  <si>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</si>
  <si>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</si>
  <si>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</si>
  <si>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</si>
  <si>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</si>
  <si>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</si>
  <si>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</si>
  <si>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</si>
  <si>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</si>
  <si>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</si>
  <si>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</si>
  <si>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</si>
  <si>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</si>
  <si>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</si>
  <si>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</si>
  <si>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</si>
  <si>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</si>
  <si>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</si>
  <si>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</si>
  <si>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</si>
  <si>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</si>
  <si>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</si>
  <si>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</si>
  <si>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</si>
  <si>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</si>
  <si>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</si>
  <si>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</si>
  <si>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</si>
  <si>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</si>
  <si>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</si>
  <si>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</si>
  <si>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</si>
  <si>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</si>
  <si>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</si>
  <si>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</si>
  <si>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</si>
  <si>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</si>
  <si>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</si>
  <si>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</si>
  <si>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</si>
  <si>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</si>
  <si>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</si>
  <si>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</si>
  <si>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</si>
  <si>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</si>
  <si>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</si>
  <si>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</si>
  <si>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</si>
  <si>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</si>
  <si>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</si>
  <si>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</si>
  <si>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</si>
  <si>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</si>
  <si>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</si>
  <si>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</si>
  <si>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</si>
  <si>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</si>
  <si>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</si>
  <si>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</si>
  <si>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</si>
  <si>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</si>
  <si>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</si>
  <si>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</si>
  <si>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</si>
  <si>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</si>
  <si>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</si>
  <si>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Reported opex, total</t>
  </si>
  <si>
    <t>Reported opex, category specific forecasts</t>
  </si>
  <si>
    <t>Adjusted final year opex</t>
  </si>
  <si>
    <t>Calculates the opex forecast</t>
  </si>
  <si>
    <t>Outputs the forecasts needed as a post tax revenue model inputs</t>
  </si>
  <si>
    <t>Average of forecast inflation.</t>
  </si>
  <si>
    <t>Customer numbers (#)</t>
  </si>
  <si>
    <t>Circuit Length (km)</t>
  </si>
  <si>
    <t>Ratcheted Maximum Demand (MW)</t>
  </si>
  <si>
    <t>WPI - DAE (July 2018)</t>
  </si>
  <si>
    <t>Remove base year opex for categories forecast specifically</t>
  </si>
  <si>
    <t>Essential Energy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</si>
  <si>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</si>
  <si>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</si>
  <si>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</si>
  <si>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</si>
  <si>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</si>
  <si>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</si>
  <si>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</si>
  <si>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Strategic initiatives &amp; reduction in property lease expenditure</t>
  </si>
  <si>
    <t>RBA Statement on monetary policy inflation forecast,  August 2018, Table 5.1</t>
  </si>
  <si>
    <t>Remove one-off and normalise</t>
  </si>
  <si>
    <t>AusGrid EGWWS BIS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</si>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</sst>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  <numFmt numFmtId="207" formatCode="[Red]\●;[Red]\●;[Color10]\●"/>
  </numFmts>
  <fonts count="10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4"/>
      <name val="Helvetica"/>
      <family val="2"/>
    </font>
    <font>
      <sz val="11"/>
      <name val="Calibri"/>
      <family val="2"/>
      <scheme val="minor"/>
    </font>
    <font>
      <sz val="8"/>
      <name val="Helvetica"/>
      <family val="2"/>
    </font>
    <font>
      <b/>
      <sz val="15"/>
      <color theme="4"/>
      <name val="Helvetica"/>
      <family val="2"/>
    </font>
    <font>
      <sz val="8"/>
      <color rgb="FFFF0066"/>
      <name val="Helvetica"/>
      <family val="2"/>
    </font>
    <font>
      <b/>
      <sz val="12"/>
      <color theme="0"/>
      <name val="Helvetica"/>
      <family val="2"/>
    </font>
    <font>
      <sz val="10"/>
      <color theme="1"/>
      <name val="Helvetica"/>
      <family val="2"/>
    </font>
    <font>
      <b/>
      <sz val="10"/>
      <name val="Helvetica"/>
      <family val="2"/>
    </font>
    <font>
      <b/>
      <sz val="11"/>
      <color theme="4"/>
      <name val="Helvetica"/>
      <family val="2"/>
    </font>
    <font>
      <b/>
      <sz val="16"/>
      <color rgb="FFFFFFFF"/>
      <name val="Arial"/>
      <family val="2"/>
    </font>
    <font>
      <u/>
      <sz val="11"/>
      <color rgb="FF0000FF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83">
    <xf numFmtId="0" fontId="0" fillId="0" borderId="0"/>
    <xf numFmtId="166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7" fontId="15" fillId="0" borderId="5">
      <alignment horizontal="right" vertical="center"/>
      <protection locked="0"/>
    </xf>
    <xf numFmtId="43" fontId="1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15" fillId="0" borderId="0"/>
    <xf numFmtId="174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75" fontId="22" fillId="4" borderId="0" applyNumberFormat="0" applyFont="0" applyBorder="0" applyAlignment="0">
      <alignment horizontal="right"/>
    </xf>
    <xf numFmtId="17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41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75" fontId="22" fillId="36" borderId="0" applyFont="0" applyBorder="0" applyAlignment="0">
      <alignment horizontal="right"/>
      <protection locked="0"/>
    </xf>
    <xf numFmtId="175" fontId="22" fillId="3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81" fontId="22" fillId="6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2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3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4" fontId="22" fillId="0" borderId="0" applyFill="0" applyBorder="0"/>
    <xf numFmtId="184" fontId="22" fillId="0" borderId="0" applyFill="0" applyBorder="0"/>
    <xf numFmtId="184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5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6" fontId="22" fillId="0" borderId="0"/>
    <xf numFmtId="186" fontId="22" fillId="0" borderId="0"/>
    <xf numFmtId="186" fontId="22" fillId="0" borderId="0"/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2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42" borderId="0"/>
    <xf numFmtId="200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0" fontId="3" fillId="0" borderId="0"/>
    <xf numFmtId="188" fontId="92" fillId="50" borderId="27">
      <alignment horizontal="right" vertical="center"/>
      <protection locked="0"/>
    </xf>
    <xf numFmtId="0" fontId="2" fillId="0" borderId="0"/>
    <xf numFmtId="43" fontId="2" fillId="0" borderId="0" applyFont="0" applyFill="0" applyBorder="0" applyAlignment="0" applyProtection="0"/>
    <xf numFmtId="207" fontId="94" fillId="0" borderId="0">
      <alignment horizontal="center" vertical="center"/>
    </xf>
    <xf numFmtId="0" fontId="95" fillId="0" borderId="0" applyFill="0" applyBorder="0">
      <alignment horizontal="left" vertical="center"/>
    </xf>
    <xf numFmtId="0" fontId="96" fillId="0" borderId="0"/>
    <xf numFmtId="0" fontId="97" fillId="51" borderId="0" applyBorder="0">
      <alignment horizontal="left" vertical="center"/>
    </xf>
    <xf numFmtId="0" fontId="98" fillId="0" borderId="0" applyFill="0" applyBorder="0">
      <alignment vertical="center"/>
    </xf>
    <xf numFmtId="0" fontId="99" fillId="0" borderId="0" applyFill="0" applyBorder="0">
      <alignment horizontal="left" vertical="center"/>
    </xf>
    <xf numFmtId="0" fontId="100" fillId="43" borderId="0" applyBorder="0">
      <alignment horizontal="left" vertical="center"/>
    </xf>
    <xf numFmtId="9" fontId="96" fillId="0" borderId="0" applyFont="0" applyFill="0" applyBorder="0" applyAlignment="0" applyProtection="0"/>
    <xf numFmtId="188" fontId="98" fillId="0" borderId="0" applyFill="0" applyBorder="0">
      <alignment horizontal="right" vertical="center"/>
    </xf>
    <xf numFmtId="188" fontId="29" fillId="7" borderId="27">
      <alignment horizontal="right" vertical="center"/>
      <protection locked="0"/>
    </xf>
    <xf numFmtId="0" fontId="1" fillId="0" borderId="0"/>
    <xf numFmtId="0" fontId="101" fillId="52" borderId="0">
      <alignment horizontal="left" vertical="center"/>
      <protection locked="0"/>
    </xf>
    <xf numFmtId="0" fontId="102" fillId="0" borderId="0" applyNumberFormat="0" applyFill="0" applyBorder="0" applyAlignment="0" applyProtection="0"/>
    <xf numFmtId="206" fontId="93" fillId="53" borderId="28" applyBorder="0">
      <alignment horizontal="right"/>
      <protection locked="0"/>
    </xf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4" fontId="6" fillId="3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4" fontId="12" fillId="0" borderId="0" xfId="0" applyNumberFormat="1" applyFont="1"/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 indent="1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43" fontId="12" fillId="0" borderId="6" xfId="0" applyNumberFormat="1" applyFont="1" applyBorder="1" applyAlignment="1">
      <alignment horizontal="center"/>
    </xf>
    <xf numFmtId="164" fontId="17" fillId="0" borderId="0" xfId="3" applyNumberFormat="1" applyFont="1" applyAlignment="1" applyProtection="1"/>
    <xf numFmtId="164" fontId="7" fillId="3" borderId="0" xfId="0" applyNumberFormat="1" applyFont="1" applyFill="1"/>
    <xf numFmtId="164" fontId="18" fillId="0" borderId="0" xfId="0" applyNumberFormat="1" applyFont="1" applyAlignment="1">
      <alignment horizontal="center"/>
    </xf>
    <xf numFmtId="169" fontId="15" fillId="0" borderId="0" xfId="5" applyNumberFormat="1" applyFont="1" applyFill="1" applyBorder="1" applyAlignment="1" applyProtection="1">
      <alignment horizontal="center" vertical="center"/>
    </xf>
    <xf numFmtId="170" fontId="12" fillId="0" borderId="0" xfId="5" applyNumberFormat="1" applyFont="1" applyFill="1" applyBorder="1" applyAlignment="1" applyProtection="1">
      <alignment horizontal="center" vertical="center"/>
    </xf>
    <xf numFmtId="170" fontId="20" fillId="0" borderId="0" xfId="5" applyNumberFormat="1" applyFont="1" applyFill="1" applyBorder="1" applyAlignment="1" applyProtection="1">
      <alignment horizontal="center" vertical="center"/>
    </xf>
    <xf numFmtId="171" fontId="6" fillId="0" borderId="0" xfId="0" applyNumberFormat="1" applyFont="1"/>
    <xf numFmtId="173" fontId="15" fillId="0" borderId="0" xfId="5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Protection="1"/>
    <xf numFmtId="164" fontId="7" fillId="3" borderId="0" xfId="0" applyNumberFormat="1" applyFont="1" applyFill="1" applyAlignment="1" applyProtection="1">
      <alignment horizontal="center"/>
    </xf>
    <xf numFmtId="164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/>
    </xf>
    <xf numFmtId="164" fontId="12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64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5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4" fontId="18" fillId="0" borderId="0" xfId="0" applyNumberFormat="1" applyFont="1" applyAlignment="1" applyProtection="1">
      <alignment horizontal="center" wrapText="1"/>
    </xf>
    <xf numFmtId="191" fontId="6" fillId="41" borderId="3" xfId="0" applyNumberFormat="1" applyFont="1" applyFill="1" applyBorder="1" applyAlignment="1" applyProtection="1">
      <alignment horizontal="center"/>
      <protection locked="0"/>
    </xf>
    <xf numFmtId="195" fontId="6" fillId="0" borderId="0" xfId="0" applyNumberFormat="1" applyFont="1" applyAlignment="1" applyProtection="1">
      <alignment horizontal="left"/>
    </xf>
    <xf numFmtId="193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 wrapText="1"/>
    </xf>
    <xf numFmtId="164" fontId="8" fillId="0" borderId="0" xfId="0" applyNumberFormat="1" applyFont="1" applyProtection="1"/>
    <xf numFmtId="164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43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44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8" fillId="0" borderId="0" xfId="0" applyNumberFormat="1" applyFont="1" applyFill="1" applyBorder="1" applyProtection="1"/>
    <xf numFmtId="164" fontId="7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Alignment="1" applyProtection="1">
      <alignment horizontal="center"/>
    </xf>
    <xf numFmtId="164" fontId="17" fillId="0" borderId="0" xfId="3" applyNumberFormat="1" applyFont="1" applyFill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 indent="1"/>
    </xf>
    <xf numFmtId="164" fontId="7" fillId="0" borderId="7" xfId="0" applyNumberFormat="1" applyFont="1" applyBorder="1" applyAlignment="1" applyProtection="1">
      <alignment horizontal="center"/>
    </xf>
    <xf numFmtId="164" fontId="8" fillId="0" borderId="8" xfId="0" applyNumberFormat="1" applyFont="1" applyBorder="1" applyAlignment="1" applyProtection="1">
      <alignment horizontal="left" indent="1"/>
    </xf>
    <xf numFmtId="164" fontId="7" fillId="0" borderId="8" xfId="0" applyNumberFormat="1" applyFont="1" applyBorder="1" applyAlignment="1" applyProtection="1">
      <alignment horizontal="center"/>
    </xf>
    <xf numFmtId="196" fontId="8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4" fontId="8" fillId="0" borderId="8" xfId="0" applyNumberFormat="1" applyFont="1" applyBorder="1" applyProtection="1"/>
    <xf numFmtId="172" fontId="6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left" indent="2"/>
    </xf>
    <xf numFmtId="164" fontId="18" fillId="0" borderId="8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indent="1"/>
    </xf>
    <xf numFmtId="164" fontId="8" fillId="0" borderId="0" xfId="0" applyNumberFormat="1" applyFont="1" applyBorder="1" applyProtection="1"/>
    <xf numFmtId="193" fontId="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9" fontId="8" fillId="0" borderId="0" xfId="0" applyNumberFormat="1" applyFont="1" applyAlignment="1" applyProtection="1">
      <alignment horizontal="center"/>
    </xf>
    <xf numFmtId="197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43" fontId="12" fillId="0" borderId="3" xfId="0" applyNumberFormat="1" applyFont="1" applyBorder="1" applyAlignment="1" applyProtection="1">
      <alignment horizontal="center"/>
    </xf>
    <xf numFmtId="43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4" fontId="8" fillId="0" borderId="7" xfId="0" applyNumberFormat="1" applyFont="1" applyBorder="1" applyProtection="1"/>
    <xf numFmtId="164" fontId="6" fillId="0" borderId="7" xfId="0" applyNumberFormat="1" applyFont="1" applyBorder="1" applyProtection="1"/>
    <xf numFmtId="164" fontId="8" fillId="0" borderId="4" xfId="0" applyNumberFormat="1" applyFont="1" applyBorder="1" applyAlignment="1" applyProtection="1">
      <alignment horizontal="left"/>
    </xf>
    <xf numFmtId="164" fontId="7" fillId="0" borderId="4" xfId="0" applyNumberFormat="1" applyFont="1" applyBorder="1" applyAlignment="1" applyProtection="1">
      <alignment horizontal="center"/>
    </xf>
    <xf numFmtId="43" fontId="6" fillId="0" borderId="0" xfId="0" applyNumberFormat="1" applyFont="1" applyProtection="1"/>
    <xf numFmtId="164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4" fontId="7" fillId="0" borderId="0" xfId="6" applyNumberFormat="1" applyFont="1" applyAlignment="1" applyProtection="1">
      <alignment horizontal="center"/>
    </xf>
    <xf numFmtId="168" fontId="15" fillId="0" borderId="0" xfId="2" applyNumberFormat="1" applyFont="1" applyFill="1" applyBorder="1" applyAlignment="1" applyProtection="1">
      <alignment horizontal="center" vertical="center"/>
    </xf>
    <xf numFmtId="172" fontId="6" fillId="0" borderId="0" xfId="0" applyNumberFormat="1" applyFont="1" applyProtection="1"/>
    <xf numFmtId="164" fontId="6" fillId="0" borderId="0" xfId="0" applyNumberFormat="1" applyFont="1" applyAlignment="1" applyProtection="1">
      <alignment horizontal="left"/>
    </xf>
    <xf numFmtId="192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4" fontId="7" fillId="41" borderId="3" xfId="2" applyNumberFormat="1" applyFont="1" applyFill="1" applyBorder="1" applyAlignment="1" applyProtection="1">
      <alignment horizontal="center"/>
      <protection locked="0"/>
    </xf>
    <xf numFmtId="198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Protection="1">
      <protection locked="0"/>
    </xf>
    <xf numFmtId="201" fontId="8" fillId="0" borderId="0" xfId="0" applyNumberFormat="1" applyFont="1" applyAlignment="1" applyProtection="1">
      <alignment horizontal="center"/>
    </xf>
    <xf numFmtId="20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3" fontId="74" fillId="39" borderId="4" xfId="0" applyNumberFormat="1" applyFont="1" applyFill="1" applyBorder="1" applyAlignment="1" applyProtection="1">
      <alignment horizontal="center" wrapText="1"/>
    </xf>
    <xf numFmtId="203" fontId="91" fillId="38" borderId="2" xfId="0" applyNumberFormat="1" applyFont="1" applyFill="1" applyBorder="1" applyAlignment="1" applyProtection="1">
      <alignment horizontal="center"/>
    </xf>
    <xf numFmtId="203" fontId="74" fillId="38" borderId="2" xfId="0" applyNumberFormat="1" applyFont="1" applyFill="1" applyBorder="1" applyAlignment="1" applyProtection="1">
      <alignment horizontal="left"/>
    </xf>
    <xf numFmtId="203" fontId="8" fillId="0" borderId="7" xfId="0" applyNumberFormat="1" applyFont="1" applyBorder="1" applyAlignment="1" applyProtection="1">
      <alignment horizontal="center"/>
    </xf>
    <xf numFmtId="203" fontId="6" fillId="0" borderId="0" xfId="0" applyNumberFormat="1" applyFont="1" applyAlignment="1">
      <alignment horizontal="left" indent="1"/>
    </xf>
    <xf numFmtId="203" fontId="7" fillId="0" borderId="0" xfId="0" applyNumberFormat="1" applyFont="1" applyAlignment="1" applyProtection="1">
      <alignment horizontal="center"/>
    </xf>
    <xf numFmtId="203" fontId="7" fillId="41" borderId="22" xfId="0" applyNumberFormat="1" applyFont="1" applyFill="1" applyBorder="1" applyAlignment="1" applyProtection="1">
      <alignment horizontal="center"/>
      <protection locked="0"/>
    </xf>
    <xf numFmtId="203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Protection="1"/>
    <xf numFmtId="203" fontId="6" fillId="0" borderId="0" xfId="0" applyNumberFormat="1" applyFont="1" applyAlignment="1" applyProtection="1">
      <alignment horizontal="left" indent="1"/>
    </xf>
    <xf numFmtId="164" fontId="14" fillId="0" borderId="0" xfId="3" applyNumberFormat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4" fontId="6" fillId="0" borderId="0" xfId="2" applyNumberFormat="1" applyFont="1" applyFill="1" applyBorder="1" applyAlignment="1" applyProtection="1">
      <alignment horizontal="center"/>
      <protection locked="0"/>
    </xf>
    <xf numFmtId="203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6" xfId="0" applyNumberFormat="1" applyFont="1" applyFill="1" applyBorder="1" applyAlignment="1" applyProtection="1"/>
    <xf numFmtId="164" fontId="6" fillId="0" borderId="0" xfId="0" applyNumberFormat="1" applyFont="1" applyBorder="1" applyAlignment="1" applyProtection="1">
      <alignment horizontal="center"/>
    </xf>
    <xf numFmtId="203" fontId="18" fillId="0" borderId="0" xfId="0" applyNumberFormat="1" applyFont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9" fontId="8" fillId="0" borderId="0" xfId="0" applyNumberFormat="1" applyFont="1" applyBorder="1" applyAlignment="1" applyProtection="1">
      <alignment horizontal="center"/>
    </xf>
    <xf numFmtId="196" fontId="8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left" indent="1"/>
    </xf>
    <xf numFmtId="203" fontId="7" fillId="0" borderId="7" xfId="0" applyNumberFormat="1" applyFont="1" applyBorder="1" applyAlignment="1" applyProtection="1">
      <alignment horizontal="center"/>
    </xf>
    <xf numFmtId="204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3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3" fontId="6" fillId="0" borderId="0" xfId="0" applyNumberFormat="1" applyFont="1" applyProtection="1">
      <protection locked="0"/>
    </xf>
    <xf numFmtId="193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3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  <protection locked="0"/>
    </xf>
    <xf numFmtId="170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15" fillId="0" borderId="0" xfId="5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3" fontId="6" fillId="0" borderId="0" xfId="2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Fill="1" applyBorder="1" applyAlignment="1" applyProtection="1">
      <alignment horizontal="center"/>
      <protection locked="0"/>
    </xf>
    <xf numFmtId="203" fontId="7" fillId="0" borderId="22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203" fontId="19" fillId="8" borderId="9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3" fontId="15" fillId="8" borderId="9" xfId="0" applyNumberFormat="1" applyFont="1" applyFill="1" applyBorder="1" applyAlignment="1" applyProtection="1">
      <alignment horizontal="center"/>
      <protection locked="0"/>
    </xf>
    <xf numFmtId="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2" applyNumberFormat="1" applyFont="1" applyFill="1" applyBorder="1" applyAlignment="1" applyProtection="1">
      <alignment horizontal="center"/>
      <protection locked="0"/>
    </xf>
    <xf numFmtId="0" fontId="6" fillId="41" borderId="3" xfId="0" applyNumberFormat="1" applyFont="1" applyFill="1" applyBorder="1" applyAlignment="1" applyProtection="1">
      <alignment horizontal="left" indent="1"/>
      <protection locked="0"/>
    </xf>
    <xf numFmtId="193" fontId="6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192" fontId="8" fillId="8" borderId="29" xfId="0" applyNumberFormat="1" applyFont="1" applyFill="1" applyBorder="1" applyAlignment="1" applyProtection="1">
      <alignment horizontal="center"/>
      <protection locked="0"/>
    </xf>
    <xf numFmtId="10" fontId="6" fillId="41" borderId="30" xfId="2" applyNumberFormat="1" applyFont="1" applyFill="1" applyBorder="1" applyAlignment="1" applyProtection="1">
      <alignment horizontal="center"/>
      <protection locked="0"/>
    </xf>
    <xf numFmtId="10" fontId="6" fillId="41" borderId="31" xfId="2" applyNumberFormat="1" applyFont="1" applyFill="1" applyBorder="1" applyAlignment="1" applyProtection="1">
      <alignment horizontal="center"/>
      <protection locked="0"/>
    </xf>
    <xf numFmtId="1" fontId="6" fillId="0" borderId="0" xfId="2" applyNumberFormat="1" applyFont="1" applyFill="1" applyBorder="1" applyAlignment="1" applyProtection="1">
      <alignment horizontal="center"/>
      <protection locked="0"/>
    </xf>
    <xf numFmtId="0" fontId="74" fillId="38" borderId="2" xfId="0" applyNumberFormat="1" applyFont="1" applyFill="1" applyBorder="1" applyAlignment="1" applyProtection="1">
      <alignment horizontal="center"/>
    </xf>
  </cellXfs>
  <cellStyles count="283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heck RedRedGreen" xfId="2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7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" xfId="281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External Link" xfId="277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1 4" xfId="271"/>
    <cellStyle name="Heading 2 2" xfId="111"/>
    <cellStyle name="Heading 2 2 2" xfId="112"/>
    <cellStyle name="Heading 2 3" xfId="113"/>
    <cellStyle name="Heading 2 Input" xfId="274"/>
    <cellStyle name="Heading 3 2" xfId="114"/>
    <cellStyle name="Heading 3 2 2" xfId="115"/>
    <cellStyle name="Heading 3 3" xfId="116"/>
    <cellStyle name="Heading 3 Output" xfId="273"/>
    <cellStyle name="Heading 4 2" xfId="117"/>
    <cellStyle name="Heading 4 2 2" xfId="118"/>
    <cellStyle name="Heading 4 3" xfId="119"/>
    <cellStyle name="Heading 4 Output" xfId="272"/>
    <cellStyle name="Heading(4)" xfId="120"/>
    <cellStyle name="Hyperlink" xfId="3" builtinId="8"/>
    <cellStyle name="Hyperlink 2" xfId="121"/>
    <cellStyle name="Hyperlink 3" xfId="280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70"/>
    <cellStyle name="Normal 12" xfId="264"/>
    <cellStyle name="Normal 12 2" xfId="266"/>
    <cellStyle name="Normal 13" xfId="137"/>
    <cellStyle name="Normal 13 2" xfId="7"/>
    <cellStyle name="Normal 13_29(d) - Gas extensions -tariffs" xfId="138"/>
    <cellStyle name="Normal 14" xfId="27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" xfId="276"/>
    <cellStyle name="Number Assumptions" xfId="265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75"/>
    <cellStyle name="Percent 7" xfId="179"/>
    <cellStyle name="Percent 8" xfId="282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2" xfId="279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 Title Input" xfId="26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0000"/>
      <color rgb="FFFFFF99"/>
      <color rgb="FFFFFFCC"/>
      <color rgb="FFCCFFCC"/>
      <color rgb="FFC0C0C0"/>
      <color rgb="FF8DB4E2"/>
      <color rgb="FF00B2E4"/>
      <color rgb="FF006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D13" sqref="D1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165</v>
      </c>
    </row>
    <row r="13" spans="1:47">
      <c r="C13" s="19" t="s">
        <v>55</v>
      </c>
      <c r="D13" s="7" t="s">
        <v>166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G7" sqref="G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7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173</v>
      </c>
      <c r="H7" s="29"/>
      <c r="I7" s="29"/>
      <c r="S7" s="131" t="str">
        <f t="shared" ref="S7:S14" si="0">IF(COUNTBLANK($G7),"Check","Ok")</f>
        <v>Ok</v>
      </c>
    </row>
    <row r="8" spans="1:47">
      <c r="C8" s="29" t="s">
        <v>137</v>
      </c>
      <c r="D8" s="30" t="s">
        <v>73</v>
      </c>
      <c r="E8" s="29"/>
      <c r="F8" s="29"/>
      <c r="G8" s="52" t="s">
        <v>138</v>
      </c>
      <c r="H8" s="29"/>
      <c r="I8" s="29"/>
      <c r="S8" s="131" t="str">
        <f t="shared" si="0"/>
        <v>Ok</v>
      </c>
    </row>
    <row r="9" spans="1:47">
      <c r="C9" s="29" t="s">
        <v>121</v>
      </c>
      <c r="D9" s="30" t="s">
        <v>72</v>
      </c>
      <c r="E9" s="29"/>
      <c r="F9" s="29"/>
      <c r="G9" s="154">
        <v>36678</v>
      </c>
      <c r="H9" s="29"/>
      <c r="I9" s="29"/>
      <c r="S9" s="131" t="str">
        <f t="shared" si="0"/>
        <v>Ok</v>
      </c>
    </row>
    <row r="10" spans="1:47">
      <c r="C10" s="29" t="s">
        <v>152</v>
      </c>
      <c r="D10" s="30" t="s">
        <v>72</v>
      </c>
      <c r="E10" s="29"/>
      <c r="F10" s="29"/>
      <c r="G10" s="155">
        <v>2015</v>
      </c>
      <c r="H10" s="29"/>
      <c r="I10" s="29"/>
      <c r="S10" s="131" t="str">
        <f t="shared" si="0"/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153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97" priority="13" operator="equal">
      <formula>"Check"</formula>
    </cfRule>
    <cfRule type="cellIs" dxfId="196" priority="14" operator="equal">
      <formula>"Ok"</formula>
    </cfRule>
  </conditionalFormatting>
  <conditionalFormatting sqref="V1">
    <cfRule type="cellIs" dxfId="195" priority="3" operator="equal">
      <formula>"Check"</formula>
    </cfRule>
    <cfRule type="cellIs" dxfId="194" priority="4" operator="equal">
      <formula>"Ok"</formula>
    </cfRule>
  </conditionalFormatting>
  <conditionalFormatting sqref="S7:S14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S1">
    <cfRule type="cellIs" dxfId="191" priority="1" operator="equal">
      <formula>"Check"</formula>
    </cfRule>
    <cfRule type="cellIs" dxfId="190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B1" workbookViewId="0">
      <selection activeCell="H62" sqref="H62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7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135</v>
      </c>
      <c r="F6" s="62" t="s">
        <v>102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113.53087500000001</v>
      </c>
      <c r="G55" s="117">
        <f t="shared" si="1"/>
        <v>1.9128141831238787E-2</v>
      </c>
      <c r="H55" s="214" t="s">
        <v>167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F52*1.0175</f>
        <v>114.06175</v>
      </c>
      <c r="G56" s="117">
        <f t="shared" si="1"/>
        <v>1.7500000000000071E-2</v>
      </c>
      <c r="H56" s="188" t="s">
        <v>182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114.660875</v>
      </c>
      <c r="G57" s="117">
        <f t="shared" si="1"/>
        <v>1.8302619893428185E-2</v>
      </c>
      <c r="H57" s="214" t="s">
        <v>167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</f>
        <v>115.26</v>
      </c>
      <c r="G58" s="117">
        <f t="shared" si="1"/>
        <v>2.0000000000000018E-2</v>
      </c>
      <c r="H58" s="188" t="s">
        <v>182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115.9440696875</v>
      </c>
      <c r="G59" s="117">
        <f t="shared" si="1"/>
        <v>2.1255845050960787E-2</v>
      </c>
      <c r="H59" s="214" t="s">
        <v>167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116.628139375</v>
      </c>
      <c r="G60" s="117">
        <f t="shared" si="1"/>
        <v>2.2499999999999964E-2</v>
      </c>
      <c r="H60" s="188" t="s">
        <v>182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117.24074468750001</v>
      </c>
      <c r="G61" s="117">
        <f t="shared" si="1"/>
        <v>2.2499999999999964E-2</v>
      </c>
      <c r="H61" s="214" t="s">
        <v>167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117.85335000000001</v>
      </c>
      <c r="G62" s="117">
        <f t="shared" si="1"/>
        <v>2.2499999999999964E-2</v>
      </c>
      <c r="H62" s="188" t="s">
        <v>182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8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9" priority="11" operator="equal">
      <formula>"Check"</formula>
    </cfRule>
    <cfRule type="cellIs" dxfId="188" priority="12" operator="equal">
      <formula>"Ok"</formula>
    </cfRule>
  </conditionalFormatting>
  <conditionalFormatting sqref="W1">
    <cfRule type="cellIs" dxfId="187" priority="7" operator="equal">
      <formula>"Check"</formula>
    </cfRule>
    <cfRule type="cellIs" dxfId="186" priority="8" operator="equal">
      <formula>"Ok"</formula>
    </cfRule>
  </conditionalFormatting>
  <conditionalFormatting sqref="T1">
    <cfRule type="cellIs" dxfId="185" priority="5" operator="equal">
      <formula>"Check"</formula>
    </cfRule>
    <cfRule type="cellIs" dxfId="184" priority="6" operator="equal">
      <formula>"Ok"</formula>
    </cfRule>
  </conditionalFormatting>
  <conditionalFormatting sqref="X51:X57">
    <cfRule type="cellIs" dxfId="183" priority="3" operator="equal">
      <formula>"Check"</formula>
    </cfRule>
    <cfRule type="cellIs" dxfId="182" priority="4" operator="equal">
      <formula>"Ok"</formula>
    </cfRule>
  </conditionalFormatting>
  <conditionalFormatting sqref="X58:X62 T9:T64">
    <cfRule type="cellIs" dxfId="181" priority="1" operator="equal">
      <formula>"Check"</formula>
    </cfRule>
    <cfRule type="cellIs" dxfId="180" priority="2" operator="equal">
      <formula>"Ok"</formula>
    </cfRule>
  </conditionalFormatting>
  <dataValidations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23" workbookViewId="0">
      <selection activeCell="T42" sqref="T42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7" t="s">
        <v>24</v>
      </c>
      <c r="V1" s="76" t="str">
        <f>'Check|List'!$S$1</f>
        <v>Check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1" t="s">
        <v>15</v>
      </c>
      <c r="F13" s="171">
        <v>41791</v>
      </c>
      <c r="G13" s="32"/>
      <c r="H13" s="32"/>
      <c r="I13" s="30"/>
      <c r="J13" s="164"/>
      <c r="K13" s="164"/>
      <c r="L13" s="164"/>
      <c r="M13" s="164"/>
      <c r="N13" s="164"/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3" t="str">
        <f>E13</f>
        <v>$millions</v>
      </c>
      <c r="F15" s="203">
        <f>F13</f>
        <v>41791</v>
      </c>
      <c r="G15" s="32"/>
      <c r="H15" s="32"/>
      <c r="I15" s="30"/>
      <c r="J15" s="129">
        <f>J13</f>
        <v>0</v>
      </c>
      <c r="K15" s="129">
        <f t="shared" ref="K15:S15" si="1">K13</f>
        <v>0</v>
      </c>
      <c r="L15" s="129">
        <f t="shared" si="1"/>
        <v>0</v>
      </c>
      <c r="M15" s="129">
        <f t="shared" si="1"/>
        <v>0</v>
      </c>
      <c r="N15" s="129">
        <f t="shared" si="1"/>
        <v>0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161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109</v>
      </c>
      <c r="D19" s="30" t="s">
        <v>73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73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159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0</v>
      </c>
      <c r="K29" s="129">
        <f t="shared" ref="K29:S29" si="4">SUM(K19:K27)</f>
        <v>0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>
        <v>43617</v>
      </c>
      <c r="G37" s="32"/>
      <c r="H37" s="32"/>
      <c r="I37" s="30"/>
      <c r="J37" s="164"/>
      <c r="K37" s="164"/>
      <c r="L37" s="164"/>
      <c r="M37" s="211">
        <v>350.09036874602492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/>
      <c r="D38" s="30" t="s">
        <v>79</v>
      </c>
      <c r="E38" s="30" t="str">
        <f t="shared" si="6"/>
        <v>$millions</v>
      </c>
      <c r="F38" s="161">
        <f t="shared" ref="F38:F42" si="7">$F$53</f>
        <v>43617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79</v>
      </c>
      <c r="E39" s="30" t="str">
        <f t="shared" si="6"/>
        <v>$millions</v>
      </c>
      <c r="F39" s="161">
        <f t="shared" si="7"/>
        <v>43617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>
        <f t="shared" si="7"/>
        <v>43617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>
        <f t="shared" si="7"/>
        <v>43617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114</v>
      </c>
      <c r="D42" s="30" t="s">
        <v>79</v>
      </c>
      <c r="E42" s="30" t="str">
        <f t="shared" si="6"/>
        <v>$millions</v>
      </c>
      <c r="F42" s="161">
        <f t="shared" si="7"/>
        <v>43617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90" t="str">
        <f>$E$53</f>
        <v>$millions</v>
      </c>
      <c r="F44" s="191">
        <f>F37</f>
        <v>43617</v>
      </c>
      <c r="G44" s="32"/>
      <c r="H44" s="32"/>
      <c r="I44" s="30"/>
      <c r="J44" s="129">
        <f>SUM(J37:J42)</f>
        <v>0</v>
      </c>
      <c r="K44" s="129">
        <f t="shared" ref="K44:S44" si="8">SUM(K37:K42)</f>
        <v>0</v>
      </c>
      <c r="L44" s="129">
        <f t="shared" si="8"/>
        <v>0</v>
      </c>
      <c r="M44" s="129">
        <f t="shared" si="8"/>
        <v>350.09036874602492</v>
      </c>
      <c r="N44" s="129">
        <f t="shared" si="8"/>
        <v>0</v>
      </c>
      <c r="O44" s="129">
        <f t="shared" si="8"/>
        <v>0</v>
      </c>
      <c r="P44" s="129">
        <f t="shared" si="8"/>
        <v>0</v>
      </c>
      <c r="Q44" s="129">
        <f t="shared" si="8"/>
        <v>0</v>
      </c>
      <c r="R44" s="129">
        <f t="shared" si="8"/>
        <v>0</v>
      </c>
      <c r="S44" s="129">
        <f t="shared" si="8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115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109</v>
      </c>
      <c r="D48" s="30" t="s">
        <v>79</v>
      </c>
      <c r="E48" s="30" t="str">
        <f>$E$53</f>
        <v>$millions</v>
      </c>
      <c r="F48" s="161">
        <f>F44</f>
        <v>43617</v>
      </c>
      <c r="G48" s="32"/>
      <c r="H48" s="32"/>
      <c r="I48" s="30"/>
      <c r="J48" s="164"/>
      <c r="K48" s="164"/>
      <c r="L48" s="164"/>
      <c r="M48" s="211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/>
      <c r="D49" s="30" t="s">
        <v>79</v>
      </c>
      <c r="E49" s="30" t="str">
        <f>$E$53</f>
        <v>$millions</v>
      </c>
      <c r="F49" s="161">
        <f>$F$53</f>
        <v>43617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79</v>
      </c>
      <c r="E50" s="30" t="str">
        <f>$E$53</f>
        <v>$millions</v>
      </c>
      <c r="F50" s="161">
        <f>$F$53</f>
        <v>43617</v>
      </c>
      <c r="G50" s="32"/>
      <c r="H50" s="32"/>
      <c r="I50" s="30"/>
      <c r="J50" s="164"/>
      <c r="K50" s="164"/>
      <c r="L50" s="211"/>
      <c r="M50" s="211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79</v>
      </c>
      <c r="E51" s="30" t="str">
        <f>$E$53</f>
        <v>$millions</v>
      </c>
      <c r="F51" s="161">
        <f>$F$53</f>
        <v>43617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159</v>
      </c>
      <c r="D53" s="140" t="s">
        <v>30</v>
      </c>
      <c r="E53" s="130" t="s">
        <v>15</v>
      </c>
      <c r="F53" s="162">
        <f>F48</f>
        <v>43617</v>
      </c>
      <c r="G53" s="32"/>
      <c r="H53" s="32"/>
      <c r="I53" s="30"/>
      <c r="J53" s="186">
        <f>SUM(J48:J51)</f>
        <v>0</v>
      </c>
      <c r="K53" s="186">
        <f t="shared" ref="K53:S53" si="9">SUM(K48:K51)</f>
        <v>0</v>
      </c>
      <c r="L53" s="186">
        <f t="shared" si="9"/>
        <v>0</v>
      </c>
      <c r="M53" s="186">
        <f t="shared" si="9"/>
        <v>0</v>
      </c>
      <c r="N53" s="186">
        <f t="shared" si="9"/>
        <v>0</v>
      </c>
      <c r="O53" s="186">
        <f t="shared" si="9"/>
        <v>0</v>
      </c>
      <c r="P53" s="186">
        <f t="shared" si="9"/>
        <v>0</v>
      </c>
      <c r="Q53" s="186">
        <f t="shared" si="9"/>
        <v>0</v>
      </c>
      <c r="R53" s="186">
        <f t="shared" si="9"/>
        <v>0</v>
      </c>
      <c r="S53" s="186">
        <f t="shared" si="9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116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117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0">IF(YEAR(J$4)=BaseYear,J$4,"")</f>
        <v/>
      </c>
      <c r="K57" s="159" t="str">
        <f t="shared" si="10"/>
        <v/>
      </c>
      <c r="L57" s="159" t="str">
        <f t="shared" si="10"/>
        <v/>
      </c>
      <c r="M57" s="159">
        <f t="shared" si="10"/>
        <v>43252</v>
      </c>
      <c r="N57" s="159" t="str">
        <f t="shared" si="10"/>
        <v/>
      </c>
      <c r="O57" s="159" t="str">
        <f t="shared" si="10"/>
        <v/>
      </c>
      <c r="P57" s="159" t="str">
        <f t="shared" si="10"/>
        <v/>
      </c>
      <c r="Q57" s="159" t="str">
        <f t="shared" si="10"/>
        <v/>
      </c>
      <c r="R57" s="159" t="str">
        <f t="shared" si="10"/>
        <v/>
      </c>
      <c r="S57" s="159" t="str">
        <f t="shared" si="10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183</v>
      </c>
      <c r="D59" s="30" t="s">
        <v>34</v>
      </c>
      <c r="E59" s="30" t="str">
        <f>$E$53</f>
        <v>$millions</v>
      </c>
      <c r="F59" s="171">
        <v>43617</v>
      </c>
      <c r="G59" s="32"/>
      <c r="H59" s="32"/>
      <c r="I59" s="32"/>
      <c r="J59" s="164"/>
      <c r="K59" s="164"/>
      <c r="L59" s="164"/>
      <c r="M59" s="164">
        <v>-1.2460631902966384</v>
      </c>
      <c r="N59" s="164"/>
      <c r="O59" s="164"/>
      <c r="P59" s="164"/>
      <c r="Q59" s="164"/>
      <c r="R59" s="164"/>
      <c r="S59" s="164"/>
      <c r="T59" s="124"/>
      <c r="U59" s="142"/>
      <c r="V59" s="142"/>
      <c r="W59" s="141"/>
    </row>
    <row r="60" spans="1:23">
      <c r="A60" s="29"/>
      <c r="B60" s="29"/>
      <c r="C60" s="61"/>
      <c r="D60" s="30" t="s">
        <v>34</v>
      </c>
      <c r="E60" s="30" t="str">
        <f t="shared" ref="E60:E65" si="11">$E$53</f>
        <v>$millions</v>
      </c>
      <c r="F60" s="171">
        <v>42887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/>
      <c r="D61" s="30" t="s">
        <v>34</v>
      </c>
      <c r="E61" s="30" t="str">
        <f t="shared" si="11"/>
        <v>$millions</v>
      </c>
      <c r="F61" s="171">
        <v>42522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/>
      <c r="D62" s="30" t="s">
        <v>34</v>
      </c>
      <c r="E62" s="30" t="str">
        <f t="shared" si="11"/>
        <v>$millions</v>
      </c>
      <c r="F62" s="171">
        <v>42522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/>
      <c r="D63" s="30" t="s">
        <v>34</v>
      </c>
      <c r="E63" s="30" t="str">
        <f t="shared" si="11"/>
        <v>$millions</v>
      </c>
      <c r="F63" s="171">
        <v>42887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7"/>
      <c r="B64" s="197"/>
      <c r="C64" s="198"/>
      <c r="D64" s="105"/>
      <c r="E64" s="105"/>
      <c r="F64" s="199"/>
      <c r="G64" s="200"/>
      <c r="H64" s="200"/>
      <c r="I64" s="200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04"/>
      <c r="U64" s="165"/>
      <c r="V64" s="165"/>
      <c r="W64" s="197"/>
    </row>
    <row r="65" spans="1:23">
      <c r="A65" s="29"/>
      <c r="B65" s="29"/>
      <c r="C65" s="61" t="s">
        <v>160</v>
      </c>
      <c r="D65" s="30" t="s">
        <v>34</v>
      </c>
      <c r="E65" s="30" t="str">
        <f t="shared" si="11"/>
        <v>$millions</v>
      </c>
      <c r="F65" s="171">
        <v>43252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7"/>
      <c r="B66" s="197"/>
      <c r="C66" s="198"/>
      <c r="D66" s="105"/>
      <c r="E66" s="105"/>
      <c r="F66" s="199"/>
      <c r="G66" s="200"/>
      <c r="H66" s="200"/>
      <c r="I66" s="200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04"/>
      <c r="U66" s="165"/>
      <c r="V66" s="165"/>
      <c r="W66" s="197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79" priority="34" operator="equal">
      <formula>"Check"</formula>
    </cfRule>
    <cfRule type="cellIs" dxfId="178" priority="35" operator="equal">
      <formula>"Ok"</formula>
    </cfRule>
  </conditionalFormatting>
  <conditionalFormatting sqref="W53">
    <cfRule type="cellIs" dxfId="177" priority="32" operator="equal">
      <formula>"Check"</formula>
    </cfRule>
    <cfRule type="cellIs" dxfId="176" priority="33" operator="equal">
      <formula>"Ok"</formula>
    </cfRule>
  </conditionalFormatting>
  <conditionalFormatting sqref="W15">
    <cfRule type="cellIs" dxfId="175" priority="30" operator="equal">
      <formula>"Check"</formula>
    </cfRule>
    <cfRule type="cellIs" dxfId="174" priority="31" operator="equal">
      <formula>"Ok"</formula>
    </cfRule>
  </conditionalFormatting>
  <conditionalFormatting sqref="V1">
    <cfRule type="cellIs" dxfId="173" priority="28" operator="equal">
      <formula>"Check"</formula>
    </cfRule>
    <cfRule type="cellIs" dxfId="172" priority="29" operator="equal">
      <formula>"Ok"</formula>
    </cfRule>
  </conditionalFormatting>
  <conditionalFormatting sqref="S1">
    <cfRule type="cellIs" dxfId="171" priority="26" operator="equal">
      <formula>"Check"</formula>
    </cfRule>
    <cfRule type="cellIs" dxfId="170" priority="27" operator="equal">
      <formula>"Ok"</formula>
    </cfRule>
  </conditionalFormatting>
  <conditionalFormatting sqref="J15:S15">
    <cfRule type="cellIs" dxfId="169" priority="25" operator="equal">
      <formula>0</formula>
    </cfRule>
  </conditionalFormatting>
  <conditionalFormatting sqref="J53:S53">
    <cfRule type="cellIs" dxfId="168" priority="24" operator="equal">
      <formula>0</formula>
    </cfRule>
  </conditionalFormatting>
  <conditionalFormatting sqref="W45:W47">
    <cfRule type="cellIs" dxfId="167" priority="22" operator="equal">
      <formula>"Check"</formula>
    </cfRule>
    <cfRule type="cellIs" dxfId="166" priority="23" operator="equal">
      <formula>"Ok"</formula>
    </cfRule>
  </conditionalFormatting>
  <conditionalFormatting sqref="J38:S42 N37:S37 J49:S49 J33:S33 J48:L48 N48:S48 J51:S51 J50:K50 N50:S50">
    <cfRule type="expression" dxfId="165" priority="20">
      <formula>J$34=J$4</formula>
    </cfRule>
  </conditionalFormatting>
  <conditionalFormatting sqref="O13:S13 J20:S27 O19:S19">
    <cfRule type="expression" dxfId="164" priority="19">
      <formula>J$10=J$4</formula>
    </cfRule>
  </conditionalFormatting>
  <conditionalFormatting sqref="J37:K37">
    <cfRule type="expression" dxfId="163" priority="16">
      <formula>J$10=J$4</formula>
    </cfRule>
  </conditionalFormatting>
  <conditionalFormatting sqref="W44">
    <cfRule type="cellIs" dxfId="162" priority="14" operator="equal">
      <formula>"Check"</formula>
    </cfRule>
    <cfRule type="cellIs" dxfId="161" priority="15" operator="equal">
      <formula>"Ok"</formula>
    </cfRule>
  </conditionalFormatting>
  <conditionalFormatting sqref="J44:S44">
    <cfRule type="cellIs" dxfId="160" priority="12" operator="equal">
      <formula>0</formula>
    </cfRule>
  </conditionalFormatting>
  <conditionalFormatting sqref="J59:S59 J65:S65 J67:M67 J61:S63 J60:M60 O60:S60 O67:S67">
    <cfRule type="expression" dxfId="159" priority="11">
      <formula>J$57=J$4</formula>
    </cfRule>
  </conditionalFormatting>
  <conditionalFormatting sqref="W29">
    <cfRule type="cellIs" dxfId="158" priority="7" operator="equal">
      <formula>"Check"</formula>
    </cfRule>
    <cfRule type="cellIs" dxfId="157" priority="8" operator="equal">
      <formula>"Ok"</formula>
    </cfRule>
  </conditionalFormatting>
  <conditionalFormatting sqref="J29:S29">
    <cfRule type="cellIs" dxfId="156" priority="6" operator="equal">
      <formula>0</formula>
    </cfRule>
  </conditionalFormatting>
  <conditionalFormatting sqref="J13:N13">
    <cfRule type="expression" dxfId="155" priority="5">
      <formula>J$10=J$4</formula>
    </cfRule>
  </conditionalFormatting>
  <conditionalFormatting sqref="J19:N19">
    <cfRule type="expression" dxfId="154" priority="4">
      <formula>J$10=J$4</formula>
    </cfRule>
  </conditionalFormatting>
  <conditionalFormatting sqref="L37">
    <cfRule type="expression" dxfId="153" priority="3">
      <formula>L$10=L$4</formula>
    </cfRule>
  </conditionalFormatting>
  <conditionalFormatting sqref="N60">
    <cfRule type="expression" dxfId="152" priority="2">
      <formula>N$57=N$4</formula>
    </cfRule>
  </conditionalFormatting>
  <conditionalFormatting sqref="N67">
    <cfRule type="expression" dxfId="151" priority="1">
      <formula>N$57=N$4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F29 F13 F59:F64 F66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F65 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8"/>
  <sheetViews>
    <sheetView showGridLines="0" topLeftCell="A28" workbookViewId="0">
      <selection activeCell="L41" sqref="L4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Check</v>
      </c>
      <c r="V1" s="187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8" t="s">
        <v>121</v>
      </c>
      <c r="K3" s="220"/>
      <c r="L3" s="220"/>
      <c r="M3" s="220"/>
      <c r="N3" s="182"/>
      <c r="O3" s="220"/>
      <c r="P3" s="220"/>
      <c r="Q3" s="220"/>
      <c r="R3" s="220"/>
      <c r="S3" s="220"/>
      <c r="T3" s="220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2.0000000000000018E-2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1" si="2">IF(ISNONTEXT($C16),"calculated","")</f>
        <v>calculated</v>
      </c>
      <c r="E16" s="30" t="str">
        <f t="shared" ref="E16:E21" si="3">IF(ISNONTEXT($C16),"index","")</f>
        <v>index</v>
      </c>
      <c r="J16" s="22">
        <f t="shared" ref="J16:N21" si="4">IF(AND($C16&gt;J$14,ISNONTEXT($C16)),K16/(1+K$12),IF(AND($C16=J$14,J$14=J$4),1,IF(AND($C16&lt;J$14,J$14=J$4),I16*(1+J$12),0)))</f>
        <v>1</v>
      </c>
      <c r="K16" s="22">
        <f t="shared" si="4"/>
        <v>1.0151085930122756</v>
      </c>
      <c r="L16" s="22">
        <f t="shared" si="4"/>
        <v>1.0254957507082152</v>
      </c>
      <c r="M16" s="22">
        <f t="shared" si="4"/>
        <v>1.0453257790368271</v>
      </c>
      <c r="N16" s="22">
        <f t="shared" si="4"/>
        <v>1.0670443814919734</v>
      </c>
      <c r="O16" s="22">
        <f t="shared" ref="O16:O21" si="5">IF(AND($C16&gt;O$14,ISNONTEXT($C16)),P16/(1+O$12),IF(AND($C16=O$14,O$14=O$4),1,IF(AND($C16&lt;O$14,O$14=O$4),N16*(1+O$12),0)))</f>
        <v>1.088385269121813</v>
      </c>
      <c r="P16" s="208"/>
      <c r="Q16" s="208"/>
      <c r="R16" s="208"/>
      <c r="S16" s="208"/>
      <c r="T16" s="208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si="3"/>
        <v>index</v>
      </c>
      <c r="I17" s="22"/>
      <c r="J17" s="22">
        <f t="shared" si="4"/>
        <v>0.98511627906976751</v>
      </c>
      <c r="K17" s="22">
        <f t="shared" si="4"/>
        <v>1</v>
      </c>
      <c r="L17" s="22">
        <f t="shared" si="4"/>
        <v>1.0102325581395348</v>
      </c>
      <c r="M17" s="22">
        <f t="shared" si="4"/>
        <v>1.029767441860465</v>
      </c>
      <c r="N17" s="22">
        <f t="shared" si="4"/>
        <v>1.0511627906976744</v>
      </c>
      <c r="O17" s="22">
        <f t="shared" si="5"/>
        <v>1.072186046511628</v>
      </c>
      <c r="P17" s="208"/>
      <c r="Q17" s="208"/>
      <c r="R17" s="208"/>
      <c r="S17" s="208"/>
      <c r="T17" s="208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3"/>
        <v>index</v>
      </c>
      <c r="I18" s="22"/>
      <c r="J18" s="22">
        <f t="shared" si="4"/>
        <v>0.97513812154696156</v>
      </c>
      <c r="K18" s="22">
        <f t="shared" si="4"/>
        <v>0.98987108655616951</v>
      </c>
      <c r="L18" s="22">
        <f t="shared" si="4"/>
        <v>1</v>
      </c>
      <c r="M18" s="22">
        <f t="shared" si="4"/>
        <v>1.0193370165745856</v>
      </c>
      <c r="N18" s="22">
        <f t="shared" si="4"/>
        <v>1.0405156537753224</v>
      </c>
      <c r="O18" s="22">
        <f t="shared" si="5"/>
        <v>1.0613259668508288</v>
      </c>
      <c r="P18" s="208"/>
      <c r="Q18" s="208"/>
      <c r="R18" s="208"/>
      <c r="S18" s="208"/>
      <c r="T18" s="208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3"/>
        <v>index</v>
      </c>
      <c r="I19" s="22"/>
      <c r="J19" s="22">
        <f t="shared" si="4"/>
        <v>0.95663956639566416</v>
      </c>
      <c r="K19" s="22">
        <f t="shared" si="4"/>
        <v>0.97109304426377607</v>
      </c>
      <c r="L19" s="22">
        <f t="shared" si="4"/>
        <v>0.98102981029810299</v>
      </c>
      <c r="M19" s="22">
        <f t="shared" si="4"/>
        <v>1</v>
      </c>
      <c r="N19" s="22">
        <f t="shared" si="4"/>
        <v>1.0207768744354111</v>
      </c>
      <c r="O19" s="22">
        <f t="shared" si="5"/>
        <v>1.0411924119241194</v>
      </c>
      <c r="P19" s="208"/>
      <c r="Q19" s="208"/>
      <c r="R19" s="208"/>
      <c r="S19" s="208"/>
      <c r="T19" s="208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3"/>
        <v>index</v>
      </c>
      <c r="I20" s="22"/>
      <c r="J20" s="22">
        <f t="shared" si="4"/>
        <v>0.93716814159292039</v>
      </c>
      <c r="K20" s="22">
        <f t="shared" si="4"/>
        <v>0.95132743362831851</v>
      </c>
      <c r="L20" s="22">
        <f t="shared" si="4"/>
        <v>0.96106194690265478</v>
      </c>
      <c r="M20" s="22">
        <f t="shared" si="4"/>
        <v>0.97964601769911497</v>
      </c>
      <c r="N20" s="22">
        <f t="shared" si="4"/>
        <v>1</v>
      </c>
      <c r="O20" s="22">
        <f t="shared" si="5"/>
        <v>1.02</v>
      </c>
      <c r="P20" s="208"/>
      <c r="Q20" s="208"/>
      <c r="R20" s="208"/>
      <c r="S20" s="208"/>
      <c r="T20" s="208"/>
    </row>
    <row r="21" spans="1:50" ht="11.25" customHeight="1" outlineLevel="1">
      <c r="C21" s="166">
        <v>43617</v>
      </c>
      <c r="D21" s="144" t="str">
        <f t="shared" si="2"/>
        <v>calculated</v>
      </c>
      <c r="E21" s="30" t="str">
        <f t="shared" si="3"/>
        <v>index</v>
      </c>
      <c r="I21" s="22"/>
      <c r="J21" s="22">
        <f t="shared" si="4"/>
        <v>0.91879229567933363</v>
      </c>
      <c r="K21" s="22">
        <f t="shared" si="4"/>
        <v>0.93267395453756707</v>
      </c>
      <c r="L21" s="22">
        <f t="shared" si="4"/>
        <v>0.9422175950026026</v>
      </c>
      <c r="M21" s="22">
        <f t="shared" si="4"/>
        <v>0.96043727225403419</v>
      </c>
      <c r="N21" s="22">
        <f t="shared" si="4"/>
        <v>0.98039215686274506</v>
      </c>
      <c r="O21" s="22">
        <f t="shared" si="5"/>
        <v>1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6">IF(YEAR(J$4)&lt;=PPLastYear,J$4,"")</f>
        <v>41791</v>
      </c>
      <c r="K23" s="159">
        <f t="shared" si="6"/>
        <v>42156</v>
      </c>
      <c r="L23" s="159">
        <f t="shared" si="6"/>
        <v>42522</v>
      </c>
      <c r="M23" s="159">
        <f t="shared" si="6"/>
        <v>42887</v>
      </c>
      <c r="N23" s="159">
        <f t="shared" si="6"/>
        <v>43252</v>
      </c>
      <c r="O23" s="159">
        <f t="shared" si="6"/>
        <v>43617</v>
      </c>
      <c r="P23" s="159" t="str">
        <f t="shared" si="6"/>
        <v/>
      </c>
      <c r="Q23" s="159" t="str">
        <f t="shared" si="6"/>
        <v/>
      </c>
      <c r="R23" s="159" t="str">
        <f t="shared" si="6"/>
        <v/>
      </c>
      <c r="S23" s="159" t="str">
        <f t="shared" si="6"/>
        <v/>
      </c>
      <c r="T23" s="159" t="str">
        <f t="shared" si="6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7">IF(ISNONTEXT($C25),"calculated","")</f>
        <v>calculated</v>
      </c>
      <c r="E25" s="30" t="str">
        <f t="shared" ref="E25:E30" si="8"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9">IF(AND(K$23=K$4,ISNONTEXT($C25)),1/K16*(1+K$12)^0.5,0)</f>
        <v>0.99253024088426012</v>
      </c>
      <c r="L25" s="22">
        <f t="shared" si="9"/>
        <v>0.98011450243194831</v>
      </c>
      <c r="M25" s="22">
        <f t="shared" si="9"/>
        <v>0.96584455776929623</v>
      </c>
      <c r="N25" s="22">
        <f t="shared" si="9"/>
        <v>0.94685380318889867</v>
      </c>
      <c r="O25" s="22">
        <f t="shared" si="9"/>
        <v>0.92793473275424621</v>
      </c>
      <c r="P25" s="22">
        <f t="shared" si="9"/>
        <v>0</v>
      </c>
      <c r="Q25" s="22">
        <f t="shared" si="9"/>
        <v>0</v>
      </c>
      <c r="R25" s="22">
        <f t="shared" si="9"/>
        <v>0</v>
      </c>
      <c r="S25" s="22">
        <f t="shared" si="9"/>
        <v>0</v>
      </c>
      <c r="T25" s="22">
        <f t="shared" si="9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7"/>
        <v>calculated</v>
      </c>
      <c r="E26" s="30" t="str">
        <f t="shared" si="8"/>
        <v>index</v>
      </c>
      <c r="I26" s="22"/>
      <c r="J26" s="22">
        <f t="shared" ref="J26:T26" si="10">IF(AND(J$23=J$4,ISNONTEXT($C26)),1/J17*(1+J$12)^0.5,0)</f>
        <v>1.030300538625134</v>
      </c>
      <c r="K26" s="22">
        <f t="shared" si="10"/>
        <v>1.0075259763461564</v>
      </c>
      <c r="L26" s="22">
        <f t="shared" si="10"/>
        <v>0.99492265355462162</v>
      </c>
      <c r="M26" s="22">
        <f t="shared" si="10"/>
        <v>0.98043711010575396</v>
      </c>
      <c r="N26" s="22">
        <f t="shared" si="10"/>
        <v>0.96115943194340514</v>
      </c>
      <c r="O26" s="22">
        <f t="shared" si="10"/>
        <v>0.94195452097338483</v>
      </c>
      <c r="P26" s="22">
        <f t="shared" si="10"/>
        <v>0</v>
      </c>
      <c r="Q26" s="22">
        <f t="shared" si="10"/>
        <v>0</v>
      </c>
      <c r="R26" s="22">
        <f t="shared" si="10"/>
        <v>0</v>
      </c>
      <c r="S26" s="22">
        <f t="shared" si="10"/>
        <v>0</v>
      </c>
      <c r="T26" s="22">
        <f t="shared" si="10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7"/>
        <v>calculated</v>
      </c>
      <c r="E27" s="30" t="str">
        <f t="shared" si="8"/>
        <v>index</v>
      </c>
      <c r="I27" s="22"/>
      <c r="J27" s="22">
        <f t="shared" ref="J27:T27" si="11">IF(AND(J$23=J$4,ISNONTEXT($C27)),1/J18*(1+J$12)^0.5,0)</f>
        <v>1.0408431487878098</v>
      </c>
      <c r="K27" s="22">
        <f t="shared" si="11"/>
        <v>1.0178355444762099</v>
      </c>
      <c r="L27" s="22">
        <f t="shared" si="11"/>
        <v>1.0051032574514596</v>
      </c>
      <c r="M27" s="22">
        <f t="shared" si="11"/>
        <v>0.99046948983706851</v>
      </c>
      <c r="N27" s="22">
        <f t="shared" si="11"/>
        <v>0.97099455171212823</v>
      </c>
      <c r="O27" s="22">
        <f t="shared" si="11"/>
        <v>0.95159312537404273</v>
      </c>
      <c r="P27" s="22">
        <f t="shared" si="11"/>
        <v>0</v>
      </c>
      <c r="Q27" s="22">
        <f t="shared" si="11"/>
        <v>0</v>
      </c>
      <c r="R27" s="22">
        <f t="shared" si="11"/>
        <v>0</v>
      </c>
      <c r="S27" s="22">
        <f t="shared" si="11"/>
        <v>0</v>
      </c>
      <c r="T27" s="22">
        <f t="shared" si="11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7"/>
        <v>calculated</v>
      </c>
      <c r="E28" s="30" t="str">
        <f t="shared" si="8"/>
        <v>index</v>
      </c>
      <c r="I28" s="22"/>
      <c r="J28" s="22">
        <f t="shared" ref="J28:T28" si="12">IF(AND(J$23=J$4,ISNONTEXT($C28)),1/J19*(1+J$12)^0.5,0)</f>
        <v>1.0609699500074634</v>
      </c>
      <c r="K28" s="22">
        <f t="shared" si="12"/>
        <v>1.0375174472699489</v>
      </c>
      <c r="L28" s="22">
        <f t="shared" si="12"/>
        <v>1.0245389557999685</v>
      </c>
      <c r="M28" s="22">
        <f t="shared" si="12"/>
        <v>1.0096222147786693</v>
      </c>
      <c r="N28" s="22">
        <f t="shared" si="12"/>
        <v>0.98977068945241797</v>
      </c>
      <c r="O28" s="22">
        <f t="shared" si="12"/>
        <v>0.9699940974116622</v>
      </c>
      <c r="P28" s="22">
        <f t="shared" si="12"/>
        <v>0</v>
      </c>
      <c r="Q28" s="22">
        <f t="shared" si="12"/>
        <v>0</v>
      </c>
      <c r="R28" s="22">
        <f t="shared" si="12"/>
        <v>0</v>
      </c>
      <c r="S28" s="22">
        <f t="shared" si="12"/>
        <v>0</v>
      </c>
      <c r="T28" s="22">
        <f t="shared" si="12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7"/>
        <v>calculated</v>
      </c>
      <c r="E29" s="30" t="str">
        <f t="shared" si="8"/>
        <v>index</v>
      </c>
      <c r="I29" s="22"/>
      <c r="J29" s="22">
        <f t="shared" ref="J29:T29" si="13">IF(AND(J$23=J$4,ISNONTEXT($C29)),1/J20*(1+J$12)^0.5,0)</f>
        <v>1.0830135894385131</v>
      </c>
      <c r="K29" s="22">
        <f t="shared" si="13"/>
        <v>1.0590738169964251</v>
      </c>
      <c r="L29" s="22">
        <f t="shared" si="13"/>
        <v>1.0458256730388116</v>
      </c>
      <c r="M29" s="22">
        <f t="shared" si="13"/>
        <v>1.0305990087623274</v>
      </c>
      <c r="N29" s="22">
        <f t="shared" si="13"/>
        <v>1.0103350307870211</v>
      </c>
      <c r="O29" s="22">
        <f t="shared" si="13"/>
        <v>0.99014754297667429</v>
      </c>
      <c r="P29" s="22">
        <f t="shared" si="13"/>
        <v>0</v>
      </c>
      <c r="Q29" s="22">
        <f t="shared" si="13"/>
        <v>0</v>
      </c>
      <c r="R29" s="22">
        <f t="shared" si="13"/>
        <v>0</v>
      </c>
      <c r="S29" s="22">
        <f t="shared" si="13"/>
        <v>0</v>
      </c>
      <c r="T29" s="22">
        <f t="shared" si="13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7"/>
        <v>calculated</v>
      </c>
      <c r="E30" s="30" t="str">
        <f t="shared" si="8"/>
        <v>index</v>
      </c>
      <c r="I30" s="22"/>
      <c r="J30" s="22">
        <f t="shared" ref="J30:T30" si="14">IF(AND(J$23=J$4,ISNONTEXT($C30)),1/J21*(1+J$12)^0.5,0)</f>
        <v>1.1046738612272835</v>
      </c>
      <c r="K30" s="22">
        <f t="shared" si="14"/>
        <v>1.0802552933363536</v>
      </c>
      <c r="L30" s="22">
        <f t="shared" si="14"/>
        <v>1.0667421864995881</v>
      </c>
      <c r="M30" s="22">
        <f t="shared" si="14"/>
        <v>1.051210988937574</v>
      </c>
      <c r="N30" s="22">
        <f t="shared" si="14"/>
        <v>1.0305417314027616</v>
      </c>
      <c r="O30" s="22">
        <f t="shared" si="14"/>
        <v>1.0099504938362078</v>
      </c>
      <c r="P30" s="22">
        <f t="shared" si="14"/>
        <v>0</v>
      </c>
      <c r="Q30" s="22">
        <f t="shared" si="14"/>
        <v>0</v>
      </c>
      <c r="R30" s="22">
        <f t="shared" si="14"/>
        <v>0</v>
      </c>
      <c r="S30" s="22">
        <f t="shared" si="14"/>
        <v>0</v>
      </c>
      <c r="T30" s="22">
        <f t="shared" si="14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15">IF(YEAR(J$4)&gt;BaseYear,IF(YEAR(J$4)&lt;=FPLastYear,J$4,""),"")</f>
        <v/>
      </c>
      <c r="K34" s="163" t="str">
        <f t="shared" si="15"/>
        <v/>
      </c>
      <c r="L34" s="163" t="str">
        <f t="shared" si="15"/>
        <v/>
      </c>
      <c r="M34" s="163" t="str">
        <f t="shared" si="15"/>
        <v/>
      </c>
      <c r="N34" s="163" t="str">
        <f t="shared" si="15"/>
        <v/>
      </c>
      <c r="O34" s="163">
        <f t="shared" si="15"/>
        <v>43617</v>
      </c>
      <c r="P34" s="163">
        <f t="shared" si="15"/>
        <v>43983</v>
      </c>
      <c r="Q34" s="163">
        <f t="shared" si="15"/>
        <v>44348</v>
      </c>
      <c r="R34" s="163">
        <f t="shared" si="15"/>
        <v>44713</v>
      </c>
      <c r="S34" s="163">
        <f t="shared" si="15"/>
        <v>45078</v>
      </c>
      <c r="T34" s="163">
        <f t="shared" si="15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171</v>
      </c>
      <c r="D36" s="30" t="s">
        <v>105</v>
      </c>
      <c r="E36" s="30" t="str">
        <f t="shared" ref="E36:E43" si="16">percent</f>
        <v>Per cent</v>
      </c>
      <c r="J36" s="204"/>
      <c r="K36" s="152"/>
      <c r="L36" s="152"/>
      <c r="M36" s="152"/>
      <c r="N36" s="209"/>
      <c r="O36" s="209">
        <v>-8.370514636413251E-4</v>
      </c>
      <c r="P36" s="209">
        <v>-1.9998746507710052E-5</v>
      </c>
      <c r="Q36" s="209">
        <v>5.8343016719275553E-4</v>
      </c>
      <c r="R36" s="209">
        <v>5.6862862819597737E-3</v>
      </c>
      <c r="S36" s="209">
        <v>8.3088127500947628E-3</v>
      </c>
      <c r="T36" s="209">
        <v>8.3577443916023064E-3</v>
      </c>
    </row>
    <row r="37" spans="3:23" ht="11.25" customHeight="1" outlineLevel="1">
      <c r="C37" s="61" t="s">
        <v>184</v>
      </c>
      <c r="D37" s="30" t="s">
        <v>105</v>
      </c>
      <c r="E37" s="30" t="str">
        <f t="shared" si="16"/>
        <v>Per cent</v>
      </c>
      <c r="J37" s="204"/>
      <c r="K37" s="152"/>
      <c r="L37" s="152"/>
      <c r="M37" s="152"/>
      <c r="N37" s="152"/>
      <c r="O37" s="209">
        <v>9.4637136564390545E-3</v>
      </c>
      <c r="P37" s="209">
        <v>8.7907707248520376E-3</v>
      </c>
      <c r="Q37" s="209">
        <v>1.3681542469145236E-2</v>
      </c>
      <c r="R37" s="209">
        <v>1.7372653697064661E-2</v>
      </c>
      <c r="S37" s="209">
        <v>1.7287543395615133E-2</v>
      </c>
      <c r="T37" s="209">
        <v>1.3333262554146708E-2</v>
      </c>
    </row>
    <row r="38" spans="3:23" ht="11.25" customHeight="1" outlineLevel="1">
      <c r="C38" s="61" t="s">
        <v>185</v>
      </c>
      <c r="D38" s="30" t="s">
        <v>105</v>
      </c>
      <c r="E38" s="30" t="str">
        <f t="shared" si="16"/>
        <v>Per cent</v>
      </c>
      <c r="J38" s="204"/>
      <c r="K38" s="152"/>
      <c r="L38" s="152"/>
      <c r="M38" s="152"/>
      <c r="N38" s="152"/>
      <c r="O38" s="209">
        <f>AVERAGE(O36:O37)</f>
        <v>4.3133310963988647E-3</v>
      </c>
      <c r="P38" s="209">
        <f t="shared" ref="P38:T38" si="17">AVERAGE(P36:P37)</f>
        <v>4.3853859891721638E-3</v>
      </c>
      <c r="Q38" s="209">
        <f t="shared" si="17"/>
        <v>7.1324863181689959E-3</v>
      </c>
      <c r="R38" s="209">
        <f t="shared" si="17"/>
        <v>1.1529469989512217E-2</v>
      </c>
      <c r="S38" s="209">
        <f t="shared" si="17"/>
        <v>1.2798178072854948E-2</v>
      </c>
      <c r="T38" s="209">
        <f t="shared" si="17"/>
        <v>1.0845503472874506E-2</v>
      </c>
    </row>
    <row r="39" spans="3:23" ht="11.25" customHeight="1" outlineLevel="1">
      <c r="C39" s="61"/>
      <c r="D39" s="30" t="s">
        <v>105</v>
      </c>
      <c r="E39" s="30" t="str">
        <f t="shared" si="16"/>
        <v>Per cent</v>
      </c>
      <c r="J39" s="204"/>
      <c r="K39" s="152"/>
      <c r="L39" s="152"/>
      <c r="M39" s="152"/>
      <c r="N39" s="152"/>
      <c r="O39" s="152"/>
      <c r="P39" s="60"/>
      <c r="Q39" s="60"/>
      <c r="R39" s="60"/>
      <c r="S39" s="60"/>
      <c r="T39" s="209"/>
      <c r="U39" s="147"/>
    </row>
    <row r="40" spans="3:23" ht="11.25" customHeight="1" outlineLevel="1">
      <c r="C40" s="61"/>
      <c r="D40" s="30" t="s">
        <v>105</v>
      </c>
      <c r="E40" s="30" t="str">
        <f t="shared" si="16"/>
        <v>Per cent</v>
      </c>
      <c r="J40" s="204"/>
      <c r="K40" s="152"/>
      <c r="L40" s="152"/>
      <c r="M40" s="152"/>
      <c r="N40" s="152"/>
      <c r="O40" s="152"/>
      <c r="P40" s="60"/>
      <c r="Q40" s="60"/>
      <c r="R40" s="60"/>
      <c r="S40" s="60"/>
      <c r="T40" s="209"/>
    </row>
    <row r="41" spans="3:23" ht="11.25" customHeight="1" outlineLevel="1">
      <c r="C41" s="61"/>
      <c r="D41" s="30" t="s">
        <v>105</v>
      </c>
      <c r="E41" s="30" t="str">
        <f t="shared" si="16"/>
        <v>Per cent</v>
      </c>
      <c r="J41" s="204"/>
      <c r="K41" s="152"/>
      <c r="L41" s="152"/>
      <c r="M41" s="152"/>
      <c r="N41" s="152"/>
      <c r="O41" s="152"/>
      <c r="P41" s="60"/>
      <c r="Q41" s="60"/>
      <c r="R41" s="60"/>
      <c r="S41" s="60"/>
      <c r="T41" s="209"/>
    </row>
    <row r="42" spans="3:23" ht="11.25" customHeight="1" outlineLevel="1">
      <c r="C42" s="61"/>
      <c r="D42" s="30" t="s">
        <v>105</v>
      </c>
      <c r="E42" s="30" t="str">
        <f t="shared" si="16"/>
        <v>Per cent</v>
      </c>
      <c r="J42" s="204"/>
      <c r="K42" s="152"/>
      <c r="L42" s="152"/>
      <c r="M42" s="152"/>
      <c r="N42" s="152"/>
      <c r="O42" s="152"/>
      <c r="P42" s="60"/>
      <c r="Q42" s="60"/>
      <c r="R42" s="60"/>
      <c r="S42" s="60"/>
      <c r="T42" s="209"/>
    </row>
    <row r="43" spans="3:23" ht="11.25" customHeight="1" outlineLevel="1">
      <c r="C43" s="61" t="s">
        <v>85</v>
      </c>
      <c r="D43" s="30" t="s">
        <v>105</v>
      </c>
      <c r="E43" s="30" t="str">
        <f t="shared" si="16"/>
        <v>Per cent</v>
      </c>
      <c r="J43" s="204"/>
      <c r="K43" s="152"/>
      <c r="L43" s="152"/>
      <c r="M43" s="152"/>
      <c r="N43" s="169"/>
      <c r="O43" s="217">
        <v>0</v>
      </c>
      <c r="P43" s="60">
        <v>0</v>
      </c>
      <c r="Q43" s="60">
        <v>0</v>
      </c>
      <c r="R43" s="60">
        <v>0</v>
      </c>
      <c r="S43" s="60">
        <v>0</v>
      </c>
      <c r="T43" s="20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18">IF(J34=J4,IF(COUNTA($C36:$C43)=COUNT(J36:J43),"Ok","Check"),"")</f>
        <v/>
      </c>
      <c r="K45" s="132" t="str">
        <f t="shared" si="18"/>
        <v/>
      </c>
      <c r="L45" s="132" t="str">
        <f t="shared" si="18"/>
        <v/>
      </c>
      <c r="M45" s="132" t="str">
        <f t="shared" si="18"/>
        <v/>
      </c>
      <c r="N45" s="132" t="str">
        <f t="shared" si="18"/>
        <v/>
      </c>
      <c r="O45" s="132" t="str">
        <f t="shared" si="18"/>
        <v>Ok</v>
      </c>
      <c r="P45" s="132" t="str">
        <f t="shared" si="18"/>
        <v>Ok</v>
      </c>
      <c r="Q45" s="132" t="str">
        <f t="shared" si="18"/>
        <v>Ok</v>
      </c>
      <c r="R45" s="132" t="str">
        <f t="shared" si="18"/>
        <v>Ok</v>
      </c>
      <c r="S45" s="132" t="str">
        <f t="shared" si="18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19">IF(YEAR(J$4)&gt;BaseYear,IF(YEAR(J$4)&lt;=FPLastYear,J$4,""),"")</f>
        <v/>
      </c>
      <c r="K47" s="163" t="str">
        <f t="shared" si="19"/>
        <v/>
      </c>
      <c r="L47" s="163" t="str">
        <f t="shared" si="19"/>
        <v/>
      </c>
      <c r="M47" s="163" t="str">
        <f t="shared" si="19"/>
        <v/>
      </c>
      <c r="N47" s="163" t="str">
        <f t="shared" si="19"/>
        <v/>
      </c>
      <c r="O47" s="163">
        <f t="shared" si="19"/>
        <v>43617</v>
      </c>
      <c r="P47" s="163">
        <f t="shared" si="19"/>
        <v>43983</v>
      </c>
      <c r="Q47" s="163">
        <f t="shared" si="19"/>
        <v>44348</v>
      </c>
      <c r="R47" s="163">
        <f t="shared" si="19"/>
        <v>44713</v>
      </c>
      <c r="S47" s="163">
        <f t="shared" si="19"/>
        <v>45078</v>
      </c>
      <c r="T47" s="163">
        <f t="shared" si="19"/>
        <v>45444</v>
      </c>
    </row>
    <row r="48" spans="3:23" ht="11.25" customHeight="1" outlineLevel="1"/>
    <row r="49" spans="1:50" ht="11.25" customHeight="1" outlineLevel="1">
      <c r="C49" s="148" t="str">
        <f t="shared" ref="C49:C56" si="20">C36</f>
        <v>WPI - DAE (July 2018)</v>
      </c>
      <c r="D49" s="30" t="s">
        <v>105</v>
      </c>
      <c r="E49" s="30" t="str">
        <f t="shared" ref="E49:E56" si="21">percent</f>
        <v>Per cent</v>
      </c>
      <c r="J49" s="204"/>
      <c r="K49" s="152"/>
      <c r="L49" s="152"/>
      <c r="M49" s="152"/>
      <c r="N49" s="169"/>
      <c r="O49" s="60"/>
      <c r="P49" s="217"/>
      <c r="Q49" s="60"/>
      <c r="R49" s="60"/>
      <c r="S49" s="60"/>
      <c r="T49" s="60"/>
    </row>
    <row r="50" spans="1:50" ht="11.25" customHeight="1" outlineLevel="1">
      <c r="C50" s="148" t="str">
        <f t="shared" si="20"/>
        <v>AusGrid EGWWS BIS</v>
      </c>
      <c r="D50" s="30" t="s">
        <v>105</v>
      </c>
      <c r="E50" s="30" t="str">
        <f t="shared" si="21"/>
        <v>Per cent</v>
      </c>
      <c r="J50" s="204"/>
      <c r="K50" s="152"/>
      <c r="L50" s="152"/>
      <c r="M50" s="152"/>
      <c r="N50" s="152"/>
      <c r="O50" s="218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20"/>
        <v>Average</v>
      </c>
      <c r="D51" s="30" t="s">
        <v>105</v>
      </c>
      <c r="E51" s="30" t="str">
        <f t="shared" si="21"/>
        <v>Per cent</v>
      </c>
      <c r="J51" s="204"/>
      <c r="K51" s="152"/>
      <c r="L51" s="152"/>
      <c r="M51" s="152"/>
      <c r="N51" s="152"/>
      <c r="O51" s="60">
        <v>0.59699999999999998</v>
      </c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20"/>
        <v>0</v>
      </c>
      <c r="D52" s="30" t="s">
        <v>105</v>
      </c>
      <c r="E52" s="30" t="str">
        <f t="shared" si="21"/>
        <v>Per cent</v>
      </c>
      <c r="J52" s="204"/>
      <c r="K52" s="152"/>
      <c r="L52" s="152"/>
      <c r="M52" s="152"/>
      <c r="N52" s="152"/>
      <c r="O52" s="60"/>
      <c r="P52" s="60"/>
      <c r="Q52" s="60"/>
      <c r="R52" s="60"/>
      <c r="S52" s="60"/>
      <c r="T52" s="209"/>
      <c r="U52" s="147"/>
    </row>
    <row r="53" spans="1:50" ht="11.25" customHeight="1" outlineLevel="1">
      <c r="C53" s="148">
        <f t="shared" si="20"/>
        <v>0</v>
      </c>
      <c r="D53" s="30" t="s">
        <v>105</v>
      </c>
      <c r="E53" s="30" t="str">
        <f t="shared" si="21"/>
        <v>Per cent</v>
      </c>
      <c r="J53" s="204"/>
      <c r="K53" s="152"/>
      <c r="L53" s="152"/>
      <c r="M53" s="152"/>
      <c r="N53" s="152"/>
      <c r="O53" s="60"/>
      <c r="P53" s="60"/>
      <c r="Q53" s="60"/>
      <c r="R53" s="60"/>
      <c r="S53" s="60"/>
      <c r="T53" s="209"/>
    </row>
    <row r="54" spans="1:50" ht="11.25" customHeight="1" outlineLevel="1">
      <c r="C54" s="148">
        <f t="shared" si="20"/>
        <v>0</v>
      </c>
      <c r="D54" s="30" t="s">
        <v>105</v>
      </c>
      <c r="E54" s="30" t="str">
        <f t="shared" si="21"/>
        <v>Per cent</v>
      </c>
      <c r="J54" s="204"/>
      <c r="K54" s="152"/>
      <c r="L54" s="152"/>
      <c r="M54" s="152"/>
      <c r="N54" s="152"/>
      <c r="O54" s="60"/>
      <c r="P54" s="60"/>
      <c r="Q54" s="60"/>
      <c r="R54" s="60"/>
      <c r="S54" s="60"/>
      <c r="T54" s="209"/>
    </row>
    <row r="55" spans="1:50" ht="11.25" customHeight="1" outlineLevel="1">
      <c r="C55" s="148">
        <f t="shared" si="20"/>
        <v>0</v>
      </c>
      <c r="D55" s="30" t="s">
        <v>105</v>
      </c>
      <c r="E55" s="30" t="str">
        <f t="shared" si="21"/>
        <v>Per cent</v>
      </c>
      <c r="J55" s="204"/>
      <c r="K55" s="152"/>
      <c r="L55" s="152"/>
      <c r="M55" s="152"/>
      <c r="N55" s="152"/>
      <c r="O55" s="60"/>
      <c r="P55" s="60"/>
      <c r="Q55" s="60"/>
      <c r="R55" s="60"/>
      <c r="S55" s="60"/>
      <c r="T55" s="209"/>
    </row>
    <row r="56" spans="1:50" ht="11.25" customHeight="1" outlineLevel="1">
      <c r="C56" s="148" t="str">
        <f t="shared" si="20"/>
        <v>CPI</v>
      </c>
      <c r="D56" s="30" t="s">
        <v>105</v>
      </c>
      <c r="E56" s="30" t="str">
        <f t="shared" si="21"/>
        <v>Per cent</v>
      </c>
      <c r="J56" s="204"/>
      <c r="K56" s="152"/>
      <c r="L56" s="152"/>
      <c r="M56" s="152"/>
      <c r="N56" s="169"/>
      <c r="O56" s="60">
        <f>1-O51</f>
        <v>0.40300000000000002</v>
      </c>
      <c r="P56" s="60">
        <f t="shared" ref="P56:T56" si="22">1-P51</f>
        <v>0.40300000000000002</v>
      </c>
      <c r="Q56" s="60">
        <f t="shared" si="22"/>
        <v>0.40300000000000002</v>
      </c>
      <c r="R56" s="60">
        <f t="shared" si="22"/>
        <v>0.40300000000000002</v>
      </c>
      <c r="S56" s="60">
        <f t="shared" si="22"/>
        <v>0.40300000000000002</v>
      </c>
      <c r="T56" s="60">
        <f t="shared" si="22"/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23">IF(J47=J$4,IF(SUM(J49:J56)=1,"Ok","Check"),"")</f>
        <v/>
      </c>
      <c r="K58" s="132" t="str">
        <f t="shared" si="23"/>
        <v/>
      </c>
      <c r="L58" s="132" t="str">
        <f t="shared" si="23"/>
        <v/>
      </c>
      <c r="M58" s="132" t="str">
        <f t="shared" si="23"/>
        <v/>
      </c>
      <c r="N58" s="132" t="str">
        <f t="shared" si="23"/>
        <v/>
      </c>
      <c r="O58" s="132" t="str">
        <f t="shared" si="23"/>
        <v>Ok</v>
      </c>
      <c r="P58" s="132" t="str">
        <f t="shared" si="23"/>
        <v>Ok</v>
      </c>
      <c r="Q58" s="132" t="str">
        <f t="shared" si="23"/>
        <v>Ok</v>
      </c>
      <c r="R58" s="132" t="str">
        <f t="shared" si="23"/>
        <v>Ok</v>
      </c>
      <c r="S58" s="132" t="str">
        <f t="shared" si="23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24">IF(YEAR(J$4)&gt;=BaseYear,IF(YEAR(J$4)&lt;=FPLastYear,J$4,""),"")</f>
        <v/>
      </c>
      <c r="K62" s="163" t="str">
        <f t="shared" si="24"/>
        <v/>
      </c>
      <c r="L62" s="163" t="str">
        <f t="shared" si="24"/>
        <v/>
      </c>
      <c r="M62" s="163" t="str">
        <f t="shared" si="24"/>
        <v/>
      </c>
      <c r="N62" s="163">
        <f t="shared" si="24"/>
        <v>43252</v>
      </c>
      <c r="O62" s="163">
        <f t="shared" si="24"/>
        <v>43617</v>
      </c>
      <c r="P62" s="163">
        <f t="shared" si="24"/>
        <v>43983</v>
      </c>
      <c r="Q62" s="163">
        <f t="shared" si="24"/>
        <v>44348</v>
      </c>
      <c r="R62" s="163">
        <f t="shared" si="24"/>
        <v>44713</v>
      </c>
      <c r="S62" s="163">
        <f t="shared" si="24"/>
        <v>45078</v>
      </c>
      <c r="T62" s="163">
        <f t="shared" si="24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168</v>
      </c>
      <c r="D64" s="30" t="s">
        <v>105</v>
      </c>
      <c r="E64" s="30" t="s">
        <v>18</v>
      </c>
      <c r="F64" s="30" t="s">
        <v>36</v>
      </c>
      <c r="G64" s="32"/>
      <c r="H64" s="32"/>
      <c r="J64" s="204"/>
      <c r="K64" s="195"/>
      <c r="L64" s="195"/>
      <c r="M64" s="219"/>
      <c r="N64" s="212">
        <v>896672.80865528982</v>
      </c>
      <c r="O64" s="212">
        <v>905436.0191743148</v>
      </c>
      <c r="P64" s="212">
        <v>913926.47548577597</v>
      </c>
      <c r="Q64" s="212">
        <v>921735.72685504484</v>
      </c>
      <c r="R64" s="212">
        <v>929503.62010070996</v>
      </c>
      <c r="S64" s="212">
        <v>937174.55734015466</v>
      </c>
      <c r="T64" s="212">
        <v>943826.40947318135</v>
      </c>
    </row>
    <row r="65" spans="3:23" outlineLevel="1">
      <c r="C65" s="61" t="s">
        <v>169</v>
      </c>
      <c r="D65" s="30" t="s">
        <v>105</v>
      </c>
      <c r="E65" s="30" t="s">
        <v>18</v>
      </c>
      <c r="F65" s="30" t="s">
        <v>36</v>
      </c>
      <c r="G65" s="32"/>
      <c r="H65" s="32"/>
      <c r="J65" s="204"/>
      <c r="K65" s="195"/>
      <c r="L65" s="195"/>
      <c r="M65" s="219"/>
      <c r="N65" s="212">
        <v>192431.4024291978</v>
      </c>
      <c r="O65" s="212">
        <v>192702.69096960686</v>
      </c>
      <c r="P65" s="212">
        <v>192973.97951001601</v>
      </c>
      <c r="Q65" s="212">
        <v>193246.26805042513</v>
      </c>
      <c r="R65" s="212">
        <v>193519.55659083423</v>
      </c>
      <c r="S65" s="212">
        <v>193791.84513124332</v>
      </c>
      <c r="T65" s="212">
        <v>194063.13367165241</v>
      </c>
    </row>
    <row r="66" spans="3:23" outlineLevel="1">
      <c r="C66" s="61" t="s">
        <v>170</v>
      </c>
      <c r="D66" s="30" t="s">
        <v>105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219"/>
      <c r="N66" s="212">
        <v>2967.8844979999999</v>
      </c>
      <c r="O66" s="212">
        <v>2967.8844979999999</v>
      </c>
      <c r="P66" s="212">
        <v>2967.8844979999999</v>
      </c>
      <c r="Q66" s="212">
        <v>2967.8844979999999</v>
      </c>
      <c r="R66" s="212">
        <v>2967.8844979999999</v>
      </c>
      <c r="S66" s="212">
        <v>2967.8844979999999</v>
      </c>
      <c r="T66" s="212">
        <v>2967.8844979999999</v>
      </c>
    </row>
    <row r="67" spans="3:23" outlineLevel="1">
      <c r="C67" s="61" t="s">
        <v>174</v>
      </c>
      <c r="D67" s="30" t="s">
        <v>105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>
        <v>12306.4</v>
      </c>
      <c r="O67" s="195">
        <v>12287.1</v>
      </c>
      <c r="P67" s="195">
        <v>12288.6</v>
      </c>
      <c r="Q67" s="195">
        <v>12272.2</v>
      </c>
      <c r="R67" s="195">
        <v>12248.6</v>
      </c>
      <c r="S67" s="195">
        <v>12279.6</v>
      </c>
      <c r="T67" s="195">
        <v>12307.1</v>
      </c>
    </row>
    <row r="68" spans="3:23" outlineLevel="1">
      <c r="C68" s="61"/>
      <c r="D68" s="30" t="s">
        <v>105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105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25">IF(J62=J$4,IF(COUNTA($C64:$C69)=COUNT(J64:J69),"Ok","Check"),"")</f>
        <v/>
      </c>
      <c r="K71" s="132" t="str">
        <f t="shared" si="25"/>
        <v/>
      </c>
      <c r="L71" s="132" t="str">
        <f t="shared" si="25"/>
        <v/>
      </c>
      <c r="M71" s="132" t="str">
        <f t="shared" si="25"/>
        <v/>
      </c>
      <c r="N71" s="132" t="str">
        <f t="shared" si="25"/>
        <v>Ok</v>
      </c>
      <c r="O71" s="132" t="str">
        <f t="shared" si="25"/>
        <v>Ok</v>
      </c>
      <c r="P71" s="132" t="str">
        <f t="shared" si="25"/>
        <v>Ok</v>
      </c>
      <c r="Q71" s="132" t="str">
        <f t="shared" si="25"/>
        <v>Ok</v>
      </c>
      <c r="R71" s="132" t="str">
        <f t="shared" si="25"/>
        <v>Ok</v>
      </c>
      <c r="S71" s="132" t="str">
        <f t="shared" si="25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26">IF(YEAR(J$4)&gt;=BaseYear,IF(YEAR(J$4)&lt;=FPLastYear,J$4,""),"")</f>
        <v/>
      </c>
      <c r="K73" s="163" t="str">
        <f t="shared" si="26"/>
        <v/>
      </c>
      <c r="L73" s="163" t="str">
        <f t="shared" si="26"/>
        <v/>
      </c>
      <c r="M73" s="163" t="str">
        <f t="shared" si="26"/>
        <v/>
      </c>
      <c r="N73" s="163">
        <f>IF(YEAR(N$4)&gt;=BaseYear,IF(YEAR(N$4)&lt;=FPLastYear,N$4,""),"")</f>
        <v>43252</v>
      </c>
      <c r="O73" s="163">
        <f t="shared" si="26"/>
        <v>43617</v>
      </c>
      <c r="P73" s="163">
        <f t="shared" si="26"/>
        <v>43983</v>
      </c>
      <c r="Q73" s="163">
        <f t="shared" si="26"/>
        <v>44348</v>
      </c>
      <c r="R73" s="163">
        <f t="shared" si="26"/>
        <v>44713</v>
      </c>
      <c r="S73" s="163">
        <f t="shared" si="26"/>
        <v>45078</v>
      </c>
      <c r="T73" s="163">
        <f t="shared" si="26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 t="shared" ref="C75:C80" si="27">C64</f>
        <v>Customer numbers (#)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>IF(ISBLANK(I64),"",IF(ISBLANK(J64),"",LN(J64)-LN(I64)))</f>
        <v/>
      </c>
      <c r="K75" s="117" t="str">
        <f>IF(ISBLANK(J64),"",IF(ISBLANK(K64),"",LN(K64)-LN(J64)))</f>
        <v/>
      </c>
      <c r="L75" s="117" t="str">
        <f>IF(ISBLANK(K64),"",IF(ISBLANK(L64),"",LN(L64)-LN(K64)))</f>
        <v/>
      </c>
      <c r="M75" s="117" t="str">
        <f>IF(ISBLANK(L64),"",IF(ISBLANK(M64),"",LN(M64)-LN(L64)))</f>
        <v/>
      </c>
      <c r="N75" s="117" t="str">
        <f>IF(ISBLANK(M64),"",IF(ISBLANK(N64),"",LN(N64)-LN(M64)))</f>
        <v/>
      </c>
      <c r="O75" s="117">
        <f t="shared" ref="O75:T75" si="28">IF(ISBLANK(N64),"",IF(ISBLANK(O64),"",LN(O64)-LN(N64)))</f>
        <v>9.7255831139371196E-3</v>
      </c>
      <c r="P75" s="117">
        <f t="shared" si="28"/>
        <v>9.3335088230439567E-3</v>
      </c>
      <c r="Q75" s="117">
        <f t="shared" si="28"/>
        <v>8.5084265184782737E-3</v>
      </c>
      <c r="R75" s="117">
        <f t="shared" si="28"/>
        <v>8.3921496680208207E-3</v>
      </c>
      <c r="S75" s="117">
        <f t="shared" si="28"/>
        <v>8.2188569115295707E-3</v>
      </c>
      <c r="T75" s="117">
        <f t="shared" si="28"/>
        <v>7.0727022252814464E-3</v>
      </c>
    </row>
    <row r="76" spans="3:23" outlineLevel="1">
      <c r="C76" s="148" t="str">
        <f t="shared" si="27"/>
        <v>Circuit Length (km)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29">IF(ISBLANK(I65),"",IF(ISBLANK(J65),"",LN(J65)-LN(I65)))</f>
        <v/>
      </c>
      <c r="K76" s="117" t="str">
        <f t="shared" si="29"/>
        <v/>
      </c>
      <c r="L76" s="117" t="str">
        <f t="shared" si="29"/>
        <v/>
      </c>
      <c r="M76" s="117" t="str">
        <f t="shared" si="29"/>
        <v/>
      </c>
      <c r="N76" s="117" t="str">
        <f t="shared" si="29"/>
        <v/>
      </c>
      <c r="O76" s="117">
        <f t="shared" si="29"/>
        <v>1.4088006745094361E-3</v>
      </c>
      <c r="P76" s="117">
        <f t="shared" si="29"/>
        <v>1.4068187469824522E-3</v>
      </c>
      <c r="Q76" s="117">
        <f t="shared" si="29"/>
        <v>1.4100171456146171E-3</v>
      </c>
      <c r="R76" s="117">
        <f t="shared" si="29"/>
        <v>1.4131992460573173E-3</v>
      </c>
      <c r="S76" s="117">
        <f t="shared" si="29"/>
        <v>1.4060447694390632E-3</v>
      </c>
      <c r="T76" s="117">
        <f t="shared" si="29"/>
        <v>1.3989176340505338E-3</v>
      </c>
    </row>
    <row r="77" spans="3:23" outlineLevel="1">
      <c r="C77" s="148" t="str">
        <f t="shared" si="27"/>
        <v>Ratcheted Maximum Demand (MW)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30">IF(ISBLANK(I66),"",IF(ISBLANK(J66),"",LN(J66)-LN(I66)))</f>
        <v/>
      </c>
      <c r="K77" s="117" t="str">
        <f t="shared" si="30"/>
        <v/>
      </c>
      <c r="L77" s="117" t="str">
        <f t="shared" si="30"/>
        <v/>
      </c>
      <c r="M77" s="117" t="str">
        <f t="shared" si="30"/>
        <v/>
      </c>
      <c r="N77" s="117" t="str">
        <f t="shared" si="30"/>
        <v/>
      </c>
      <c r="O77" s="117">
        <f t="shared" si="30"/>
        <v>0</v>
      </c>
      <c r="P77" s="117">
        <f t="shared" si="30"/>
        <v>0</v>
      </c>
      <c r="Q77" s="117">
        <f t="shared" si="30"/>
        <v>0</v>
      </c>
      <c r="R77" s="117">
        <f t="shared" si="30"/>
        <v>0</v>
      </c>
      <c r="S77" s="117">
        <f t="shared" si="30"/>
        <v>0</v>
      </c>
      <c r="T77" s="117">
        <f t="shared" si="30"/>
        <v>0</v>
      </c>
    </row>
    <row r="78" spans="3:23" outlineLevel="1">
      <c r="C78" s="148" t="str">
        <f t="shared" si="27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31">IF(ISBLANK(I67),"",IF(ISBLANK(J67),"",LN(J67)-LN(I67)))</f>
        <v/>
      </c>
      <c r="K78" s="117" t="str">
        <f t="shared" si="31"/>
        <v/>
      </c>
      <c r="L78" s="117" t="str">
        <f t="shared" si="31"/>
        <v/>
      </c>
      <c r="M78" s="117" t="str">
        <f t="shared" si="31"/>
        <v/>
      </c>
      <c r="N78" s="117" t="str">
        <f t="shared" si="31"/>
        <v/>
      </c>
      <c r="O78" s="117">
        <f t="shared" si="31"/>
        <v>-1.5695207239279085E-3</v>
      </c>
      <c r="P78" s="117">
        <f t="shared" si="31"/>
        <v>1.2207180278522856E-4</v>
      </c>
      <c r="Q78" s="117">
        <f t="shared" si="31"/>
        <v>-1.3354615840999173E-3</v>
      </c>
      <c r="R78" s="117">
        <f t="shared" si="31"/>
        <v>-1.9248970088217021E-3</v>
      </c>
      <c r="S78" s="117">
        <f t="shared" si="31"/>
        <v>2.5277041532323352E-3</v>
      </c>
      <c r="T78" s="117">
        <f t="shared" si="31"/>
        <v>2.2369827156722977E-3</v>
      </c>
    </row>
    <row r="79" spans="3:23" outlineLevel="1">
      <c r="C79" s="148">
        <f t="shared" si="27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32">IF(ISBLANK(I68),"",IF(ISBLANK(J68),"",LN(J68)-LN(I68)))</f>
        <v/>
      </c>
      <c r="K79" s="117" t="str">
        <f t="shared" si="32"/>
        <v/>
      </c>
      <c r="L79" s="117" t="str">
        <f t="shared" si="32"/>
        <v/>
      </c>
      <c r="M79" s="117" t="str">
        <f t="shared" si="32"/>
        <v/>
      </c>
      <c r="N79" s="117" t="str">
        <f t="shared" si="32"/>
        <v/>
      </c>
      <c r="O79" s="117" t="str">
        <f t="shared" si="32"/>
        <v/>
      </c>
      <c r="P79" s="117" t="str">
        <f t="shared" si="32"/>
        <v/>
      </c>
      <c r="Q79" s="117" t="str">
        <f t="shared" si="32"/>
        <v/>
      </c>
      <c r="R79" s="117" t="str">
        <f t="shared" si="32"/>
        <v/>
      </c>
      <c r="S79" s="117" t="str">
        <f t="shared" si="32"/>
        <v/>
      </c>
      <c r="T79" s="117" t="str">
        <f t="shared" si="32"/>
        <v/>
      </c>
    </row>
    <row r="80" spans="3:23" outlineLevel="1">
      <c r="C80" s="148">
        <f t="shared" si="27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33">IF(ISBLANK(I69),"",IF(ISBLANK(J69),"",LN(J69)-LN(I69)))</f>
        <v/>
      </c>
      <c r="K80" s="117" t="str">
        <f t="shared" si="33"/>
        <v/>
      </c>
      <c r="L80" s="117" t="str">
        <f t="shared" si="33"/>
        <v/>
      </c>
      <c r="M80" s="117" t="str">
        <f t="shared" si="33"/>
        <v/>
      </c>
      <c r="N80" s="117" t="str">
        <f t="shared" si="33"/>
        <v/>
      </c>
      <c r="O80" s="117" t="str">
        <f t="shared" si="33"/>
        <v/>
      </c>
      <c r="P80" s="117" t="str">
        <f t="shared" si="33"/>
        <v/>
      </c>
      <c r="Q80" s="117" t="str">
        <f t="shared" si="33"/>
        <v/>
      </c>
      <c r="R80" s="117" t="str">
        <f t="shared" si="33"/>
        <v/>
      </c>
      <c r="S80" s="117" t="str">
        <f t="shared" si="33"/>
        <v/>
      </c>
      <c r="T80" s="117" t="str">
        <f t="shared" si="33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175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6" t="s">
        <v>176</v>
      </c>
      <c r="K82" s="216" t="s">
        <v>177</v>
      </c>
      <c r="L82" s="216" t="s">
        <v>178</v>
      </c>
      <c r="M82" s="216" t="s">
        <v>179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105</v>
      </c>
      <c r="E84" s="30" t="s">
        <v>18</v>
      </c>
      <c r="F84" s="30" t="s">
        <v>36</v>
      </c>
      <c r="G84" s="32"/>
      <c r="H84" s="32"/>
      <c r="J84" s="60">
        <v>0.77131394182547641</v>
      </c>
      <c r="K84" s="60">
        <v>0.69699999999999995</v>
      </c>
      <c r="L84" s="60">
        <v>0.59840000000000004</v>
      </c>
      <c r="M84" s="60">
        <v>0.45800000000000002</v>
      </c>
      <c r="N84" s="193"/>
      <c r="O84" s="193"/>
      <c r="P84" s="193"/>
      <c r="Q84" s="193"/>
      <c r="R84" s="193"/>
      <c r="S84" s="193"/>
      <c r="T84" s="193"/>
    </row>
    <row r="85" spans="3:23" outlineLevel="1">
      <c r="C85" s="148" t="str">
        <f t="shared" ref="C85:C89" si="34">C65</f>
        <v>Circuit Length (km)</v>
      </c>
      <c r="D85" s="30" t="s">
        <v>105</v>
      </c>
      <c r="E85" s="30" t="s">
        <v>18</v>
      </c>
      <c r="F85" s="30" t="s">
        <v>36</v>
      </c>
      <c r="G85" s="32"/>
      <c r="H85" s="32"/>
      <c r="J85" s="60">
        <v>9.7291875626880645E-2</v>
      </c>
      <c r="K85" s="60">
        <v>0.112</v>
      </c>
      <c r="L85" s="60">
        <v>0.1123</v>
      </c>
      <c r="M85" s="60">
        <v>0.23799999999999999</v>
      </c>
      <c r="N85" s="193"/>
      <c r="O85" s="193"/>
      <c r="P85" s="193"/>
      <c r="Q85" s="193"/>
      <c r="R85" s="193"/>
      <c r="S85" s="193"/>
      <c r="T85" s="193"/>
    </row>
    <row r="86" spans="3:23" outlineLevel="1">
      <c r="C86" s="148" t="str">
        <f t="shared" si="34"/>
        <v>Ratcheted Maximum Demand (MW)</v>
      </c>
      <c r="D86" s="30" t="s">
        <v>105</v>
      </c>
      <c r="E86" s="30" t="s">
        <v>18</v>
      </c>
      <c r="F86" s="30" t="s">
        <v>36</v>
      </c>
      <c r="G86" s="32"/>
      <c r="H86" s="32"/>
      <c r="J86" s="60">
        <v>0.13139418254764293</v>
      </c>
      <c r="K86" s="60">
        <v>0.191</v>
      </c>
      <c r="L86" s="60">
        <v>0.28939999999999999</v>
      </c>
      <c r="M86" s="60">
        <v>0.17599999999999999</v>
      </c>
      <c r="N86" s="193"/>
      <c r="O86" s="193"/>
      <c r="P86" s="193"/>
      <c r="Q86" s="193"/>
      <c r="R86" s="193"/>
      <c r="S86" s="193"/>
      <c r="T86" s="193"/>
    </row>
    <row r="87" spans="3:23" outlineLevel="1">
      <c r="C87" s="148" t="str">
        <f t="shared" si="34"/>
        <v>Energy throughput (GWh)</v>
      </c>
      <c r="D87" s="30" t="s">
        <v>105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0.128</v>
      </c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34"/>
        <v>0</v>
      </c>
      <c r="D88" s="30" t="s">
        <v>105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34"/>
        <v>0</v>
      </c>
      <c r="D89" s="30" t="s">
        <v>105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3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Check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Check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180</v>
      </c>
      <c r="D93" s="32" t="s">
        <v>7</v>
      </c>
      <c r="E93" s="32" t="s">
        <v>8</v>
      </c>
      <c r="F93" s="32" t="s">
        <v>22</v>
      </c>
      <c r="J93" s="163" t="str">
        <f t="shared" ref="J93:T93" si="35">IF(YEAR(J$4)&gt;BaseYear,IF(YEAR(J$4)&lt;=FPLastYear,J$4,""),"")</f>
        <v/>
      </c>
      <c r="K93" s="163" t="str">
        <f t="shared" si="35"/>
        <v/>
      </c>
      <c r="L93" s="163" t="str">
        <f t="shared" si="35"/>
        <v/>
      </c>
      <c r="M93" s="163" t="str">
        <f t="shared" si="35"/>
        <v/>
      </c>
      <c r="N93" s="163" t="str">
        <f>IF(YEAR(N$4)&gt;BaseYear,IF(YEAR(N$4)&lt;=FPLastYear,N$4,""),"")</f>
        <v/>
      </c>
      <c r="O93" s="163">
        <f t="shared" si="35"/>
        <v>43617</v>
      </c>
      <c r="P93" s="163">
        <f t="shared" si="35"/>
        <v>43983</v>
      </c>
      <c r="Q93" s="163">
        <f t="shared" si="35"/>
        <v>44348</v>
      </c>
      <c r="R93" s="163">
        <f t="shared" si="35"/>
        <v>44713</v>
      </c>
      <c r="S93" s="163">
        <f t="shared" si="35"/>
        <v>45078</v>
      </c>
      <c r="T93" s="163">
        <f t="shared" si="35"/>
        <v>45444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36">IF(J$93=J$4,SUMPRODUCT(J$75:J$80,$J$84:$J$89),"")</f>
        <v/>
      </c>
      <c r="K95" s="117" t="str">
        <f t="shared" si="36"/>
        <v/>
      </c>
      <c r="L95" s="117" t="str">
        <f t="shared" si="36"/>
        <v/>
      </c>
      <c r="M95" s="117" t="str">
        <f t="shared" si="36"/>
        <v/>
      </c>
      <c r="N95" s="117" t="str">
        <f t="shared" si="36"/>
        <v/>
      </c>
      <c r="O95" s="117">
        <f t="shared" si="36"/>
        <v>7.6385427081695689E-3</v>
      </c>
      <c r="P95" s="117">
        <f t="shared" si="36"/>
        <v>7.3359375159258774E-3</v>
      </c>
      <c r="Q95" s="117">
        <f t="shared" si="36"/>
        <v>6.6998512094627984E-3</v>
      </c>
      <c r="R95" s="117">
        <f t="shared" si="36"/>
        <v>6.6104748461139123E-3</v>
      </c>
      <c r="S95" s="117">
        <f t="shared" si="36"/>
        <v>6.4761156545655261E-3</v>
      </c>
      <c r="T95" s="117">
        <f>IF(T$93=T$4,SUMPRODUCT(T$75:T$80,$J$84:$J$89),"")</f>
        <v>5.591377153203945E-3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37">IF(J$93=J$4,SUMPRODUCT(J$75:J$80,$K$84:$K$89),"")</f>
        <v/>
      </c>
      <c r="K96" s="117" t="str">
        <f t="shared" si="37"/>
        <v/>
      </c>
      <c r="L96" s="117" t="str">
        <f t="shared" si="37"/>
        <v/>
      </c>
      <c r="M96" s="117" t="str">
        <f t="shared" si="37"/>
        <v/>
      </c>
      <c r="N96" s="117" t="str">
        <f t="shared" si="37"/>
        <v/>
      </c>
      <c r="O96" s="117">
        <f t="shared" si="37"/>
        <v>6.9365171059592289E-3</v>
      </c>
      <c r="P96" s="117">
        <f t="shared" si="37"/>
        <v>6.6630193493236716E-3</v>
      </c>
      <c r="Q96" s="117">
        <f t="shared" si="37"/>
        <v>6.0882952036881936E-3</v>
      </c>
      <c r="R96" s="117">
        <f t="shared" si="37"/>
        <v>6.0076066341689304E-3</v>
      </c>
      <c r="S96" s="117">
        <f t="shared" si="37"/>
        <v>5.8860202815132854E-3</v>
      </c>
      <c r="T96" s="117">
        <f>IF(T$93=T$4,SUMPRODUCT(T$75:T$80,$K$84:$K$89),"")</f>
        <v>5.0863522260348277E-3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38">IF(J$93=J$4,SUMPRODUCT(J$75:J$80,$L$84:$L$89),"")</f>
        <v/>
      </c>
      <c r="K97" s="117" t="str">
        <f t="shared" si="38"/>
        <v/>
      </c>
      <c r="L97" s="117" t="str">
        <f t="shared" si="38"/>
        <v/>
      </c>
      <c r="M97" s="117" t="str">
        <f t="shared" si="38"/>
        <v/>
      </c>
      <c r="N97" s="117" t="str">
        <f t="shared" si="38"/>
        <v/>
      </c>
      <c r="O97" s="117">
        <f t="shared" si="38"/>
        <v>5.9779972511273824E-3</v>
      </c>
      <c r="P97" s="117">
        <f t="shared" si="38"/>
        <v>5.7431574249956329E-3</v>
      </c>
      <c r="Q97" s="117">
        <f t="shared" si="38"/>
        <v>5.2497873541099208E-3</v>
      </c>
      <c r="R97" s="117">
        <f t="shared" si="38"/>
        <v>5.1805646366758955E-3</v>
      </c>
      <c r="S97" s="117">
        <f t="shared" si="38"/>
        <v>5.0760628034673023E-3</v>
      </c>
      <c r="T97" s="117">
        <f>IF(T$93=T$4,SUMPRODUCT(T$75:T$80,$L$84:$L$89),"")</f>
        <v>4.3894034619122923E-3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39">IF(J$93=J$4,SUMPRODUCT(J$75:J$80,$M$84:$M$89),"")</f>
        <v/>
      </c>
      <c r="K98" s="117" t="str">
        <f t="shared" si="39"/>
        <v/>
      </c>
      <c r="L98" s="117" t="str">
        <f t="shared" si="39"/>
        <v/>
      </c>
      <c r="M98" s="117" t="str">
        <f t="shared" si="39"/>
        <v/>
      </c>
      <c r="N98" s="117" t="str">
        <f t="shared" si="39"/>
        <v/>
      </c>
      <c r="O98" s="117">
        <f t="shared" si="39"/>
        <v>4.5887129740536737E-3</v>
      </c>
      <c r="P98" s="117">
        <f t="shared" si="39"/>
        <v>4.625195093492465E-3</v>
      </c>
      <c r="Q98" s="117">
        <f t="shared" si="39"/>
        <v>4.0615043433545389E-3</v>
      </c>
      <c r="R98" s="117">
        <f t="shared" si="39"/>
        <v>3.9335591513859989E-3</v>
      </c>
      <c r="S98" s="117">
        <f t="shared" si="39"/>
        <v>4.42242125222078E-3</v>
      </c>
      <c r="T98" s="117">
        <f>IF(T$93=T$4,SUMPRODUCT(T$75:T$80,$M$84:$M$89),"")</f>
        <v>3.858573803688984E-3</v>
      </c>
      <c r="U98" s="24"/>
      <c r="W98" s="132"/>
    </row>
    <row r="99" spans="1:50" outlineLevel="1"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24"/>
      <c r="W99" s="132"/>
    </row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40">IF(YEAR(J$4)&gt;BaseYear,IF(YEAR(J$4)&lt;=FPLastYear,J$4,""),"")</f>
        <v/>
      </c>
      <c r="K102" s="163" t="str">
        <f t="shared" si="40"/>
        <v/>
      </c>
      <c r="L102" s="163" t="str">
        <f t="shared" si="40"/>
        <v/>
      </c>
      <c r="M102" s="163" t="str">
        <f t="shared" si="40"/>
        <v/>
      </c>
      <c r="N102" s="163" t="str">
        <f>IF(YEAR(N$4)&gt;BaseYear,IF(YEAR(N$4)&lt;=FPLastYear,N$4,""),"")</f>
        <v/>
      </c>
      <c r="O102" s="163">
        <f t="shared" si="40"/>
        <v>43617</v>
      </c>
      <c r="P102" s="163">
        <f t="shared" si="40"/>
        <v>43983</v>
      </c>
      <c r="Q102" s="163">
        <f t="shared" si="40"/>
        <v>44348</v>
      </c>
      <c r="R102" s="163">
        <f t="shared" si="40"/>
        <v>44713</v>
      </c>
      <c r="S102" s="163">
        <f t="shared" si="40"/>
        <v>45078</v>
      </c>
      <c r="T102" s="163">
        <f t="shared" si="40"/>
        <v>45444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105</v>
      </c>
      <c r="E104" s="30" t="str">
        <f>percent</f>
        <v>Per cent</v>
      </c>
      <c r="F104" s="30" t="s">
        <v>36</v>
      </c>
      <c r="G104" s="32"/>
      <c r="H104" s="32"/>
      <c r="J104" s="205"/>
      <c r="K104" s="194"/>
      <c r="L104" s="194"/>
      <c r="M104" s="194"/>
      <c r="N104" s="169"/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</row>
    <row r="105" spans="1:50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2"/>
      <c r="Q105" s="192"/>
      <c r="R105" s="192"/>
      <c r="S105" s="192"/>
      <c r="T105" s="192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41">IF(J102=J$4,IF(ISBLANK(J104),"Check","Ok"),"")</f>
        <v/>
      </c>
      <c r="K106" s="132" t="str">
        <f t="shared" si="41"/>
        <v/>
      </c>
      <c r="L106" s="132" t="str">
        <f t="shared" si="41"/>
        <v/>
      </c>
      <c r="M106" s="132" t="str">
        <f t="shared" si="41"/>
        <v/>
      </c>
      <c r="N106" s="132" t="str">
        <f t="shared" si="41"/>
        <v/>
      </c>
      <c r="O106" s="132" t="str">
        <f t="shared" si="41"/>
        <v>Ok</v>
      </c>
      <c r="P106" s="132" t="str">
        <f t="shared" si="41"/>
        <v>Ok</v>
      </c>
      <c r="Q106" s="132" t="str">
        <f t="shared" si="41"/>
        <v>Ok</v>
      </c>
      <c r="R106" s="132" t="str">
        <f t="shared" si="41"/>
        <v>Ok</v>
      </c>
      <c r="S106" s="132" t="str">
        <f t="shared" si="41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</sheetData>
  <mergeCells count="2">
    <mergeCell ref="K3:M3"/>
    <mergeCell ref="O3:T3"/>
  </mergeCells>
  <conditionalFormatting sqref="W1">
    <cfRule type="cellIs" dxfId="150" priority="118" operator="equal">
      <formula>"Check"</formula>
    </cfRule>
    <cfRule type="cellIs" dxfId="149" priority="119" operator="equal">
      <formula>"Ok"</formula>
    </cfRule>
  </conditionalFormatting>
  <conditionalFormatting sqref="T1">
    <cfRule type="cellIs" dxfId="148" priority="82" operator="equal">
      <formula>"Check"</formula>
    </cfRule>
    <cfRule type="cellIs" dxfId="147" priority="83" operator="equal">
      <formula>"Ok"</formula>
    </cfRule>
  </conditionalFormatting>
  <conditionalFormatting sqref="W58">
    <cfRule type="cellIs" dxfId="146" priority="70" operator="equal">
      <formula>"Check"</formula>
    </cfRule>
    <cfRule type="cellIs" dxfId="145" priority="71" operator="equal">
      <formula>"Ok"</formula>
    </cfRule>
  </conditionalFormatting>
  <conditionalFormatting sqref="W99">
    <cfRule type="cellIs" dxfId="144" priority="66" operator="equal">
      <formula>"Check"</formula>
    </cfRule>
    <cfRule type="cellIs" dxfId="143" priority="67" operator="equal">
      <formula>"Ok"</formula>
    </cfRule>
  </conditionalFormatting>
  <conditionalFormatting sqref="J58:T58">
    <cfRule type="cellIs" dxfId="142" priority="62" operator="equal">
      <formula>"Check"</formula>
    </cfRule>
    <cfRule type="cellIs" dxfId="141" priority="63" operator="equal">
      <formula>"Ok"</formula>
    </cfRule>
  </conditionalFormatting>
  <conditionalFormatting sqref="J34:T34">
    <cfRule type="expression" dxfId="140" priority="53">
      <formula>J$34=J$4</formula>
    </cfRule>
  </conditionalFormatting>
  <conditionalFormatting sqref="J43:M43 J37:O42 J36:T36 P37:T38">
    <cfRule type="expression" dxfId="139" priority="51">
      <formula>J$34=J$4</formula>
    </cfRule>
  </conditionalFormatting>
  <conditionalFormatting sqref="J50:N55 P52:T55 J49:M49 J56:M56">
    <cfRule type="expression" dxfId="138" priority="50">
      <formula>J$47=J$4</formula>
    </cfRule>
  </conditionalFormatting>
  <conditionalFormatting sqref="W106">
    <cfRule type="cellIs" dxfId="137" priority="44" operator="equal">
      <formula>"Check"</formula>
    </cfRule>
    <cfRule type="cellIs" dxfId="136" priority="45" operator="equal">
      <formula>"Ok"</formula>
    </cfRule>
  </conditionalFormatting>
  <conditionalFormatting sqref="J106:T106">
    <cfRule type="cellIs" dxfId="135" priority="42" operator="equal">
      <formula>"Check"</formula>
    </cfRule>
    <cfRule type="cellIs" dxfId="134" priority="43" operator="equal">
      <formula>"Ok"</formula>
    </cfRule>
  </conditionalFormatting>
  <conditionalFormatting sqref="W45">
    <cfRule type="cellIs" dxfId="133" priority="40" operator="equal">
      <formula>"Check"</formula>
    </cfRule>
    <cfRule type="cellIs" dxfId="132" priority="41" operator="equal">
      <formula>"Ok"</formula>
    </cfRule>
  </conditionalFormatting>
  <conditionalFormatting sqref="J45:T45">
    <cfRule type="cellIs" dxfId="131" priority="38" operator="equal">
      <formula>"Check"</formula>
    </cfRule>
    <cfRule type="cellIs" dxfId="130" priority="39" operator="equal">
      <formula>"Ok"</formula>
    </cfRule>
  </conditionalFormatting>
  <conditionalFormatting sqref="W71">
    <cfRule type="cellIs" dxfId="129" priority="36" operator="equal">
      <formula>"Check"</formula>
    </cfRule>
    <cfRule type="cellIs" dxfId="128" priority="37" operator="equal">
      <formula>"Ok"</formula>
    </cfRule>
  </conditionalFormatting>
  <conditionalFormatting sqref="J71:T71">
    <cfRule type="cellIs" dxfId="127" priority="34" operator="equal">
      <formula>"Check"</formula>
    </cfRule>
    <cfRule type="cellIs" dxfId="126" priority="35" operator="equal">
      <formula>"Ok"</formula>
    </cfRule>
  </conditionalFormatting>
  <conditionalFormatting sqref="J99:T99">
    <cfRule type="cellIs" dxfId="125" priority="29" operator="equal">
      <formula>"Check"</formula>
    </cfRule>
    <cfRule type="cellIs" dxfId="124" priority="30" operator="equal">
      <formula>"Ok"</formula>
    </cfRule>
  </conditionalFormatting>
  <conditionalFormatting sqref="J62:T62">
    <cfRule type="expression" dxfId="123" priority="28">
      <formula>J$62=J$4</formula>
    </cfRule>
  </conditionalFormatting>
  <conditionalFormatting sqref="J64:L66 J67:T69">
    <cfRule type="expression" dxfId="122" priority="26">
      <formula>J$62=J$4</formula>
    </cfRule>
  </conditionalFormatting>
  <conditionalFormatting sqref="J47:T47">
    <cfRule type="expression" dxfId="121" priority="23">
      <formula>J$34=J$4</formula>
    </cfRule>
  </conditionalFormatting>
  <conditionalFormatting sqref="J73:M73 O73:T73">
    <cfRule type="expression" dxfId="120" priority="22">
      <formula>J$34=J$4</formula>
    </cfRule>
  </conditionalFormatting>
  <conditionalFormatting sqref="J102:T102">
    <cfRule type="expression" dxfId="119" priority="21">
      <formula>J$34=J$4</formula>
    </cfRule>
  </conditionalFormatting>
  <conditionalFormatting sqref="J25:T30">
    <cfRule type="cellIs" dxfId="118" priority="19" operator="equal">
      <formula>0</formula>
    </cfRule>
  </conditionalFormatting>
  <conditionalFormatting sqref="J16:T21">
    <cfRule type="cellIs" dxfId="117" priority="18" operator="equal">
      <formula>0</formula>
    </cfRule>
  </conditionalFormatting>
  <conditionalFormatting sqref="P39:T43 N43:O43">
    <cfRule type="expression" dxfId="116" priority="15">
      <formula>N$34=N$4</formula>
    </cfRule>
  </conditionalFormatting>
  <conditionalFormatting sqref="N73">
    <cfRule type="expression" dxfId="115" priority="8">
      <formula>N$62=N$4</formula>
    </cfRule>
  </conditionalFormatting>
  <conditionalFormatting sqref="O52:O55">
    <cfRule type="expression" dxfId="114" priority="7">
      <formula>O$47=O$4</formula>
    </cfRule>
  </conditionalFormatting>
  <conditionalFormatting sqref="W91:W98">
    <cfRule type="cellIs" dxfId="113" priority="5" operator="equal">
      <formula>"Check"</formula>
    </cfRule>
    <cfRule type="cellIs" dxfId="112" priority="6" operator="equal">
      <formula>"Ok"</formula>
    </cfRule>
  </conditionalFormatting>
  <conditionalFormatting sqref="K84:M89">
    <cfRule type="expression" dxfId="111" priority="4">
      <formula>K$82=K$4</formula>
    </cfRule>
  </conditionalFormatting>
  <conditionalFormatting sqref="J91:T92 J94:T94">
    <cfRule type="cellIs" dxfId="110" priority="2" operator="equal">
      <formula>"Check"</formula>
    </cfRule>
    <cfRule type="cellIs" dxfId="109" priority="3" operator="equal">
      <formula>"Ok"</formula>
    </cfRule>
  </conditionalFormatting>
  <conditionalFormatting sqref="J93:T93">
    <cfRule type="expression" dxfId="108" priority="1">
      <formula>J$93=J$4</formula>
    </cfRule>
  </conditionalFormatting>
  <conditionalFormatting sqref="J104:T104">
    <cfRule type="expression" dxfId="107" priority="147">
      <formula>J$102=J$4</formula>
    </cfRule>
  </conditionalFormatting>
  <dataValidations count="2">
    <dataValidation type="list" allowBlank="1" showInputMessage="1" showErrorMessage="1" sqref="F107 F72 F81">
      <formula1>#REF!</formula1>
    </dataValidation>
    <dataValidation type="list" allowBlank="1" showInputMessage="1" showErrorMessage="1" sqref="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topLeftCell="A4" workbookViewId="0">
      <selection activeCell="J38" sqref="J3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Check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8" t="s">
        <v>121</v>
      </c>
      <c r="K3" s="172"/>
      <c r="L3" s="172"/>
      <c r="M3" s="182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213" t="s">
        <v>181</v>
      </c>
      <c r="D12" s="30" t="s">
        <v>73</v>
      </c>
      <c r="E12" s="150" t="s">
        <v>15</v>
      </c>
      <c r="F12" s="171">
        <v>43617</v>
      </c>
      <c r="G12" s="32"/>
      <c r="H12" s="32"/>
      <c r="J12" s="152"/>
      <c r="K12" s="152"/>
      <c r="L12" s="152"/>
      <c r="M12" s="152"/>
      <c r="N12" s="152"/>
      <c r="O12" s="170">
        <v>22.625995231605142</v>
      </c>
      <c r="P12" s="170">
        <v>9.5309621473151456</v>
      </c>
      <c r="Q12" s="170">
        <v>-2.7301805778496369</v>
      </c>
      <c r="R12" s="170">
        <v>-25.948252670481697</v>
      </c>
      <c r="S12" s="170">
        <v>-49.92367464873707</v>
      </c>
    </row>
    <row r="13" spans="1:47" outlineLevel="1">
      <c r="C13" s="213"/>
      <c r="D13" s="30" t="s">
        <v>73</v>
      </c>
      <c r="E13" s="150" t="s">
        <v>15</v>
      </c>
      <c r="F13" s="171">
        <v>43617</v>
      </c>
      <c r="G13" s="32"/>
      <c r="H13" s="32"/>
      <c r="J13" s="152"/>
      <c r="K13" s="152"/>
      <c r="L13" s="152"/>
      <c r="M13" s="152"/>
      <c r="N13" s="152"/>
      <c r="O13" s="170"/>
      <c r="P13" s="170"/>
      <c r="Q13" s="170"/>
      <c r="R13" s="170"/>
      <c r="S13" s="170"/>
    </row>
    <row r="14" spans="1:47" outlineLevel="1">
      <c r="C14" s="213"/>
      <c r="D14" s="30" t="s">
        <v>73</v>
      </c>
      <c r="E14" s="150" t="s">
        <v>15</v>
      </c>
      <c r="F14" s="171">
        <v>43617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</row>
    <row r="15" spans="1:47" outlineLevel="1">
      <c r="C15" s="213"/>
      <c r="D15" s="30" t="s">
        <v>73</v>
      </c>
      <c r="E15" s="150" t="s">
        <v>15</v>
      </c>
      <c r="F15" s="171">
        <v>43617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</row>
    <row r="16" spans="1:47" outlineLevel="1">
      <c r="C16" s="213"/>
      <c r="D16" s="30" t="s">
        <v>73</v>
      </c>
      <c r="E16" s="150" t="s">
        <v>15</v>
      </c>
      <c r="F16" s="171">
        <v>43617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73</v>
      </c>
      <c r="E17" s="150" t="s">
        <v>15</v>
      </c>
      <c r="F17" s="171">
        <v>43617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73</v>
      </c>
      <c r="E18" s="150" t="s">
        <v>15</v>
      </c>
      <c r="F18" s="171">
        <v>43617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73</v>
      </c>
      <c r="E19" s="150" t="s">
        <v>15</v>
      </c>
      <c r="F19" s="171">
        <v>43617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73</v>
      </c>
      <c r="E20" s="150" t="s">
        <v>15</v>
      </c>
      <c r="F20" s="171">
        <v>43617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113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1">
        <v>43617</v>
      </c>
      <c r="G28" s="32"/>
      <c r="H28" s="32"/>
      <c r="J28" s="152"/>
      <c r="K28" s="152"/>
      <c r="L28" s="152"/>
      <c r="M28" s="152"/>
      <c r="N28" s="170"/>
      <c r="O28" s="170"/>
      <c r="P28" s="170"/>
      <c r="Q28" s="170"/>
      <c r="R28" s="170"/>
      <c r="S28" s="170"/>
    </row>
    <row r="29" spans="1:47" outlineLevel="1">
      <c r="C29" s="61"/>
      <c r="D29" s="30" t="s">
        <v>73</v>
      </c>
      <c r="E29" s="150" t="s">
        <v>15</v>
      </c>
      <c r="F29" s="171">
        <v>43617</v>
      </c>
      <c r="G29" s="32"/>
      <c r="H29" s="32"/>
      <c r="J29" s="152"/>
      <c r="K29" s="152"/>
      <c r="L29" s="152"/>
      <c r="M29" s="152"/>
      <c r="N29" s="170"/>
      <c r="O29" s="170"/>
      <c r="P29" s="170"/>
      <c r="Q29" s="170"/>
      <c r="R29" s="170"/>
      <c r="S29" s="170"/>
    </row>
    <row r="30" spans="1:47" outlineLevel="1">
      <c r="C30" s="61"/>
      <c r="D30" s="30" t="s">
        <v>73</v>
      </c>
      <c r="E30" s="150" t="s">
        <v>15</v>
      </c>
      <c r="F30" s="171">
        <v>43617</v>
      </c>
      <c r="G30" s="32"/>
      <c r="H30" s="32"/>
      <c r="J30" s="152"/>
      <c r="K30" s="152"/>
      <c r="L30" s="152"/>
      <c r="M30" s="152"/>
      <c r="N30" s="170"/>
      <c r="O30" s="170"/>
      <c r="P30" s="170"/>
      <c r="Q30" s="170"/>
      <c r="R30" s="170"/>
      <c r="S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0">
        <f>DATE(PPLastYear,MONTH('Input|General'!$G$9),1)</f>
        <v>43617</v>
      </c>
      <c r="G38" s="32"/>
      <c r="H38" s="32"/>
      <c r="J38" s="170"/>
      <c r="K38" s="170"/>
      <c r="L38" s="170"/>
      <c r="M38" s="170"/>
      <c r="N38" s="170"/>
      <c r="O38" s="170">
        <v>4.0703484017579399</v>
      </c>
      <c r="P38" s="170">
        <v>4.1784701446184567</v>
      </c>
      <c r="Q38" s="170">
        <v>4.2259857300971175</v>
      </c>
      <c r="R38" s="170">
        <v>4.2615673354222778</v>
      </c>
      <c r="S38" s="170">
        <v>4.2791328565787579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06" priority="28" operator="equal">
      <formula>"Check"</formula>
    </cfRule>
    <cfRule type="cellIs" dxfId="105" priority="29" operator="equal">
      <formula>"Ok"</formula>
    </cfRule>
  </conditionalFormatting>
  <conditionalFormatting sqref="V1">
    <cfRule type="cellIs" dxfId="104" priority="30" operator="equal">
      <formula>"Check"</formula>
    </cfRule>
    <cfRule type="cellIs" dxfId="103" priority="31" operator="equal">
      <formula>"Ok"</formula>
    </cfRule>
  </conditionalFormatting>
  <conditionalFormatting sqref="J10:S10">
    <cfRule type="expression" dxfId="102" priority="26">
      <formula>J$10=J$4</formula>
    </cfRule>
  </conditionalFormatting>
  <conditionalFormatting sqref="J17:S20 J12:N16">
    <cfRule type="expression" dxfId="101" priority="25">
      <formula>J$10=J$4</formula>
    </cfRule>
  </conditionalFormatting>
  <conditionalFormatting sqref="W22">
    <cfRule type="cellIs" dxfId="100" priority="21" operator="equal">
      <formula>"Check"</formula>
    </cfRule>
    <cfRule type="cellIs" dxfId="99" priority="22" operator="equal">
      <formula>"Ok"</formula>
    </cfRule>
  </conditionalFormatting>
  <conditionalFormatting sqref="J22:T22">
    <cfRule type="cellIs" dxfId="98" priority="19" operator="equal">
      <formula>"Check"</formula>
    </cfRule>
    <cfRule type="cellIs" dxfId="97" priority="20" operator="equal">
      <formula>"Ok"</formula>
    </cfRule>
  </conditionalFormatting>
  <conditionalFormatting sqref="W32">
    <cfRule type="cellIs" dxfId="96" priority="17" operator="equal">
      <formula>"Check"</formula>
    </cfRule>
    <cfRule type="cellIs" dxfId="95" priority="18" operator="equal">
      <formula>"Ok"</formula>
    </cfRule>
  </conditionalFormatting>
  <conditionalFormatting sqref="J32:T32">
    <cfRule type="cellIs" dxfId="94" priority="15" operator="equal">
      <formula>"Check"</formula>
    </cfRule>
    <cfRule type="cellIs" dxfId="93" priority="16" operator="equal">
      <formula>"Ok"</formula>
    </cfRule>
  </conditionalFormatting>
  <conditionalFormatting sqref="J28:M30 O29:S30">
    <cfRule type="expression" dxfId="92" priority="14">
      <formula>J$26=J$4</formula>
    </cfRule>
  </conditionalFormatting>
  <conditionalFormatting sqref="W40">
    <cfRule type="cellIs" dxfId="91" priority="12" operator="equal">
      <formula>"Check"</formula>
    </cfRule>
    <cfRule type="cellIs" dxfId="90" priority="13" operator="equal">
      <formula>"Ok"</formula>
    </cfRule>
  </conditionalFormatting>
  <conditionalFormatting sqref="J40:T40">
    <cfRule type="cellIs" dxfId="89" priority="10" operator="equal">
      <formula>"Check"</formula>
    </cfRule>
    <cfRule type="cellIs" dxfId="88" priority="11" operator="equal">
      <formula>"Ok"</formula>
    </cfRule>
  </conditionalFormatting>
  <conditionalFormatting sqref="O28:S28">
    <cfRule type="expression" dxfId="87" priority="9">
      <formula>O$10=O$4</formula>
    </cfRule>
  </conditionalFormatting>
  <conditionalFormatting sqref="N28:N30">
    <cfRule type="expression" dxfId="86" priority="8">
      <formula>N$10=N$4</formula>
    </cfRule>
  </conditionalFormatting>
  <conditionalFormatting sqref="J38:N38">
    <cfRule type="expression" dxfId="85" priority="5">
      <formula>J$36=J$4</formula>
    </cfRule>
  </conditionalFormatting>
  <conditionalFormatting sqref="J26:S26">
    <cfRule type="expression" dxfId="84" priority="4">
      <formula>J$10=J$4</formula>
    </cfRule>
  </conditionalFormatting>
  <conditionalFormatting sqref="J36:S36">
    <cfRule type="expression" dxfId="83" priority="3">
      <formula>J$10=J$4</formula>
    </cfRule>
  </conditionalFormatting>
  <conditionalFormatting sqref="O12:S16">
    <cfRule type="expression" dxfId="82" priority="2">
      <formula>O$10=O$4</formula>
    </cfRule>
  </conditionalFormatting>
  <conditionalFormatting sqref="O38:S38">
    <cfRule type="expression" dxfId="81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7" zoomScaleNormal="100" workbookViewId="0">
      <selection activeCell="M22" sqref="M2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Check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121</v>
      </c>
      <c r="K3" s="172"/>
      <c r="L3" s="172"/>
      <c r="M3" s="182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162</v>
      </c>
      <c r="D12" s="108" t="s">
        <v>96</v>
      </c>
      <c r="E12" s="30" t="str">
        <f>'Input|Reported opex'!E53</f>
        <v>$millions</v>
      </c>
      <c r="F12" s="161">
        <f>'Input|Reported opex'!F37</f>
        <v>43617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350.09036874602492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162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350.09036874602492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/>
      <c r="D14" s="110"/>
      <c r="F14" s="161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47" outlineLevel="1">
      <c r="C15" s="106" t="s">
        <v>163</v>
      </c>
      <c r="D15" s="108" t="s">
        <v>96</v>
      </c>
      <c r="E15" s="30" t="str">
        <f>'Input|Reported opex'!E60</f>
        <v>$millions</v>
      </c>
      <c r="F15" s="161">
        <f>'Input|Reported opex'!F53</f>
        <v>43617</v>
      </c>
      <c r="J15" s="109">
        <f>IF(YEAR(J$4)=BaseYear,'Input|Reported opex'!J53,0)</f>
        <v>0</v>
      </c>
      <c r="K15" s="109">
        <f>IF(YEAR(K$4)=BaseYear,'Input|Reported opex'!K53,0)</f>
        <v>0</v>
      </c>
      <c r="L15" s="109">
        <f>IF(YEAR(L$4)=BaseYear,'Input|Reported opex'!L53,0)</f>
        <v>0</v>
      </c>
      <c r="M15" s="109">
        <f>IF(YEAR(M$4)=BaseYear,'Input|Reported opex'!M53,0)</f>
        <v>0</v>
      </c>
      <c r="N15" s="109">
        <f>IF(YEAR(N$4)=BaseYear,'Input|Reported opex'!N53,0)</f>
        <v>0</v>
      </c>
      <c r="O15" s="109">
        <f>IF(YEAR(O$4)=BaseYear,'Input|Reported opex'!O53,0)</f>
        <v>0</v>
      </c>
      <c r="P15" s="109">
        <f>IF(YEAR(P$4)=BaseYear,'Input|Reported opex'!P53,0)</f>
        <v>0</v>
      </c>
      <c r="Q15" s="109">
        <f>IF(YEAR(Q$4)=BaseYear,'Input|Reported opex'!Q53,0)</f>
        <v>0</v>
      </c>
      <c r="R15" s="109">
        <f>IF(YEAR(R$4)=BaseYear,'Input|Reported opex'!R53,0)</f>
        <v>0</v>
      </c>
      <c r="S15" s="109">
        <f>IF(YEAR(S$4)=BaseYear,'Input|Reported opex'!S53,0)</f>
        <v>0</v>
      </c>
    </row>
    <row r="16" spans="1:47" outlineLevel="1">
      <c r="C16" s="106" t="s">
        <v>163</v>
      </c>
      <c r="D16" s="110" t="s">
        <v>30</v>
      </c>
      <c r="E16" s="30" t="str">
        <f>$E$8</f>
        <v>$millions</v>
      </c>
      <c r="F16" s="161">
        <f>$F$8</f>
        <v>43617</v>
      </c>
      <c r="J16" s="109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109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09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109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109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109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109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109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109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109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111"/>
      <c r="F17" s="112"/>
      <c r="J17" s="173"/>
      <c r="K17" s="173"/>
      <c r="L17" s="173"/>
      <c r="M17" s="173"/>
      <c r="N17" s="173"/>
      <c r="O17" s="173"/>
      <c r="P17" s="173"/>
      <c r="Q17" s="173"/>
      <c r="R17" s="173"/>
      <c r="S17" s="173"/>
    </row>
    <row r="18" spans="3:19" outlineLevel="1">
      <c r="C18" s="113" t="s">
        <v>139</v>
      </c>
      <c r="D18" s="114" t="s">
        <v>30</v>
      </c>
      <c r="E18" s="114" t="str">
        <f>$E$8</f>
        <v>$millions</v>
      </c>
      <c r="F18" s="161">
        <f>$F$8</f>
        <v>43617</v>
      </c>
      <c r="J18" s="115">
        <f t="shared" ref="J18:S18" si="1">J13</f>
        <v>0</v>
      </c>
      <c r="K18" s="115">
        <f t="shared" si="1"/>
        <v>0</v>
      </c>
      <c r="L18" s="115">
        <f t="shared" si="1"/>
        <v>0</v>
      </c>
      <c r="M18" s="115">
        <f t="shared" si="1"/>
        <v>350.09036874602492</v>
      </c>
      <c r="N18" s="115">
        <f t="shared" si="1"/>
        <v>0</v>
      </c>
      <c r="O18" s="115">
        <f t="shared" si="1"/>
        <v>0</v>
      </c>
      <c r="P18" s="115">
        <f t="shared" si="1"/>
        <v>0</v>
      </c>
      <c r="Q18" s="115">
        <f t="shared" si="1"/>
        <v>0</v>
      </c>
      <c r="R18" s="115">
        <f t="shared" si="1"/>
        <v>0</v>
      </c>
      <c r="S18" s="115">
        <f t="shared" si="1"/>
        <v>0</v>
      </c>
    </row>
    <row r="19" spans="3:19" outlineLevel="1">
      <c r="C19" s="123"/>
      <c r="D19" s="110"/>
      <c r="E19" s="110"/>
      <c r="F19" s="161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spans="3:19" outlineLevel="1">
      <c r="C20" s="123" t="s">
        <v>172</v>
      </c>
      <c r="D20" s="110" t="s">
        <v>30</v>
      </c>
      <c r="E20" s="110" t="str">
        <f>$E$8</f>
        <v>$millions</v>
      </c>
      <c r="F20" s="161">
        <f>$F$8</f>
        <v>43617</v>
      </c>
      <c r="J20" s="115">
        <f>-J16</f>
        <v>0</v>
      </c>
      <c r="K20" s="115">
        <f>-K16</f>
        <v>0</v>
      </c>
      <c r="L20" s="115">
        <f>-L16</f>
        <v>0</v>
      </c>
      <c r="M20" s="115">
        <f>-M16</f>
        <v>0</v>
      </c>
      <c r="N20" s="115">
        <f>-N16</f>
        <v>0</v>
      </c>
      <c r="O20" s="115">
        <f>IF(YEAR(O$4)=PPLastYear,SUM($J16:$S16)-SUM(#REF!)+SUM(#REF!),0)</f>
        <v>0</v>
      </c>
      <c r="P20" s="115">
        <f>IF(YEAR(P$4)=PPLastYear,SUM($J16:$S16)-SUM(#REF!)+SUM(#REF!),0)</f>
        <v>0</v>
      </c>
      <c r="Q20" s="115">
        <f>IF(YEAR(Q$4)=PPLastYear,SUM($J16:$S16)-SUM(#REF!)+SUM(#REF!),0)</f>
        <v>0</v>
      </c>
      <c r="R20" s="115">
        <f>IF(YEAR(R$4)=PPLastYear,SUM($J16:$S16)-SUM(#REF!)+SUM(#REF!),0)</f>
        <v>0</v>
      </c>
      <c r="S20" s="115">
        <f>IF(YEAR(S$4)=PPLastYear,SUM($J16:$S16)-SUM(#REF!)+SUM(#REF!),0)</f>
        <v>0</v>
      </c>
    </row>
    <row r="21" spans="3:19" outlineLevel="1">
      <c r="C21" s="123"/>
      <c r="D21" s="110"/>
      <c r="E21" s="110"/>
      <c r="F21" s="161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3:19" outlineLevel="1">
      <c r="C22" s="123" t="str">
        <f>'Input|Reported opex'!$C$59</f>
        <v>Remove one-off and normalise</v>
      </c>
      <c r="D22" s="108" t="s">
        <v>96</v>
      </c>
      <c r="E22" s="110" t="str">
        <f>'Input|Reported opex'!E59</f>
        <v>$millions</v>
      </c>
      <c r="F22" s="161">
        <f>'Input|Reported opex'!F59</f>
        <v>43617</v>
      </c>
      <c r="J22" s="109">
        <f>IF(YEAR(J$4)=BaseYear,'Input|Reported opex'!J59,0)</f>
        <v>0</v>
      </c>
      <c r="K22" s="109">
        <f>IF(YEAR(K$4)=BaseYear,'Input|Reported opex'!K59,0)</f>
        <v>0</v>
      </c>
      <c r="L22" s="109">
        <f>IF(YEAR(L$4)=BaseYear,'Input|Reported opex'!L59,0)</f>
        <v>0</v>
      </c>
      <c r="M22" s="109">
        <f>IF(YEAR(M$4)=BaseYear,'Input|Reported opex'!M59,0)</f>
        <v>-1.2460631902966384</v>
      </c>
      <c r="N22" s="109">
        <f>IF(YEAR(N$4)=BaseYear,'Input|Reported opex'!N59,0)</f>
        <v>0</v>
      </c>
      <c r="O22" s="109">
        <f>IF(YEAR(O$4)=BaseYear,'Input|Reported opex'!O59,0)</f>
        <v>0</v>
      </c>
      <c r="P22" s="109">
        <f>IF(YEAR(P$4)=BaseYear,'Input|Reported opex'!P59,0)</f>
        <v>0</v>
      </c>
      <c r="Q22" s="109">
        <f>IF(YEAR(Q$4)=BaseYear,'Input|Reported opex'!Q59,0)</f>
        <v>0</v>
      </c>
      <c r="R22" s="109">
        <f>IF(YEAR(R$4)=BaseYear,'Input|Reported opex'!R59,0)</f>
        <v>0</v>
      </c>
      <c r="S22" s="109">
        <f>IF(YEAR(S$4)=BaseYear,'Input|Reported opex'!S59,0)</f>
        <v>0</v>
      </c>
    </row>
    <row r="23" spans="3:19" outlineLevel="1">
      <c r="C23" s="123" t="str">
        <f>C22</f>
        <v>Remove one-off and normalise</v>
      </c>
      <c r="D23" s="110" t="s">
        <v>30</v>
      </c>
      <c r="E23" s="30" t="str">
        <f>$E$8</f>
        <v>$millions</v>
      </c>
      <c r="F23" s="161">
        <f>$F$8</f>
        <v>43617</v>
      </c>
      <c r="J23" s="115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115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115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115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-1.2460631902966384</v>
      </c>
      <c r="N23" s="153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115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115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115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115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115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123"/>
      <c r="D24" s="110"/>
      <c r="F24" s="161"/>
      <c r="J24" s="115"/>
      <c r="K24" s="115"/>
      <c r="L24" s="115"/>
      <c r="M24" s="115"/>
      <c r="N24" s="115"/>
      <c r="O24" s="115"/>
      <c r="P24" s="115"/>
      <c r="Q24" s="115"/>
      <c r="R24" s="109"/>
      <c r="S24" s="109"/>
    </row>
    <row r="25" spans="3:19" outlineLevel="1">
      <c r="C25" s="123">
        <f>'Input|Reported opex'!$C$60</f>
        <v>0</v>
      </c>
      <c r="D25" s="108" t="s">
        <v>96</v>
      </c>
      <c r="E25" s="30" t="str">
        <f>'Input|Reported opex'!$E$60</f>
        <v>$millions</v>
      </c>
      <c r="F25" s="161">
        <f>'Input|Reported opex'!$F$60</f>
        <v>42887</v>
      </c>
      <c r="J25" s="109">
        <f>IF(YEAR(J$4)=BaseYear,'Input|Reported opex'!J60,0)</f>
        <v>0</v>
      </c>
      <c r="K25" s="109">
        <f>IF(YEAR(K$4)=BaseYear,'Input|Reported opex'!K60,0)</f>
        <v>0</v>
      </c>
      <c r="L25" s="109">
        <f>IF(YEAR(L$4)=BaseYear,'Input|Reported opex'!L60,0)</f>
        <v>0</v>
      </c>
      <c r="M25" s="109">
        <f>IF(YEAR(M$4)=BaseYear,'Input|Reported opex'!M60,0)</f>
        <v>0</v>
      </c>
      <c r="N25" s="109">
        <f>IF(YEAR(N$4)=BaseYear,'Input|Reported opex'!N60,0)</f>
        <v>0</v>
      </c>
      <c r="O25" s="109">
        <f>IF(YEAR(O$4)=BaseYear,'Input|Reported opex'!O60,0)</f>
        <v>0</v>
      </c>
      <c r="P25" s="109">
        <f>IF(YEAR(P$4)=BaseYear,'Input|Reported opex'!P60,0)</f>
        <v>0</v>
      </c>
      <c r="Q25" s="109">
        <f>IF(YEAR(Q$4)=BaseYear,'Input|Reported opex'!Q60,0)</f>
        <v>0</v>
      </c>
      <c r="R25" s="109">
        <f>IF(YEAR(R$4)=BaseYear,'Input|Reported opex'!R60,0)</f>
        <v>0</v>
      </c>
      <c r="S25" s="109">
        <f>IF(YEAR(S$4)=BaseYear,'Input|Reported opex'!S60,0)</f>
        <v>0</v>
      </c>
    </row>
    <row r="26" spans="3:19" outlineLevel="1">
      <c r="C26" s="123">
        <f>C25</f>
        <v>0</v>
      </c>
      <c r="D26" s="110" t="s">
        <v>30</v>
      </c>
      <c r="E26" s="30" t="str">
        <f>$E$8</f>
        <v>$millions</v>
      </c>
      <c r="F26" s="161">
        <f>$F$8</f>
        <v>43617</v>
      </c>
      <c r="J26" s="115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115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115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115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N26" s="153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115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115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115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115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115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123"/>
      <c r="D27" s="110"/>
      <c r="F27" s="161"/>
      <c r="J27" s="115"/>
      <c r="K27" s="115"/>
      <c r="L27" s="115"/>
      <c r="M27" s="115"/>
      <c r="N27" s="115"/>
      <c r="O27" s="115"/>
      <c r="P27" s="115"/>
      <c r="Q27" s="115"/>
      <c r="R27" s="109"/>
      <c r="S27" s="109"/>
    </row>
    <row r="28" spans="3:19" outlineLevel="1">
      <c r="C28" s="123">
        <f>'Input|Reported opex'!$C$61</f>
        <v>0</v>
      </c>
      <c r="D28" s="108" t="s">
        <v>96</v>
      </c>
      <c r="E28" s="30" t="str">
        <f>'Input|Reported opex'!$E$61</f>
        <v>$millions</v>
      </c>
      <c r="F28" s="161">
        <f>'Input|Reported opex'!$F$61</f>
        <v>42522</v>
      </c>
      <c r="J28" s="109">
        <f>IF(YEAR(J$4)=BaseYear,'Input|Reported opex'!J61,0)</f>
        <v>0</v>
      </c>
      <c r="K28" s="109">
        <f>IF(YEAR(K$4)=BaseYear,'Input|Reported opex'!K61,0)</f>
        <v>0</v>
      </c>
      <c r="L28" s="109">
        <f>IF(YEAR(L$4)=BaseYear,'Input|Reported opex'!L61,0)</f>
        <v>0</v>
      </c>
      <c r="M28" s="109">
        <f>IF(YEAR(M$4)=BaseYear,'Input|Reported opex'!M61,0)</f>
        <v>0</v>
      </c>
      <c r="N28" s="109">
        <f>IF(YEAR(N$4)=BaseYear,'Input|Reported opex'!N61,0)</f>
        <v>0</v>
      </c>
      <c r="O28" s="109">
        <f>IF(YEAR(O$4)=BaseYear,'Input|Reported opex'!O61,0)</f>
        <v>0</v>
      </c>
      <c r="P28" s="109">
        <f>IF(YEAR(P$4)=BaseYear,'Input|Reported opex'!P61,0)</f>
        <v>0</v>
      </c>
      <c r="Q28" s="109">
        <f>IF(YEAR(Q$4)=BaseYear,'Input|Reported opex'!Q61,0)</f>
        <v>0</v>
      </c>
      <c r="R28" s="109">
        <f>IF(YEAR(R$4)=BaseYear,'Input|Reported opex'!R61,0)</f>
        <v>0</v>
      </c>
      <c r="S28" s="109">
        <f>IF(YEAR(S$4)=BaseYear,'Input|Reported opex'!S61,0)</f>
        <v>0</v>
      </c>
    </row>
    <row r="29" spans="3:19" outlineLevel="1">
      <c r="C29" s="123">
        <f>C28</f>
        <v>0</v>
      </c>
      <c r="D29" s="110" t="s">
        <v>30</v>
      </c>
      <c r="E29" s="3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53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F30" s="161"/>
      <c r="J30" s="115"/>
      <c r="K30" s="115"/>
      <c r="L30" s="115"/>
      <c r="M30" s="115"/>
      <c r="N30" s="115"/>
      <c r="O30" s="115"/>
      <c r="P30" s="115"/>
      <c r="Q30" s="115"/>
      <c r="R30" s="109"/>
      <c r="S30" s="109"/>
    </row>
    <row r="31" spans="3:19" outlineLevel="1">
      <c r="C31" s="123">
        <f>'Input|Reported opex'!$C$62</f>
        <v>0</v>
      </c>
      <c r="D31" s="108" t="s">
        <v>96</v>
      </c>
      <c r="E31" s="30" t="str">
        <f>'Input|Reported opex'!$E$62</f>
        <v>$millions</v>
      </c>
      <c r="F31" s="161">
        <f>'Input|Reported opex'!$F$62</f>
        <v>42522</v>
      </c>
      <c r="J31" s="109">
        <f>IF(YEAR(J$4)=BaseYear,'Input|Reported opex'!J62,0)</f>
        <v>0</v>
      </c>
      <c r="K31" s="109">
        <f>IF(YEAR(K$4)=BaseYear,'Input|Reported opex'!K62,0)</f>
        <v>0</v>
      </c>
      <c r="L31" s="109">
        <f>IF(YEAR(L$4)=BaseYear,'Input|Reported opex'!L62,0)</f>
        <v>0</v>
      </c>
      <c r="M31" s="109">
        <f>IF(YEAR(M$4)=BaseYear,'Input|Reported opex'!M62,0)</f>
        <v>0</v>
      </c>
      <c r="N31" s="109">
        <f>IF(YEAR(N$4)=BaseYear,'Input|Reported opex'!N62,0)</f>
        <v>0</v>
      </c>
      <c r="O31" s="109">
        <f>IF(YEAR(O$4)=BaseYear,'Input|Reported opex'!O62,0)</f>
        <v>0</v>
      </c>
      <c r="P31" s="109">
        <f>IF(YEAR(P$4)=BaseYear,'Input|Reported opex'!P62,0)</f>
        <v>0</v>
      </c>
      <c r="Q31" s="109">
        <f>IF(YEAR(Q$4)=BaseYear,'Input|Reported opex'!Q62,0)</f>
        <v>0</v>
      </c>
      <c r="R31" s="109">
        <f>IF(YEAR(R$4)=BaseYear,'Input|Reported opex'!R62,0)</f>
        <v>0</v>
      </c>
      <c r="S31" s="109">
        <f>IF(YEAR(S$4)=BaseYear,'Input|Reported opex'!S62,0)</f>
        <v>0</v>
      </c>
    </row>
    <row r="32" spans="3:19" outlineLevel="1">
      <c r="C32" s="123">
        <f>C31</f>
        <v>0</v>
      </c>
      <c r="D32" s="110" t="s">
        <v>30</v>
      </c>
      <c r="E32" s="30" t="str">
        <f>$E$8</f>
        <v>$millions</v>
      </c>
      <c r="F32" s="161">
        <f>$F$8</f>
        <v>43617</v>
      </c>
      <c r="J32" s="115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115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115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115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53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115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115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115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115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115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1:47" outlineLevel="1">
      <c r="C33" s="123"/>
      <c r="D33" s="110"/>
      <c r="F33" s="161"/>
      <c r="J33" s="115"/>
      <c r="K33" s="115"/>
      <c r="L33" s="115"/>
      <c r="M33" s="115"/>
      <c r="N33" s="115"/>
      <c r="O33" s="115"/>
      <c r="P33" s="115"/>
      <c r="Q33" s="115"/>
      <c r="R33" s="109"/>
      <c r="S33" s="109"/>
    </row>
    <row r="34" spans="1:47" outlineLevel="1">
      <c r="C34" s="123">
        <f>'Input|Reported opex'!$C$63</f>
        <v>0</v>
      </c>
      <c r="D34" s="108" t="s">
        <v>96</v>
      </c>
      <c r="E34" s="30" t="str">
        <f>'Input|Reported opex'!$E$63</f>
        <v>$millions</v>
      </c>
      <c r="F34" s="161">
        <f>'Input|Reported opex'!$F$63</f>
        <v>42887</v>
      </c>
      <c r="J34" s="109">
        <f>IF(YEAR(J$4)=BaseYear,'Input|Reported opex'!J63,0)</f>
        <v>0</v>
      </c>
      <c r="K34" s="109">
        <f>IF(YEAR(K$4)=BaseYear,'Input|Reported opex'!K63,0)</f>
        <v>0</v>
      </c>
      <c r="L34" s="109">
        <f>IF(YEAR(L$4)=BaseYear,'Input|Reported opex'!L63,0)</f>
        <v>0</v>
      </c>
      <c r="M34" s="109">
        <f>IF(YEAR(M$4)=BaseYear,'Input|Reported opex'!M63,0)</f>
        <v>0</v>
      </c>
      <c r="N34" s="109">
        <f>IF(YEAR(N$4)=BaseYear,'Input|Reported opex'!N63,0)</f>
        <v>0</v>
      </c>
      <c r="O34" s="109">
        <f>IF(YEAR(O$4)=BaseYear,'Input|Reported opex'!O63,0)</f>
        <v>0</v>
      </c>
      <c r="P34" s="109">
        <f>IF(YEAR(P$4)=BaseYear,'Input|Reported opex'!P63,0)</f>
        <v>0</v>
      </c>
      <c r="Q34" s="109">
        <f>IF(YEAR(Q$4)=BaseYear,'Input|Reported opex'!Q63,0)</f>
        <v>0</v>
      </c>
      <c r="R34" s="109">
        <f>IF(YEAR(R$4)=BaseYear,'Input|Reported opex'!R63,0)</f>
        <v>0</v>
      </c>
      <c r="S34" s="109">
        <f>IF(YEAR(S$4)=BaseYear,'Input|Reported opex'!S63,0)</f>
        <v>0</v>
      </c>
    </row>
    <row r="35" spans="1:47" outlineLevel="1">
      <c r="C35" s="123">
        <f>C34</f>
        <v>0</v>
      </c>
      <c r="D35" s="110" t="s">
        <v>30</v>
      </c>
      <c r="E35" s="30" t="str">
        <f>$E$8</f>
        <v>$millions</v>
      </c>
      <c r="F35" s="161">
        <f>$F$8</f>
        <v>43617</v>
      </c>
      <c r="J35" s="115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115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115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115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53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115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115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115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115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115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1:47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1:47" outlineLevel="1">
      <c r="C37" s="123" t="s">
        <v>93</v>
      </c>
      <c r="D37" s="110" t="s">
        <v>103</v>
      </c>
      <c r="E37" s="110" t="str">
        <f>$E$8</f>
        <v>$millions</v>
      </c>
      <c r="F37" s="161">
        <f>$F$8</f>
        <v>43617</v>
      </c>
      <c r="J37" s="115">
        <f>SUM(J23,J26,J29,J32,J35)*'Input|Reported opex'!J67</f>
        <v>0</v>
      </c>
      <c r="K37" s="115">
        <f>SUM(K23,K26,K29,K32,K35)*'Input|Reported opex'!K67</f>
        <v>0</v>
      </c>
      <c r="L37" s="115">
        <f>SUM(L18,L20,L23,L26,L29,L32,L35)*'Input|Reported opex'!L67</f>
        <v>0</v>
      </c>
      <c r="M37" s="115">
        <f>SUM(M18,M20,M23,M26,M29,M32,M35)*'Input|Reported opex'!M67</f>
        <v>0</v>
      </c>
      <c r="N37" s="115">
        <f>SUM(N23,N26,N29,N32,N35)*'Input|Reported opex'!N67</f>
        <v>0</v>
      </c>
      <c r="O37" s="115">
        <f>SUM(O23,O26,O29,O32,O35)*'Input|Reported opex'!O67</f>
        <v>0</v>
      </c>
      <c r="P37" s="115">
        <f>SUM(P23,P26,P29,P32,P35)*'Input|Reported opex'!P67</f>
        <v>0</v>
      </c>
      <c r="Q37" s="115">
        <f>SUM(Q23,Q26,Q29,Q32,Q35)*'Input|Reported opex'!Q67</f>
        <v>0</v>
      </c>
      <c r="R37" s="115">
        <f>SUM(R23,R26,R29,R32,R35)*'Input|Reported opex'!R67</f>
        <v>0</v>
      </c>
      <c r="S37" s="115">
        <f>SUM(S23,S26,S29,S32,S35)*'Input|Reported opex'!S67</f>
        <v>0</v>
      </c>
    </row>
    <row r="38" spans="1:47" outlineLevel="1">
      <c r="C38" s="123"/>
      <c r="D38" s="110"/>
      <c r="E38" s="110"/>
      <c r="F38" s="161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1:47" outlineLevel="1">
      <c r="C39" s="178" t="s">
        <v>164</v>
      </c>
      <c r="D39" s="112" t="s">
        <v>103</v>
      </c>
      <c r="E39" s="112" t="str">
        <f>$E$8</f>
        <v>$millions</v>
      </c>
      <c r="F39" s="179">
        <f>$F$8</f>
        <v>43617</v>
      </c>
      <c r="J39" s="177">
        <f t="shared" ref="J39:S39" si="2">SUM(J18,J20,J23,J26,J29,J32,J35,J37)</f>
        <v>0</v>
      </c>
      <c r="K39" s="177">
        <f t="shared" si="2"/>
        <v>0</v>
      </c>
      <c r="L39" s="177">
        <f t="shared" si="2"/>
        <v>0</v>
      </c>
      <c r="M39" s="177">
        <f>SUM(M18,M20,M23,M26,M29,M32,M35,M37)</f>
        <v>348.84430555572828</v>
      </c>
      <c r="N39" s="177">
        <f t="shared" si="2"/>
        <v>0</v>
      </c>
      <c r="O39" s="177">
        <f t="shared" si="2"/>
        <v>0</v>
      </c>
      <c r="P39" s="177">
        <f t="shared" si="2"/>
        <v>0</v>
      </c>
      <c r="Q39" s="177">
        <f t="shared" si="2"/>
        <v>0</v>
      </c>
      <c r="R39" s="177">
        <f t="shared" si="2"/>
        <v>0</v>
      </c>
      <c r="S39" s="177">
        <f t="shared" si="2"/>
        <v>0</v>
      </c>
    </row>
    <row r="40" spans="1:47">
      <c r="J40" s="107"/>
      <c r="K40" s="107"/>
      <c r="L40" s="107"/>
    </row>
    <row r="41" spans="1:47" s="103" customFormat="1" ht="12.75">
      <c r="A41" s="94"/>
      <c r="B41" s="95" t="s">
        <v>91</v>
      </c>
      <c r="C41" s="94"/>
      <c r="D41" s="94"/>
      <c r="E41" s="94"/>
      <c r="F41" s="96"/>
      <c r="G41" s="96"/>
      <c r="H41" s="96"/>
      <c r="I41" s="96"/>
      <c r="J41" s="97"/>
      <c r="K41" s="98"/>
      <c r="L41" s="97"/>
      <c r="M41" s="98"/>
      <c r="N41" s="97"/>
      <c r="O41" s="97"/>
      <c r="P41" s="97"/>
      <c r="Q41" s="97"/>
      <c r="R41" s="97"/>
      <c r="S41" s="97"/>
      <c r="T41" s="97"/>
      <c r="U41" s="97"/>
      <c r="V41" s="98"/>
      <c r="W41" s="98"/>
      <c r="X41" s="99"/>
      <c r="Y41" s="99"/>
      <c r="Z41" s="99"/>
      <c r="AA41" s="99"/>
      <c r="AB41" s="100"/>
      <c r="AC41" s="101"/>
      <c r="AD41" s="101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</row>
    <row r="42" spans="1:47" outlineLevel="1"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1:47" outlineLevel="1">
      <c r="C43" s="67" t="s">
        <v>42</v>
      </c>
      <c r="D43" s="32" t="s">
        <v>7</v>
      </c>
      <c r="E43" s="32" t="s">
        <v>8</v>
      </c>
      <c r="F43" s="32" t="s">
        <v>22</v>
      </c>
      <c r="J43" s="163" t="str">
        <f>IF(YEAR(J$4)&gt;BaseYear,IF(YEAR(J$4)&lt;='Input|General'!$G$14,J$4,""),"")</f>
        <v/>
      </c>
      <c r="K43" s="163" t="str">
        <f>IF(YEAR(K$4)&gt;BaseYear,IF(YEAR(K$4)&lt;='Input|General'!$G$14,K$4,""),"")</f>
        <v/>
      </c>
      <c r="L43" s="163" t="str">
        <f>IF(YEAR(L$4)&gt;BaseYear,IF(YEAR(L$4)&lt;='Input|General'!$G$14,L$4,""),"")</f>
        <v/>
      </c>
      <c r="M43" s="163" t="str">
        <f>IF(YEAR(M$4)&gt;BaseYear,IF(YEAR(M$4)&lt;='Input|General'!$G$14,M$4,""),"")</f>
        <v/>
      </c>
      <c r="N43" s="163">
        <f>IF(YEAR(N$4)&gt;BaseYear,IF(YEAR(N$4)&lt;='Input|General'!$G$14,N$4,""),"")</f>
        <v>43617</v>
      </c>
      <c r="O43" s="163">
        <f>IF(YEAR(O$4)&gt;BaseYear,IF(YEAR(O$4)&lt;='Input|General'!$G$14,O$4,""),"")</f>
        <v>43983</v>
      </c>
      <c r="P43" s="163">
        <f>IF(YEAR(P$4)&gt;BaseYear,IF(YEAR(P$4)&lt;='Input|General'!$G$14,P$4,""),"")</f>
        <v>44348</v>
      </c>
      <c r="Q43" s="163">
        <f>IF(YEAR(Q$4)&gt;BaseYear,IF(YEAR(Q$4)&lt;='Input|General'!$G$14,Q$4,""),"")</f>
        <v>44713</v>
      </c>
      <c r="R43" s="163">
        <f>IF(YEAR(R$4)&gt;BaseYear,IF(YEAR(R$4)&lt;='Input|General'!$G$14,R$4,""),"")</f>
        <v>45078</v>
      </c>
      <c r="S43" s="163">
        <f>IF(YEAR(S$4)&gt;BaseYear,IF(YEAR(S$4)&lt;='Input|General'!$G$14,S$4,""),"")</f>
        <v>45444</v>
      </c>
    </row>
    <row r="44" spans="1:47" outlineLevel="1">
      <c r="C44" s="6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1:47" outlineLevel="1">
      <c r="B45" s="67"/>
      <c r="C45" s="116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1:47" outlineLevel="1">
      <c r="C46" s="111" t="s">
        <v>110</v>
      </c>
      <c r="D46" s="110" t="s">
        <v>30</v>
      </c>
      <c r="E46" s="30" t="s">
        <v>31</v>
      </c>
      <c r="F46" s="30" t="s">
        <v>36</v>
      </c>
      <c r="J46" s="117">
        <f>IF(J43=J4,AVERAGE('Input|Rate of change'!K95:K98),0)</f>
        <v>0</v>
      </c>
      <c r="K46" s="117">
        <f>IF(K43=K4,AVERAGE('Input|Rate of change'!L95:L98),0)</f>
        <v>0</v>
      </c>
      <c r="L46" s="117">
        <f>IF(L43=L4,AVERAGE('Input|Rate of change'!M95:M98),0)</f>
        <v>0</v>
      </c>
      <c r="M46" s="117">
        <f>IF(M43=M4,AVERAGE('Input|Rate of change'!N95:N98),0)</f>
        <v>0</v>
      </c>
      <c r="N46" s="117">
        <f>IF(N43=N4,AVERAGE('Input|Rate of change'!O95:O98),0)</f>
        <v>6.2854425098274628E-3</v>
      </c>
      <c r="O46" s="117">
        <f>IF(O43=O4,AVERAGE('Input|Rate of change'!P95:P98),0)</f>
        <v>6.0918273459344115E-3</v>
      </c>
      <c r="P46" s="117">
        <f>IF(P43=P4,AVERAGE('Input|Rate of change'!Q95:Q98),0)</f>
        <v>5.5248595276538633E-3</v>
      </c>
      <c r="Q46" s="117">
        <f>IF(Q43=Q4,AVERAGE('Input|Rate of change'!R95:R98),0)</f>
        <v>5.4330513170861849E-3</v>
      </c>
      <c r="R46" s="117">
        <f>IF(R43=R4,AVERAGE('Input|Rate of change'!S95:S98),0)</f>
        <v>5.4651549979417239E-3</v>
      </c>
      <c r="S46" s="117">
        <f>IF(S43=S4,AVERAGE('Input|Rate of change'!T95:T98),0)</f>
        <v>4.7314266612100125E-3</v>
      </c>
    </row>
    <row r="47" spans="1:47" outlineLevel="1"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1:47" outlineLevel="1">
      <c r="C48" s="111" t="s">
        <v>84</v>
      </c>
      <c r="D48" s="110" t="s">
        <v>30</v>
      </c>
      <c r="E48" s="30" t="s">
        <v>31</v>
      </c>
      <c r="F48" s="30" t="s">
        <v>36</v>
      </c>
      <c r="J48" s="117">
        <f>SUMPRODUCT('Input|Rate of change'!K36:K43,'Input|Rate of change'!K49:K56)</f>
        <v>0</v>
      </c>
      <c r="K48" s="117">
        <f>SUMPRODUCT('Input|Rate of change'!L36:L43,'Input|Rate of change'!L49:L56)</f>
        <v>0</v>
      </c>
      <c r="L48" s="117">
        <f>SUMPRODUCT('Input|Rate of change'!M36:M43,'Input|Rate of change'!M49:M56)</f>
        <v>0</v>
      </c>
      <c r="M48" s="117">
        <f>SUMPRODUCT('Input|Rate of change'!N36:N43,'Input|Rate of change'!N49:N56)</f>
        <v>0</v>
      </c>
      <c r="N48" s="117">
        <f>SUMPRODUCT('Input|Rate of change'!O36:O43,'Input|Rate of change'!O49:O56)</f>
        <v>2.5750586645501223E-3</v>
      </c>
      <c r="O48" s="117">
        <f>SUMPRODUCT('Input|Rate of change'!P36:P43,'Input|Rate of change'!P49:P56)</f>
        <v>2.6180754355357816E-3</v>
      </c>
      <c r="P48" s="117">
        <f>SUMPRODUCT('Input|Rate of change'!Q36:Q43,'Input|Rate of change'!Q49:Q56)</f>
        <v>4.2580943319468906E-3</v>
      </c>
      <c r="Q48" s="117">
        <f>SUMPRODUCT('Input|Rate of change'!R36:R43,'Input|Rate of change'!R49:R56)</f>
        <v>6.8830935837387933E-3</v>
      </c>
      <c r="R48" s="117">
        <f>SUMPRODUCT('Input|Rate of change'!S36:S43,'Input|Rate of change'!S49:S56)</f>
        <v>7.6405123094944035E-3</v>
      </c>
      <c r="S48" s="117">
        <f>SUMPRODUCT('Input|Rate of change'!T36:T43,'Input|Rate of change'!T49:T56)</f>
        <v>6.4747655733060801E-3</v>
      </c>
    </row>
    <row r="49" spans="1:47" outlineLevel="1">
      <c r="C49" s="111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spans="1:47" outlineLevel="1">
      <c r="C50" s="111" t="s">
        <v>106</v>
      </c>
      <c r="D50" s="110" t="s">
        <v>30</v>
      </c>
      <c r="E50" s="30" t="s">
        <v>31</v>
      </c>
      <c r="F50" s="30" t="s">
        <v>36</v>
      </c>
      <c r="J50" s="117">
        <f>'Input|Rate of change'!K104</f>
        <v>0</v>
      </c>
      <c r="K50" s="117">
        <f>'Input|Rate of change'!L104</f>
        <v>0</v>
      </c>
      <c r="L50" s="117">
        <f>'Input|Rate of change'!M104</f>
        <v>0</v>
      </c>
      <c r="M50" s="117">
        <f>'Input|Rate of change'!N104</f>
        <v>0</v>
      </c>
      <c r="N50" s="117">
        <f>'Input|Rate of change'!O104</f>
        <v>0</v>
      </c>
      <c r="O50" s="117">
        <f>'Input|Rate of change'!P104</f>
        <v>0</v>
      </c>
      <c r="P50" s="117">
        <f>'Input|Rate of change'!Q104</f>
        <v>0</v>
      </c>
      <c r="Q50" s="117">
        <f>'Input|Rate of change'!R104</f>
        <v>0</v>
      </c>
      <c r="R50" s="117">
        <f>'Input|Rate of change'!S104</f>
        <v>0</v>
      </c>
      <c r="S50" s="117">
        <f>'Input|Rate of change'!T104</f>
        <v>0</v>
      </c>
    </row>
    <row r="51" spans="1:47" outlineLevel="1">
      <c r="C51" s="111"/>
      <c r="J51" s="173"/>
      <c r="K51" s="173"/>
      <c r="L51" s="173"/>
      <c r="M51" s="173"/>
      <c r="N51" s="173"/>
      <c r="O51" s="173"/>
      <c r="P51" s="173"/>
      <c r="Q51" s="173"/>
      <c r="R51" s="173"/>
      <c r="S51" s="173"/>
    </row>
    <row r="52" spans="1:47" outlineLevel="1">
      <c r="C52" s="118" t="s">
        <v>140</v>
      </c>
      <c r="D52" s="114" t="s">
        <v>30</v>
      </c>
      <c r="E52" s="114" t="s">
        <v>31</v>
      </c>
      <c r="F52" s="114" t="s">
        <v>36</v>
      </c>
      <c r="J52" s="143">
        <f>(1+J46)*(1+J48)*(1-J50)-1</f>
        <v>0</v>
      </c>
      <c r="K52" s="143">
        <f t="shared" ref="K52:S52" si="3">(1+K46)*(1+K48)*(1-K50)-1</f>
        <v>0</v>
      </c>
      <c r="L52" s="143">
        <f t="shared" si="3"/>
        <v>0</v>
      </c>
      <c r="M52" s="143">
        <f t="shared" si="3"/>
        <v>0</v>
      </c>
      <c r="N52" s="143">
        <f t="shared" si="3"/>
        <v>8.8766865575731213E-3</v>
      </c>
      <c r="O52" s="143">
        <f t="shared" si="3"/>
        <v>8.7258516450021695E-3</v>
      </c>
      <c r="P52" s="143">
        <f t="shared" si="3"/>
        <v>9.8064792326399974E-3</v>
      </c>
      <c r="Q52" s="143">
        <f t="shared" si="3"/>
        <v>1.2353541101485677E-2</v>
      </c>
      <c r="R52" s="143">
        <f t="shared" si="3"/>
        <v>1.3147423891471277E-2</v>
      </c>
      <c r="S52" s="143">
        <f t="shared" si="3"/>
        <v>1.1236827112974801E-2</v>
      </c>
    </row>
    <row r="53" spans="1:47" outlineLevel="1">
      <c r="C53" s="124" t="s">
        <v>141</v>
      </c>
      <c r="D53" s="110" t="s">
        <v>30</v>
      </c>
      <c r="E53" s="30" t="s">
        <v>31</v>
      </c>
      <c r="F53" s="30" t="s">
        <v>36</v>
      </c>
      <c r="J53" s="117" t="str">
        <f t="array" ref="J53">IF(J$43=J$4,PRODUCT(1+$J52:J52)-1,"")</f>
        <v/>
      </c>
      <c r="K53" s="117" t="str">
        <f t="array" ref="K53">IF(K$43=K$4,PRODUCT(1+$J52:K52)-1,"")</f>
        <v/>
      </c>
      <c r="L53" s="117" t="str">
        <f t="array" ref="L53">IF(L$43=L$4,PRODUCT(1+$J52:L52)-1,"")</f>
        <v/>
      </c>
      <c r="M53" s="117" t="str">
        <f t="array" ref="M53">IF(M$43=M$4,PRODUCT(1+$J52:M52)-1,"")</f>
        <v/>
      </c>
      <c r="N53" s="117">
        <f t="array" ref="N53">IF(N$43=N$4,PRODUCT(1+$J52:N52)-1,"")</f>
        <v>8.8766865575731213E-3</v>
      </c>
      <c r="O53" s="117">
        <f t="array" ref="O53">IF(O$43=O$4,PRODUCT(1+$J52:O52)-1,"")</f>
        <v>1.7679994852575875E-2</v>
      </c>
      <c r="P53" s="117">
        <f t="array" ref="P53">IF(P$43=P$4,PRODUCT(1+$J52:P52)-1,"")</f>
        <v>2.7659852587570866E-2</v>
      </c>
      <c r="Q53" s="117">
        <f t="array" ref="Q53">IF(Q$43=Q$4,PRODUCT(1+$J52:Q52)-1,"")</f>
        <v>4.0355090814858219E-2</v>
      </c>
      <c r="R53" s="117">
        <f t="array" ref="R53">IF(R$43=R$4,PRODUCT(1+$J52:R52)-1,"")</f>
        <v>5.4033080191451255E-2</v>
      </c>
      <c r="S53" s="117">
        <f t="array" ref="S53">IF(S$43=S$4,PRODUCT(1+$J52:S52)-1,"")</f>
        <v>6.5877067684918966E-2</v>
      </c>
    </row>
    <row r="54" spans="1:47">
      <c r="J54" s="107"/>
      <c r="K54" s="107"/>
      <c r="L54" s="107"/>
      <c r="M54" s="107"/>
      <c r="N54" s="107"/>
      <c r="O54" s="119"/>
      <c r="P54" s="119"/>
      <c r="Q54" s="119"/>
      <c r="R54" s="119"/>
      <c r="S54" s="119"/>
    </row>
    <row r="55" spans="1:47" s="103" customFormat="1" ht="12.75">
      <c r="A55" s="94"/>
      <c r="B55" s="95" t="s">
        <v>94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  <c r="X55" s="99"/>
      <c r="Y55" s="99"/>
      <c r="Z55" s="99"/>
      <c r="AA55" s="99"/>
      <c r="AB55" s="100"/>
      <c r="AC55" s="101"/>
      <c r="AD55" s="101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1:47" outlineLevel="1">
      <c r="C56" s="106"/>
      <c r="J56" s="107"/>
      <c r="K56" s="107"/>
      <c r="L56" s="107"/>
    </row>
    <row r="57" spans="1:47" outlineLevel="1">
      <c r="C57" s="67" t="s">
        <v>107</v>
      </c>
      <c r="D57" s="32" t="s">
        <v>7</v>
      </c>
      <c r="E57" s="32" t="s">
        <v>8</v>
      </c>
      <c r="F57" s="32" t="s">
        <v>22</v>
      </c>
      <c r="J57" s="163" t="str">
        <f>IF(YEAR(J$4)&gt;='Input|General'!$G$13,IF(YEAR(J$4)&lt;='Input|General'!$G$14,J$4,""),"")</f>
        <v/>
      </c>
      <c r="K57" s="163" t="str">
        <f>IF(YEAR(K$4)&gt;='Input|General'!$G$13,IF(YEAR(K$4)&lt;='Input|General'!$G$14,K$4,""),"")</f>
        <v/>
      </c>
      <c r="L57" s="163" t="str">
        <f>IF(YEAR(L$4)&gt;='Input|General'!$G$13,IF(YEAR(L$4)&lt;='Input|General'!$G$14,L$4,""),"")</f>
        <v/>
      </c>
      <c r="M57" s="163" t="str">
        <f>IF(YEAR(M$4)&gt;='Input|General'!$G$13,IF(YEAR(M$4)&lt;='Input|General'!$G$14,M$4,""),"")</f>
        <v/>
      </c>
      <c r="N57" s="163" t="str">
        <f>IF(YEAR(N$4)&gt;='Input|General'!$G$13,IF(YEAR(N$4)&lt;='Input|General'!$G$14,N$4,""),"")</f>
        <v/>
      </c>
      <c r="O57" s="163">
        <f>IF(YEAR(O$4)&gt;='Input|General'!$G$13,IF(YEAR(O$4)&lt;='Input|General'!$G$14,O$4,""),"")</f>
        <v>43983</v>
      </c>
      <c r="P57" s="163">
        <f>IF(YEAR(P$4)&gt;='Input|General'!$G$13,IF(YEAR(P$4)&lt;='Input|General'!$G$14,P$4,""),"")</f>
        <v>44348</v>
      </c>
      <c r="Q57" s="163">
        <f>IF(YEAR(Q$4)&gt;='Input|General'!$G$13,IF(YEAR(Q$4)&lt;='Input|General'!$G$14,Q$4,""),"")</f>
        <v>44713</v>
      </c>
      <c r="R57" s="163">
        <f>IF(YEAR(R$4)&gt;='Input|General'!$G$13,IF(YEAR(R$4)&lt;='Input|General'!$G$14,R$4,""),"")</f>
        <v>45078</v>
      </c>
      <c r="S57" s="163">
        <f>IF(YEAR(S$4)&gt;='Input|General'!$G$13,IF(YEAR(S$4)&lt;='Input|General'!$G$14,S$4,""),"")</f>
        <v>45444</v>
      </c>
    </row>
    <row r="58" spans="1:47" outlineLevel="1">
      <c r="C58" s="67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1:47" outlineLevel="1">
      <c r="C59" s="121" t="str">
        <f>'Input|Step changes'!C12</f>
        <v>Strategic initiatives &amp; reduction in property lease expenditure</v>
      </c>
      <c r="D59" s="110" t="s">
        <v>30</v>
      </c>
      <c r="E59" s="30" t="str">
        <f t="shared" ref="E59:E77" si="4">$E$8</f>
        <v>$millions</v>
      </c>
      <c r="F59" s="161">
        <f t="shared" ref="F59:F69" si="5">$F$8</f>
        <v>43617</v>
      </c>
      <c r="J59" s="127">
        <f>'Input|Step changes'!J12*IF('Input|Step changes'!$F12="nominal",LOOKUP($F59,Nominal_to_Real,'Input|Rate of change'!N$25:N$30),INDEX('Input|Rate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K59" s="127">
        <f>'Input|Step changes'!K12*IF('Input|Step changes'!$F12="nominal",LOOKUP($F59,Nominal_to_Real,'Input|Rate of change'!O$25:O$30),INDEX('Input|Rate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L59" s="127">
        <f>'Input|Step changes'!L12*IF('Input|Step changes'!$F12="nominal",LOOKUP($F59,Nominal_to_Real,'Input|Rate of change'!P$25:P$30),INDEX('Input|Rate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M59" s="127">
        <f>'Input|Step changes'!M12*IF('Input|Step changes'!$F12="nominal",LOOKUP($F59,Nominal_to_Real,'Input|Rate of change'!Q$25:Q$30),INDEX('Input|Rate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N59" s="127">
        <f>'Input|Step changes'!N12*IF('Input|Step changes'!$F12="nominal",LOOKUP($F59,Nominal_to_Real,'Input|Rate of change'!R$25:R$30),INDEX('Input|Rate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O59" s="127">
        <f>'Input|Step changes'!O12*IF('Input|Step changes'!$F12="nominal",LOOKUP($F59,Nominal_to_Real,'Input|Rate of change'!S$25:S$30),INDEX('Input|Rate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22.625995231605142</v>
      </c>
      <c r="P59" s="127">
        <f>'Input|Step changes'!P12*IF('Input|Step changes'!$F12="nominal",LOOKUP($F59,Nominal_to_Real,'Input|Rate of change'!T$25:T$30),INDEX('Input|Rate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9.5309621473151456</v>
      </c>
      <c r="Q59" s="127">
        <f>'Input|Step changes'!Q12*IF('Input|Step changes'!$F12="nominal",LOOKUP($F59,Nominal_to_Real,'Input|Rate of change'!U$25:U$30),INDEX('Input|Rate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-2.7301805778496369</v>
      </c>
      <c r="R59" s="127">
        <f>'Input|Step changes'!R12*IF('Input|Step changes'!$F12="nominal",LOOKUP($F59,Nominal_to_Real,'Input|Rate of change'!V$25:V$30),INDEX('Input|Rate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-25.948252670481697</v>
      </c>
      <c r="S59" s="127">
        <f>'Input|Step changes'!S12*IF('Input|Step changes'!$F12="nominal",LOOKUP($F59,Nominal_to_Real,'Input|Rate of change'!W$25:W$30),INDEX('Input|Rate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-49.92367464873707</v>
      </c>
    </row>
    <row r="60" spans="1:47" outlineLevel="1">
      <c r="C60" s="121">
        <f>'Input|Step changes'!C13</f>
        <v>0</v>
      </c>
      <c r="D60" s="110" t="s">
        <v>30</v>
      </c>
      <c r="E60" s="30" t="str">
        <f t="shared" si="4"/>
        <v>$millions</v>
      </c>
      <c r="F60" s="161">
        <f t="shared" si="5"/>
        <v>43617</v>
      </c>
      <c r="J60" s="127">
        <f>'Input|Step changes'!J13*IF('Input|Step changes'!$F13="nominal",LOOKUP($F60,Nominal_to_Real,'Input|Rate of change'!N$25:N$30),INDEX('Input|Rate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K60" s="127">
        <f>'Input|Step changes'!K13*IF('Input|Step changes'!$F13="nominal",LOOKUP($F60,Nominal_to_Real,'Input|Rate of change'!O$25:O$30),INDEX('Input|Rate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L60" s="127">
        <f>'Input|Step changes'!L13*IF('Input|Step changes'!$F13="nominal",LOOKUP($F60,Nominal_to_Real,'Input|Rate of change'!P$25:P$30),INDEX('Input|Rate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M60" s="127">
        <f>'Input|Step changes'!M13*IF('Input|Step changes'!$F13="nominal",LOOKUP($F60,Nominal_to_Real,'Input|Rate of change'!Q$25:Q$30),INDEX('Input|Rate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N60" s="127">
        <f>'Input|Step changes'!N13*IF('Input|Step changes'!$F13="nominal",LOOKUP($F60,Nominal_to_Real,'Input|Rate of change'!R$25:R$30),INDEX('Input|Rate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O60" s="127">
        <f>'Input|Step changes'!O13*IF('Input|Step changes'!$F13="nominal",LOOKUP($F60,Nominal_to_Real,'Input|Rate of change'!S$25:S$30),INDEX('Input|Rate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P60" s="127">
        <f>'Input|Step changes'!P13*IF('Input|Step changes'!$F13="nominal",LOOKUP($F60,Nominal_to_Real,'Input|Rate of change'!T$25:T$30),INDEX('Input|Rate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Q60" s="127">
        <f>'Input|Step changes'!Q13*IF('Input|Step changes'!$F13="nominal",LOOKUP($F60,Nominal_to_Real,'Input|Rate of change'!U$25:U$30),INDEX('Input|Rate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R60" s="127">
        <f>'Input|Step changes'!R13*IF('Input|Step changes'!$F13="nominal",LOOKUP($F60,Nominal_to_Real,'Input|Rate of change'!V$25:V$30),INDEX('Input|Rate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S60" s="127">
        <f>'Input|Step changes'!S13*IF('Input|Step changes'!$F13="nominal",LOOKUP($F60,Nominal_to_Real,'Input|Rate of change'!W$25:W$30),INDEX('Input|Rate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</row>
    <row r="61" spans="1:47" outlineLevel="1">
      <c r="C61" s="121">
        <f>'Input|Step changes'!C14</f>
        <v>0</v>
      </c>
      <c r="D61" s="110" t="s">
        <v>30</v>
      </c>
      <c r="E61" s="30" t="str">
        <f t="shared" si="4"/>
        <v>$millions</v>
      </c>
      <c r="F61" s="161">
        <f t="shared" si="5"/>
        <v>43617</v>
      </c>
      <c r="J61" s="127">
        <f>'Input|Step changes'!J14*IF('Input|Step changes'!$F14="nominal",LOOKUP($F61,Nominal_to_Real,'Input|Rate of change'!N$25:N$30),INDEX('Input|Rate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K61" s="127">
        <f>'Input|Step changes'!K14*IF('Input|Step changes'!$F14="nominal",LOOKUP($F61,Nominal_to_Real,'Input|Rate of change'!O$25:O$30),INDEX('Input|Rate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L61" s="127">
        <f>'Input|Step changes'!L14*IF('Input|Step changes'!$F14="nominal",LOOKUP($F61,Nominal_to_Real,'Input|Rate of change'!P$25:P$30),INDEX('Input|Rate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M61" s="127">
        <f>'Input|Step changes'!M14*IF('Input|Step changes'!$F14="nominal",LOOKUP($F61,Nominal_to_Real,'Input|Rate of change'!Q$25:Q$30),INDEX('Input|Rate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N61" s="127">
        <f>'Input|Step changes'!N14*IF('Input|Step changes'!$F14="nominal",LOOKUP($F61,Nominal_to_Real,'Input|Rate of change'!R$25:R$30),INDEX('Input|Rate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O61" s="127">
        <f>'Input|Step changes'!O14*IF('Input|Step changes'!$F14="nominal",LOOKUP($F61,Nominal_to_Real,'Input|Rate of change'!S$25:S$30),INDEX('Input|Rate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P61" s="127">
        <f>'Input|Step changes'!P14*IF('Input|Step changes'!$F14="nominal",LOOKUP($F61,Nominal_to_Real,'Input|Rate of change'!T$25:T$30),INDEX('Input|Rate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Q61" s="127">
        <f>'Input|Step changes'!Q14*IF('Input|Step changes'!$F14="nominal",LOOKUP($F61,Nominal_to_Real,'Input|Rate of change'!U$25:U$30),INDEX('Input|Rate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R61" s="127">
        <f>'Input|Step changes'!R14*IF('Input|Step changes'!$F14="nominal",LOOKUP($F61,Nominal_to_Real,'Input|Rate of change'!V$25:V$30),INDEX('Input|Rate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S61" s="127">
        <f>'Input|Step changes'!S14*IF('Input|Step changes'!$F14="nominal",LOOKUP($F61,Nominal_to_Real,'Input|Rate of change'!W$25:W$30),INDEX('Input|Rate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</row>
    <row r="62" spans="1:47" outlineLevel="1">
      <c r="C62" s="121">
        <f>'Input|Step changes'!C15</f>
        <v>0</v>
      </c>
      <c r="D62" s="110" t="s">
        <v>30</v>
      </c>
      <c r="E62" s="30" t="str">
        <f t="shared" si="4"/>
        <v>$millions</v>
      </c>
      <c r="F62" s="161">
        <f t="shared" si="5"/>
        <v>43617</v>
      </c>
      <c r="J62" s="127">
        <f>'Input|Step changes'!J15*IF('Input|Step changes'!$F15="nominal",LOOKUP($F62,Nominal_to_Real,'Input|Rate of change'!N$25:N$30),INDEX('Input|Rate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K62" s="127">
        <f>'Input|Step changes'!K15*IF('Input|Step changes'!$F15="nominal",LOOKUP($F62,Nominal_to_Real,'Input|Rate of change'!O$25:O$30),INDEX('Input|Rate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L62" s="127">
        <f>'Input|Step changes'!L15*IF('Input|Step changes'!$F15="nominal",LOOKUP($F62,Nominal_to_Real,'Input|Rate of change'!P$25:P$30),INDEX('Input|Rate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M62" s="127">
        <f>'Input|Step changes'!M15*IF('Input|Step changes'!$F15="nominal",LOOKUP($F62,Nominal_to_Real,'Input|Rate of change'!Q$25:Q$30),INDEX('Input|Rate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N62" s="127">
        <f>'Input|Step changes'!N15*IF('Input|Step changes'!$F15="nominal",LOOKUP($F62,Nominal_to_Real,'Input|Rate of change'!R$25:R$30),INDEX('Input|Rate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O62" s="127">
        <f>'Input|Step changes'!O15*IF('Input|Step changes'!$F15="nominal",LOOKUP($F62,Nominal_to_Real,'Input|Rate of change'!S$25:S$30),INDEX('Input|Rate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P62" s="127">
        <f>'Input|Step changes'!P15*IF('Input|Step changes'!$F15="nominal",LOOKUP($F62,Nominal_to_Real,'Input|Rate of change'!T$25:T$30),INDEX('Input|Rate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Q62" s="127">
        <f>'Input|Step changes'!Q15*IF('Input|Step changes'!$F15="nominal",LOOKUP($F62,Nominal_to_Real,'Input|Rate of change'!U$25:U$30),INDEX('Input|Rate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R62" s="127">
        <f>'Input|Step changes'!R15*IF('Input|Step changes'!$F15="nominal",LOOKUP($F62,Nominal_to_Real,'Input|Rate of change'!V$25:V$30),INDEX('Input|Rate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S62" s="127">
        <f>'Input|Step changes'!S15*IF('Input|Step changes'!$F15="nominal",LOOKUP($F62,Nominal_to_Real,'Input|Rate of change'!W$25:W$30),INDEX('Input|Rate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</row>
    <row r="63" spans="1:47" outlineLevel="1">
      <c r="C63" s="121">
        <f>'Input|Step changes'!C16</f>
        <v>0</v>
      </c>
      <c r="D63" s="110" t="s">
        <v>30</v>
      </c>
      <c r="E63" s="30" t="str">
        <f t="shared" si="4"/>
        <v>$millions</v>
      </c>
      <c r="F63" s="161">
        <f t="shared" si="5"/>
        <v>43617</v>
      </c>
      <c r="J63" s="127">
        <f>'Input|Step changes'!J16*IF('Input|Step changes'!$F16="nominal",LOOKUP($F63,Nominal_to_Real,'Input|Rate of change'!N$25:N$30),INDEX('Input|Rate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K63" s="127">
        <f>'Input|Step changes'!K16*IF('Input|Step changes'!$F16="nominal",LOOKUP($F63,Nominal_to_Real,'Input|Rate of change'!O$25:O$30),INDEX('Input|Rate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L63" s="127">
        <f>'Input|Step changes'!L16*IF('Input|Step changes'!$F16="nominal",LOOKUP($F63,Nominal_to_Real,'Input|Rate of change'!P$25:P$30),INDEX('Input|Rate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M63" s="127">
        <f>'Input|Step changes'!M16*IF('Input|Step changes'!$F16="nominal",LOOKUP($F63,Nominal_to_Real,'Input|Rate of change'!Q$25:Q$30),INDEX('Input|Rate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N63" s="127">
        <f>'Input|Step changes'!N16*IF('Input|Step changes'!$F16="nominal",LOOKUP($F63,Nominal_to_Real,'Input|Rate of change'!R$25:R$30),INDEX('Input|Rate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O63" s="127">
        <f>'Input|Step changes'!O16*IF('Input|Step changes'!$F16="nominal",LOOKUP($F63,Nominal_to_Real,'Input|Rate of change'!S$25:S$30),INDEX('Input|Rate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P63" s="127">
        <f>'Input|Step changes'!P16*IF('Input|Step changes'!$F16="nominal",LOOKUP($F63,Nominal_to_Real,'Input|Rate of change'!T$25:T$30),INDEX('Input|Rate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Q63" s="127">
        <f>'Input|Step changes'!Q16*IF('Input|Step changes'!$F16="nominal",LOOKUP($F63,Nominal_to_Real,'Input|Rate of change'!U$25:U$30),INDEX('Input|Rate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R63" s="127">
        <f>'Input|Step changes'!R16*IF('Input|Step changes'!$F16="nominal",LOOKUP($F63,Nominal_to_Real,'Input|Rate of change'!V$25:V$30),INDEX('Input|Rate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S63" s="127">
        <f>'Input|Step changes'!S16*IF('Input|Step changes'!$F16="nominal",LOOKUP($F63,Nominal_to_Real,'Input|Rate of change'!W$25:W$30),INDEX('Input|Rate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</row>
    <row r="64" spans="1:47" outlineLevel="1">
      <c r="C64" s="121">
        <f>'Input|Step changes'!C17</f>
        <v>0</v>
      </c>
      <c r="D64" s="110" t="s">
        <v>30</v>
      </c>
      <c r="E64" s="30" t="str">
        <f t="shared" si="4"/>
        <v>$millions</v>
      </c>
      <c r="F64" s="161">
        <f t="shared" si="5"/>
        <v>43617</v>
      </c>
      <c r="J64" s="127">
        <f>'Input|Step changes'!J17*IF('Input|Step changes'!$F17="nominal",LOOKUP($F64,Nominal_to_Real,'Input|Rate of change'!N$25:N$30),INDEX('Input|Rate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K64" s="127">
        <f>'Input|Step changes'!K17*IF('Input|Step changes'!$F17="nominal",LOOKUP($F64,Nominal_to_Real,'Input|Rate of change'!O$25:O$30),INDEX('Input|Rate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L64" s="127">
        <f>'Input|Step changes'!L17*IF('Input|Step changes'!$F17="nominal",LOOKUP($F64,Nominal_to_Real,'Input|Rate of change'!P$25:P$30),INDEX('Input|Rate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M64" s="127">
        <f>'Input|Step changes'!M17*IF('Input|Step changes'!$F17="nominal",LOOKUP($F64,Nominal_to_Real,'Input|Rate of change'!Q$25:Q$30),INDEX('Input|Rate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N64" s="127">
        <f>'Input|Step changes'!N17*IF('Input|Step changes'!$F17="nominal",LOOKUP($F64,Nominal_to_Real,'Input|Rate of change'!R$25:R$30),INDEX('Input|Rate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O64" s="127">
        <f>'Input|Step changes'!O17*IF('Input|Step changes'!$F17="nominal",LOOKUP($F64,Nominal_to_Real,'Input|Rate of change'!S$25:S$30),INDEX('Input|Rate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P64" s="127">
        <f>'Input|Step changes'!P17*IF('Input|Step changes'!$F17="nominal",LOOKUP($F64,Nominal_to_Real,'Input|Rate of change'!T$25:T$30),INDEX('Input|Rate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Q64" s="127">
        <f>'Input|Step changes'!Q17*IF('Input|Step changes'!$F17="nominal",LOOKUP($F64,Nominal_to_Real,'Input|Rate of change'!U$25:U$30),INDEX('Input|Rate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R64" s="127">
        <f>'Input|Step changes'!R17*IF('Input|Step changes'!$F17="nominal",LOOKUP($F64,Nominal_to_Real,'Input|Rate of change'!V$25:V$30),INDEX('Input|Rate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S64" s="127">
        <f>'Input|Step changes'!S17*IF('Input|Step changes'!$F17="nominal",LOOKUP($F64,Nominal_to_Real,'Input|Rate of change'!W$25:W$30),INDEX('Input|Rate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</row>
    <row r="65" spans="1:47" outlineLevel="1">
      <c r="C65" s="121">
        <f>'Input|Step changes'!C18</f>
        <v>0</v>
      </c>
      <c r="D65" s="110" t="s">
        <v>30</v>
      </c>
      <c r="E65" s="30" t="str">
        <f t="shared" si="4"/>
        <v>$millions</v>
      </c>
      <c r="F65" s="161">
        <f t="shared" si="5"/>
        <v>43617</v>
      </c>
      <c r="J65" s="127">
        <f>'Input|Step changes'!J18*IF('Input|Step changes'!$F18="nominal",LOOKUP($F65,Nominal_to_Real,'Input|Rate of change'!N$25:N$30),INDEX('Input|Rate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K65" s="127">
        <f>'Input|Step changes'!K18*IF('Input|Step changes'!$F18="nominal",LOOKUP($F65,Nominal_to_Real,'Input|Rate of change'!O$25:O$30),INDEX('Input|Rate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L65" s="127">
        <f>'Input|Step changes'!L18*IF('Input|Step changes'!$F18="nominal",LOOKUP($F65,Nominal_to_Real,'Input|Rate of change'!P$25:P$30),INDEX('Input|Rate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M65" s="127">
        <f>'Input|Step changes'!M18*IF('Input|Step changes'!$F18="nominal",LOOKUP($F65,Nominal_to_Real,'Input|Rate of change'!Q$25:Q$30),INDEX('Input|Rate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N65" s="127">
        <f>'Input|Step changes'!N18*IF('Input|Step changes'!$F18="nominal",LOOKUP($F65,Nominal_to_Real,'Input|Rate of change'!R$25:R$30),INDEX('Input|Rate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O65" s="127">
        <f>'Input|Step changes'!O18*IF('Input|Step changes'!$F18="nominal",LOOKUP($F65,Nominal_to_Real,'Input|Rate of change'!S$25:S$30),INDEX('Input|Rate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P65" s="127">
        <f>'Input|Step changes'!P18*IF('Input|Step changes'!$F18="nominal",LOOKUP($F65,Nominal_to_Real,'Input|Rate of change'!T$25:T$30),INDEX('Input|Rate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Q65" s="127">
        <f>'Input|Step changes'!Q18*IF('Input|Step changes'!$F18="nominal",LOOKUP($F65,Nominal_to_Real,'Input|Rate of change'!U$25:U$30),INDEX('Input|Rate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R65" s="127">
        <f>'Input|Step changes'!R18*IF('Input|Step changes'!$F18="nominal",LOOKUP($F65,Nominal_to_Real,'Input|Rate of change'!V$25:V$30),INDEX('Input|Rate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S65" s="127">
        <f>'Input|Step changes'!S18*IF('Input|Step changes'!$F18="nominal",LOOKUP($F65,Nominal_to_Real,'Input|Rate of change'!W$25:W$30),INDEX('Input|Rate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</row>
    <row r="66" spans="1:47" outlineLevel="1">
      <c r="C66" s="121">
        <f>'Input|Step changes'!C19</f>
        <v>0</v>
      </c>
      <c r="D66" s="110" t="s">
        <v>30</v>
      </c>
      <c r="E66" s="30" t="str">
        <f t="shared" si="4"/>
        <v>$millions</v>
      </c>
      <c r="F66" s="161">
        <f t="shared" si="5"/>
        <v>43617</v>
      </c>
      <c r="J66" s="127">
        <f>'Input|Step changes'!J19*IF('Input|Step changes'!$F19="nominal",LOOKUP($F66,Nominal_to_Real,'Input|Rate of change'!N$25:N$30),INDEX('Input|Rate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K66" s="127">
        <f>'Input|Step changes'!K19*IF('Input|Step changes'!$F19="nominal",LOOKUP($F66,Nominal_to_Real,'Input|Rate of change'!O$25:O$30),INDEX('Input|Rate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L66" s="127">
        <f>'Input|Step changes'!L19*IF('Input|Step changes'!$F19="nominal",LOOKUP($F66,Nominal_to_Real,'Input|Rate of change'!P$25:P$30),INDEX('Input|Rate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M66" s="127">
        <f>'Input|Step changes'!M19*IF('Input|Step changes'!$F19="nominal",LOOKUP($F66,Nominal_to_Real,'Input|Rate of change'!Q$25:Q$30),INDEX('Input|Rate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N66" s="127">
        <f>'Input|Step changes'!N19*IF('Input|Step changes'!$F19="nominal",LOOKUP($F66,Nominal_to_Real,'Input|Rate of change'!R$25:R$30),INDEX('Input|Rate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O66" s="127">
        <f>'Input|Step changes'!O19*IF('Input|Step changes'!$F19="nominal",LOOKUP($F66,Nominal_to_Real,'Input|Rate of change'!S$25:S$30),INDEX('Input|Rate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P66" s="127">
        <f>'Input|Step changes'!P19*IF('Input|Step changes'!$F19="nominal",LOOKUP($F66,Nominal_to_Real,'Input|Rate of change'!T$25:T$30),INDEX('Input|Rate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Q66" s="127">
        <f>'Input|Step changes'!Q19*IF('Input|Step changes'!$F19="nominal",LOOKUP($F66,Nominal_to_Real,'Input|Rate of change'!U$25:U$30),INDEX('Input|Rate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R66" s="127">
        <f>'Input|Step changes'!R19*IF('Input|Step changes'!$F19="nominal",LOOKUP($F66,Nominal_to_Real,'Input|Rate of change'!V$25:V$30),INDEX('Input|Rate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S66" s="127">
        <f>'Input|Step changes'!S19*IF('Input|Step changes'!$F19="nominal",LOOKUP($F66,Nominal_to_Real,'Input|Rate of change'!W$25:W$30),INDEX('Input|Rate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</row>
    <row r="67" spans="1:47" outlineLevel="1">
      <c r="C67" s="121">
        <f>'Input|Step changes'!C20</f>
        <v>0</v>
      </c>
      <c r="D67" s="110" t="s">
        <v>30</v>
      </c>
      <c r="E67" s="30" t="str">
        <f t="shared" si="4"/>
        <v>$millions</v>
      </c>
      <c r="F67" s="161">
        <f t="shared" si="5"/>
        <v>43617</v>
      </c>
      <c r="J67" s="127">
        <f>'Input|Step changes'!J20*IF('Input|Step changes'!$F20="nominal",LOOKUP($F67,Nominal_to_Real,'Input|Rate of change'!N$25:N$30),INDEX('Input|Rate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K67" s="127">
        <f>'Input|Step changes'!K20*IF('Input|Step changes'!$F20="nominal",LOOKUP($F67,Nominal_to_Real,'Input|Rate of change'!O$25:O$30),INDEX('Input|Rate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L67" s="127">
        <f>'Input|Step changes'!L20*IF('Input|Step changes'!$F20="nominal",LOOKUP($F67,Nominal_to_Real,'Input|Rate of change'!P$25:P$30),INDEX('Input|Rate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M67" s="127">
        <f>'Input|Step changes'!M20*IF('Input|Step changes'!$F20="nominal",LOOKUP($F67,Nominal_to_Real,'Input|Rate of change'!Q$25:Q$30),INDEX('Input|Rate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N67" s="127">
        <f>'Input|Step changes'!N20*IF('Input|Step changes'!$F20="nominal",LOOKUP($F67,Nominal_to_Real,'Input|Rate of change'!R$25:R$30),INDEX('Input|Rate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O67" s="127">
        <f>'Input|Step changes'!O20*IF('Input|Step changes'!$F20="nominal",LOOKUP($F67,Nominal_to_Real,'Input|Rate of change'!S$25:S$30),INDEX('Input|Rate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P67" s="127">
        <f>'Input|Step changes'!P20*IF('Input|Step changes'!$F20="nominal",LOOKUP($F67,Nominal_to_Real,'Input|Rate of change'!T$25:T$30),INDEX('Input|Rate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Q67" s="127">
        <f>'Input|Step changes'!Q20*IF('Input|Step changes'!$F20="nominal",LOOKUP($F67,Nominal_to_Real,'Input|Rate of change'!U$25:U$30),INDEX('Input|Rate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R67" s="127">
        <f>'Input|Step changes'!R20*IF('Input|Step changes'!$F20="nominal",LOOKUP($F67,Nominal_to_Real,'Input|Rate of change'!V$25:V$30),INDEX('Input|Rate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S67" s="127">
        <f>'Input|Step changes'!S20*IF('Input|Step changes'!$F20="nominal",LOOKUP($F67,Nominal_to_Real,'Input|Rate of change'!W$25:W$30),INDEX('Input|Rate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</row>
    <row r="68" spans="1:47" outlineLevel="1">
      <c r="C68" s="121"/>
      <c r="D68" s="110"/>
      <c r="F68" s="112"/>
      <c r="J68" s="175"/>
      <c r="K68" s="175"/>
      <c r="L68" s="175"/>
      <c r="M68" s="175"/>
      <c r="N68" s="175"/>
      <c r="O68" s="175"/>
      <c r="P68" s="175"/>
      <c r="Q68" s="175"/>
      <c r="R68" s="175"/>
      <c r="S68" s="175"/>
    </row>
    <row r="69" spans="1:47" outlineLevel="1">
      <c r="C69" s="113" t="s">
        <v>49</v>
      </c>
      <c r="D69" s="122" t="s">
        <v>30</v>
      </c>
      <c r="E69" s="122" t="str">
        <f>$E$8</f>
        <v>$millions</v>
      </c>
      <c r="F69" s="174">
        <f t="shared" si="5"/>
        <v>43617</v>
      </c>
      <c r="G69" s="32"/>
      <c r="H69" s="32"/>
      <c r="I69" s="32"/>
      <c r="J69" s="176">
        <f>SUM(J58:J68)</f>
        <v>0</v>
      </c>
      <c r="K69" s="176">
        <f t="shared" ref="K69:S69" si="6">SUM(K58:K68)</f>
        <v>0</v>
      </c>
      <c r="L69" s="176">
        <f t="shared" si="6"/>
        <v>0</v>
      </c>
      <c r="M69" s="176">
        <f t="shared" si="6"/>
        <v>0</v>
      </c>
      <c r="N69" s="176">
        <f t="shared" si="6"/>
        <v>0</v>
      </c>
      <c r="O69" s="176">
        <f t="shared" si="6"/>
        <v>22.625995231605142</v>
      </c>
      <c r="P69" s="176">
        <f t="shared" si="6"/>
        <v>9.5309621473151456</v>
      </c>
      <c r="Q69" s="176">
        <f t="shared" si="6"/>
        <v>-2.7301805778496369</v>
      </c>
      <c r="R69" s="176">
        <f t="shared" si="6"/>
        <v>-25.948252670481697</v>
      </c>
      <c r="S69" s="176">
        <f t="shared" si="6"/>
        <v>-49.92367464873707</v>
      </c>
    </row>
    <row r="70" spans="1:47">
      <c r="C70" s="123"/>
      <c r="D70" s="110"/>
      <c r="E70" s="110"/>
      <c r="F70" s="110"/>
      <c r="J70" s="107"/>
      <c r="K70" s="107"/>
      <c r="L70" s="107"/>
      <c r="M70" s="107"/>
      <c r="N70" s="23"/>
      <c r="O70" s="23"/>
      <c r="P70" s="23"/>
      <c r="Q70" s="23"/>
      <c r="R70" s="23"/>
      <c r="S70" s="23"/>
    </row>
    <row r="71" spans="1:47" s="103" customFormat="1" ht="12.75">
      <c r="A71" s="94"/>
      <c r="B71" s="95" t="s">
        <v>119</v>
      </c>
      <c r="C71" s="94"/>
      <c r="D71" s="94"/>
      <c r="E71" s="94"/>
      <c r="F71" s="96"/>
      <c r="G71" s="96"/>
      <c r="H71" s="96"/>
      <c r="I71" s="96"/>
      <c r="J71" s="97"/>
      <c r="K71" s="98"/>
      <c r="L71" s="97"/>
      <c r="M71" s="98"/>
      <c r="N71" s="97"/>
      <c r="O71" s="215"/>
      <c r="P71" s="97"/>
      <c r="Q71" s="97"/>
      <c r="R71" s="97"/>
      <c r="S71" s="97"/>
      <c r="T71" s="97"/>
      <c r="U71" s="97"/>
      <c r="V71" s="98"/>
      <c r="W71" s="98"/>
      <c r="X71" s="99"/>
      <c r="Y71" s="99"/>
      <c r="Z71" s="99"/>
      <c r="AA71" s="99"/>
      <c r="AB71" s="100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1:47" outlineLevel="1">
      <c r="C72" s="106"/>
      <c r="J72" s="107"/>
      <c r="K72" s="107"/>
      <c r="L72" s="107"/>
    </row>
    <row r="73" spans="1:47" outlineLevel="1">
      <c r="C73" s="67" t="s">
        <v>113</v>
      </c>
      <c r="D73" s="32" t="s">
        <v>7</v>
      </c>
      <c r="E73" s="32" t="s">
        <v>8</v>
      </c>
      <c r="F73" s="32" t="s">
        <v>22</v>
      </c>
      <c r="J73" s="163" t="str">
        <f>IF(YEAR(J$4)&gt;='Input|General'!$G$13,IF(YEAR(J$4)&lt;='Input|General'!$G$14,J$4,""),"")</f>
        <v/>
      </c>
      <c r="K73" s="163" t="str">
        <f>IF(YEAR(K$4)&gt;='Input|General'!$G$13,IF(YEAR(K$4)&lt;='Input|General'!$G$14,K$4,""),"")</f>
        <v/>
      </c>
      <c r="L73" s="163" t="str">
        <f>IF(YEAR(L$4)&gt;='Input|General'!$G$13,IF(YEAR(L$4)&lt;='Input|General'!$G$14,L$4,""),"")</f>
        <v/>
      </c>
      <c r="M73" s="163" t="str">
        <f>IF(YEAR(M$4)&gt;='Input|General'!$G$13,IF(YEAR(M$4)&lt;='Input|General'!$G$14,M$4,""),"")</f>
        <v/>
      </c>
      <c r="N73" s="163" t="str">
        <f>IF(YEAR(N$4)&gt;='Input|General'!$G$13,IF(YEAR(N$4)&lt;='Input|General'!$G$14,N$4,""),"")</f>
        <v/>
      </c>
      <c r="O73" s="163">
        <f>IF(YEAR(O$4)&gt;='Input|General'!$G$13,IF(YEAR(O$4)&lt;='Input|General'!$G$14,O$4,""),"")</f>
        <v>43983</v>
      </c>
      <c r="P73" s="163">
        <f>IF(YEAR(P$4)&gt;='Input|General'!$G$13,IF(YEAR(P$4)&lt;='Input|General'!$G$14,P$4,""),"")</f>
        <v>44348</v>
      </c>
      <c r="Q73" s="163">
        <f>IF(YEAR(Q$4)&gt;='Input|General'!$G$13,IF(YEAR(Q$4)&lt;='Input|General'!$G$14,Q$4,""),"")</f>
        <v>44713</v>
      </c>
      <c r="R73" s="163">
        <f>IF(YEAR(R$4)&gt;='Input|General'!$G$13,IF(YEAR(R$4)&lt;='Input|General'!$G$14,R$4,""),"")</f>
        <v>45078</v>
      </c>
      <c r="S73" s="163">
        <f>IF(YEAR(S$4)&gt;='Input|General'!$G$13,IF(YEAR(S$4)&lt;='Input|General'!$G$14,S$4,""),"")</f>
        <v>45444</v>
      </c>
    </row>
    <row r="74" spans="1:47" outlineLevel="1">
      <c r="C74" s="67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1:47" outlineLevel="1">
      <c r="C75" s="121">
        <f>'Input|Step changes'!C28</f>
        <v>0</v>
      </c>
      <c r="D75" s="110" t="s">
        <v>30</v>
      </c>
      <c r="E75" s="30" t="str">
        <f t="shared" si="4"/>
        <v>$millions</v>
      </c>
      <c r="F75" s="161">
        <f>$F$8</f>
        <v>43617</v>
      </c>
      <c r="J75" s="127">
        <f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27">
        <f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27">
        <f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27">
        <f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27">
        <f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27">
        <f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27">
        <f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27">
        <f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27">
        <f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27">
        <f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47" outlineLevel="1">
      <c r="C76" s="121">
        <f>'Input|Step changes'!C29</f>
        <v>0</v>
      </c>
      <c r="D76" s="110" t="s">
        <v>30</v>
      </c>
      <c r="E76" s="30" t="str">
        <f t="shared" si="4"/>
        <v>$millions</v>
      </c>
      <c r="F76" s="161">
        <f>$F$8</f>
        <v>43617</v>
      </c>
      <c r="J76" s="127">
        <f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27">
        <f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27">
        <f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27">
        <f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27">
        <f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27">
        <f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P76" s="127">
        <f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Q76" s="127">
        <f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27">
        <f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27">
        <f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47" outlineLevel="1">
      <c r="C77" s="121">
        <f>'Input|Step changes'!C30</f>
        <v>0</v>
      </c>
      <c r="D77" s="110" t="s">
        <v>30</v>
      </c>
      <c r="E77" s="30" t="str">
        <f t="shared" si="4"/>
        <v>$millions</v>
      </c>
      <c r="F77" s="161">
        <f>$F$8</f>
        <v>43617</v>
      </c>
      <c r="J77" s="127">
        <f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27">
        <f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27">
        <f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27">
        <f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27">
        <f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27">
        <f>'Input|Step changes'!O30*IF('Input|Step changes'!$F30="nominal",LOOKUP($F77,Nominal_to_Real,'Input|Rate of change'!S$25:S$30),INDEX('Input|Rate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P77" s="127">
        <f>'Input|Step changes'!P30*IF('Input|Step changes'!$F30="nominal",LOOKUP($F77,Nominal_to_Real,'Input|Rate of change'!T$25:T$30),INDEX('Input|Rate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Q77" s="127">
        <f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27">
        <f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27">
        <f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47" outlineLevel="1">
      <c r="C78" s="121"/>
      <c r="D78" s="108"/>
      <c r="F78" s="112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</row>
    <row r="79" spans="1:47" outlineLevel="1">
      <c r="C79" s="113" t="s">
        <v>120</v>
      </c>
      <c r="D79" s="122" t="s">
        <v>30</v>
      </c>
      <c r="E79" s="122" t="str">
        <f>$E$8</f>
        <v>$millions</v>
      </c>
      <c r="F79" s="174">
        <f>$F$8</f>
        <v>43617</v>
      </c>
      <c r="G79" s="32"/>
      <c r="H79" s="32"/>
      <c r="I79" s="32"/>
      <c r="J79" s="128">
        <f>SUM(J74:J78)</f>
        <v>0</v>
      </c>
      <c r="K79" s="128">
        <f t="shared" ref="K79:S79" si="7">SUM(K74:K78)</f>
        <v>0</v>
      </c>
      <c r="L79" s="128">
        <f t="shared" si="7"/>
        <v>0</v>
      </c>
      <c r="M79" s="128">
        <f t="shared" si="7"/>
        <v>0</v>
      </c>
      <c r="N79" s="128">
        <f t="shared" si="7"/>
        <v>0</v>
      </c>
      <c r="O79" s="128">
        <f t="shared" si="7"/>
        <v>0</v>
      </c>
      <c r="P79" s="128">
        <f t="shared" si="7"/>
        <v>0</v>
      </c>
      <c r="Q79" s="128">
        <f t="shared" si="7"/>
        <v>0</v>
      </c>
      <c r="R79" s="128">
        <f t="shared" si="7"/>
        <v>0</v>
      </c>
      <c r="S79" s="128">
        <f t="shared" si="7"/>
        <v>0</v>
      </c>
    </row>
    <row r="80" spans="1:47">
      <c r="C80" s="123"/>
      <c r="D80" s="110"/>
      <c r="E80" s="110"/>
      <c r="F80" s="110"/>
      <c r="J80" s="107"/>
      <c r="K80" s="107"/>
      <c r="L80" s="107"/>
      <c r="M80" s="107"/>
      <c r="N80" s="23"/>
      <c r="O80" s="23"/>
      <c r="P80" s="23"/>
      <c r="Q80" s="23"/>
      <c r="R80" s="23"/>
      <c r="S80" s="23"/>
    </row>
    <row r="81" spans="1:47" s="103" customFormat="1" ht="12.75">
      <c r="A81" s="94"/>
      <c r="B81" s="95" t="s">
        <v>95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8"/>
      <c r="W81" s="98"/>
      <c r="X81" s="99"/>
      <c r="Y81" s="99"/>
      <c r="Z81" s="99"/>
      <c r="AA81" s="99"/>
      <c r="AB81" s="100"/>
      <c r="AC81" s="101"/>
      <c r="AD81" s="101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1:47" outlineLevel="1">
      <c r="C82" s="106"/>
      <c r="J82" s="107"/>
      <c r="K82" s="107"/>
      <c r="L82" s="107"/>
    </row>
    <row r="83" spans="1:47" outlineLevel="1">
      <c r="C83" s="67"/>
      <c r="J83" s="163" t="str">
        <f>IF(YEAR(J$4)&gt;='Input|General'!$G$13,IF(YEAR(J$4)&lt;='Input|General'!$G$14,J$4,""),"")</f>
        <v/>
      </c>
      <c r="K83" s="163" t="str">
        <f>IF(YEAR(K$4)&gt;='Input|General'!$G$13,IF(YEAR(K$4)&lt;='Input|General'!$G$14,K$4,""),"")</f>
        <v/>
      </c>
      <c r="L83" s="163" t="str">
        <f>IF(YEAR(L$4)&gt;='Input|General'!$G$13,IF(YEAR(L$4)&lt;='Input|General'!$G$14,L$4,""),"")</f>
        <v/>
      </c>
      <c r="M83" s="163" t="str">
        <f>IF(YEAR(M$4)&gt;='Input|General'!$G$13,IF(YEAR(M$4)&lt;='Input|General'!$G$14,M$4,""),"")</f>
        <v/>
      </c>
      <c r="N83" s="163" t="str">
        <f>IF(YEAR(N$4)&gt;='Input|General'!$G$13,IF(YEAR(N$4)&lt;='Input|General'!$G$14,N$4,""),"")</f>
        <v/>
      </c>
      <c r="O83" s="163">
        <f>IF(YEAR(O$4)&gt;='Input|General'!$G$13,IF(YEAR(O$4)&lt;='Input|General'!$G$14,O$4,""),"")</f>
        <v>43983</v>
      </c>
      <c r="P83" s="163">
        <f>IF(YEAR(P$4)&gt;='Input|General'!$G$13,IF(YEAR(P$4)&lt;='Input|General'!$G$14,P$4,""),"")</f>
        <v>44348</v>
      </c>
      <c r="Q83" s="163">
        <f>IF(YEAR(Q$4)&gt;='Input|General'!$G$13,IF(YEAR(Q$4)&lt;='Input|General'!$G$14,Q$4,""),"")</f>
        <v>44713</v>
      </c>
      <c r="R83" s="163">
        <f>IF(YEAR(R$4)&gt;='Input|General'!$G$13,IF(YEAR(R$4)&lt;='Input|General'!$G$14,R$4,""),"")</f>
        <v>45078</v>
      </c>
      <c r="S83" s="163">
        <f>IF(YEAR(S$4)&gt;='Input|General'!$G$13,IF(YEAR(S$4)&lt;='Input|General'!$G$14,S$4,""),"")</f>
        <v>45444</v>
      </c>
    </row>
    <row r="84" spans="1:47" outlineLevel="1">
      <c r="C84" s="124"/>
      <c r="D84" s="110"/>
      <c r="E84" s="110"/>
      <c r="F84" s="110"/>
      <c r="J84" s="125"/>
      <c r="K84" s="125"/>
      <c r="L84" s="125"/>
      <c r="M84" s="125"/>
      <c r="N84" s="125"/>
      <c r="O84" s="125"/>
      <c r="P84" s="125"/>
      <c r="Q84" s="125"/>
      <c r="R84" s="125"/>
      <c r="S84" s="125"/>
    </row>
    <row r="85" spans="1:47" outlineLevel="1">
      <c r="C85" s="123" t="s">
        <v>136</v>
      </c>
      <c r="D85" s="126" t="s">
        <v>30</v>
      </c>
      <c r="E85" s="126" t="str">
        <f>$E$8</f>
        <v>$millions</v>
      </c>
      <c r="F85" s="174">
        <f>$F$8</f>
        <v>43617</v>
      </c>
      <c r="J85" s="151" t="str">
        <f t="shared" ref="J85:S85" si="8">IF(YEAR(J$4)&gt;=FPFirstYear,IF(YEAR(J$4)&lt;=FPLastYear,IF(ISBLANK(J83),"",(1+J53)*SUM($J39:$S39)+J69),""),"")</f>
        <v/>
      </c>
      <c r="K85" s="151" t="str">
        <f t="shared" si="8"/>
        <v/>
      </c>
      <c r="L85" s="151" t="str">
        <f t="shared" si="8"/>
        <v/>
      </c>
      <c r="M85" s="151" t="str">
        <f t="shared" si="8"/>
        <v/>
      </c>
      <c r="N85" s="151" t="str">
        <f t="shared" si="8"/>
        <v/>
      </c>
      <c r="O85" s="151">
        <f t="shared" si="8"/>
        <v>377.63786631390911</v>
      </c>
      <c r="P85" s="151">
        <f t="shared" si="8"/>
        <v>368.02424977072843</v>
      </c>
      <c r="Q85" s="151">
        <f t="shared" si="8"/>
        <v>360.19176860882624</v>
      </c>
      <c r="R85" s="151">
        <f t="shared" si="8"/>
        <v>341.7451852216704</v>
      </c>
      <c r="S85" s="151">
        <f t="shared" si="8"/>
        <v>321.90147083558446</v>
      </c>
    </row>
    <row r="86" spans="1:47" outlineLevel="1">
      <c r="C86" s="123" t="s">
        <v>111</v>
      </c>
      <c r="D86" s="126" t="s">
        <v>30</v>
      </c>
      <c r="E86" s="126" t="str">
        <f>$E$8</f>
        <v>$millions</v>
      </c>
      <c r="F86" s="174">
        <f>$F$8</f>
        <v>43617</v>
      </c>
      <c r="J86" s="151" t="str">
        <f t="shared" ref="J86:S86" si="9">IF(YEAR(J$4)&gt;=FPFirstYear,IF(YEAR(J$4)&lt;=FPLastYear,IF(ISBLANK(J83),"",(1+J53)*SUM($J39:$S39)+J69+J79),""),"")</f>
        <v/>
      </c>
      <c r="K86" s="151" t="str">
        <f t="shared" si="9"/>
        <v/>
      </c>
      <c r="L86" s="151" t="str">
        <f t="shared" si="9"/>
        <v/>
      </c>
      <c r="M86" s="151" t="str">
        <f t="shared" si="9"/>
        <v/>
      </c>
      <c r="N86" s="151" t="str">
        <f t="shared" si="9"/>
        <v/>
      </c>
      <c r="O86" s="151">
        <f t="shared" si="9"/>
        <v>377.63786631390911</v>
      </c>
      <c r="P86" s="151">
        <f t="shared" si="9"/>
        <v>368.02424977072843</v>
      </c>
      <c r="Q86" s="151">
        <f t="shared" si="9"/>
        <v>360.19176860882624</v>
      </c>
      <c r="R86" s="151">
        <f t="shared" si="9"/>
        <v>341.7451852216704</v>
      </c>
      <c r="S86" s="151">
        <f t="shared" si="9"/>
        <v>321.90147083558446</v>
      </c>
    </row>
    <row r="87" spans="1:47" outlineLevel="1">
      <c r="C87" s="123" t="s">
        <v>112</v>
      </c>
      <c r="D87" s="126" t="s">
        <v>30</v>
      </c>
      <c r="E87" s="126" t="str">
        <f>$E$8</f>
        <v>$millions</v>
      </c>
      <c r="F87" s="174">
        <f>$F$8</f>
        <v>43617</v>
      </c>
      <c r="J87" s="151" t="str">
        <f>IF(YEAR(J$4)&gt;=FPFirstYear,IF(YEAR(J$4)&lt;=FPLastYear,J86+'Input|Step changes'!J38,""),"")</f>
        <v/>
      </c>
      <c r="K87" s="151" t="str">
        <f>IF(YEAR(K$4)&gt;=FPFirstYear,IF(YEAR(K$4)&lt;=FPLastYear,K86+'Input|Step changes'!K38,""),"")</f>
        <v/>
      </c>
      <c r="L87" s="151" t="str">
        <f>IF(YEAR(L$4)&gt;=FPFirstYear,IF(YEAR(L$4)&lt;=FPLastYear,L86+'Input|Step changes'!L38,""),"")</f>
        <v/>
      </c>
      <c r="M87" s="151" t="str">
        <f>IF(YEAR(M$4)&gt;=FPFirstYear,IF(YEAR(M$4)&lt;=FPLastYear,M86+'Input|Step changes'!M38,""),"")</f>
        <v/>
      </c>
      <c r="N87" s="151" t="str">
        <f>IF(YEAR(N$4)&gt;=FPFirstYear,IF(YEAR(N$4)&lt;=FPLastYear,N86+'Input|Step changes'!N38,""),"")</f>
        <v/>
      </c>
      <c r="O87" s="151">
        <f>IF(YEAR(O$4)&gt;=FPFirstYear,IF(YEAR(O$4)&lt;=FPLastYear,O86+'Input|Step changes'!O38,""),"")</f>
        <v>381.70821471566705</v>
      </c>
      <c r="P87" s="151">
        <f>IF(YEAR(P$4)&gt;=FPFirstYear,IF(YEAR(P$4)&lt;=FPLastYear,P86+'Input|Step changes'!P38,""),"")</f>
        <v>372.2027199153469</v>
      </c>
      <c r="Q87" s="151">
        <f>IF(YEAR(Q$4)&gt;=FPFirstYear,IF(YEAR(Q$4)&lt;=FPLastYear,Q86+'Input|Step changes'!Q38,""),"")</f>
        <v>364.41775433892337</v>
      </c>
      <c r="R87" s="151">
        <f>IF(YEAR(R$4)&gt;=FPFirstYear,IF(YEAR(R$4)&lt;=FPLastYear,R86+'Input|Step changes'!R38,""),"")</f>
        <v>346.00675255709268</v>
      </c>
      <c r="S87" s="151">
        <f>IF(YEAR(S$4)&gt;=FPFirstYear,IF(YEAR(S$4)&lt;=FPLastYear,S86+'Input|Step changes'!S38,""),"")</f>
        <v>326.18060369216323</v>
      </c>
    </row>
    <row r="88" spans="1:47">
      <c r="C88" s="123"/>
      <c r="D88" s="110"/>
      <c r="E88" s="110"/>
      <c r="F88" s="110"/>
      <c r="J88" s="107"/>
      <c r="K88" s="107"/>
      <c r="L88" s="107"/>
      <c r="M88" s="107"/>
      <c r="N88" s="23"/>
      <c r="O88" s="23"/>
      <c r="P88" s="23"/>
      <c r="Q88" s="23"/>
      <c r="R88" s="23"/>
      <c r="S88" s="23"/>
    </row>
    <row r="89" spans="1:47" s="103" customFormat="1" ht="12.75">
      <c r="A89" s="94"/>
      <c r="B89" s="95" t="s">
        <v>21</v>
      </c>
      <c r="C89" s="94"/>
      <c r="D89" s="94"/>
      <c r="E89" s="94"/>
      <c r="F89" s="96"/>
      <c r="G89" s="96"/>
      <c r="H89" s="96"/>
      <c r="I89" s="96"/>
      <c r="J89" s="97"/>
      <c r="K89" s="98"/>
      <c r="L89" s="97"/>
      <c r="M89" s="98"/>
      <c r="N89" s="97"/>
      <c r="O89" s="97"/>
      <c r="P89" s="97"/>
      <c r="Q89" s="97"/>
      <c r="R89" s="97"/>
      <c r="S89" s="97"/>
      <c r="T89" s="97"/>
      <c r="U89" s="97"/>
      <c r="V89" s="98"/>
      <c r="W89" s="98"/>
      <c r="X89" s="99"/>
      <c r="Y89" s="99"/>
      <c r="Z89" s="99"/>
      <c r="AA89" s="99"/>
      <c r="AB89" s="100"/>
      <c r="AC89" s="101"/>
      <c r="AD89" s="101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spans="4:9" hidden="1"/>
    <row r="98" spans="4:9" hidden="1">
      <c r="D98" s="29"/>
      <c r="E98" s="29"/>
      <c r="F98" s="29"/>
      <c r="G98" s="29"/>
      <c r="H98" s="29"/>
      <c r="I98" s="29"/>
    </row>
    <row r="99" spans="4:9" hidden="1">
      <c r="D99" s="29"/>
      <c r="E99" s="29"/>
      <c r="F99" s="29"/>
      <c r="G99" s="29"/>
      <c r="H99" s="29"/>
      <c r="I99" s="29"/>
    </row>
    <row r="100" spans="4:9" hidden="1">
      <c r="D100" s="29"/>
      <c r="E100" s="29"/>
      <c r="F100" s="29"/>
      <c r="G100" s="29"/>
      <c r="H100" s="29"/>
      <c r="I100" s="29"/>
    </row>
    <row r="101" spans="4:9" hidden="1">
      <c r="D101" s="29"/>
      <c r="E101" s="29"/>
      <c r="F101" s="29"/>
      <c r="G101" s="29"/>
      <c r="H101" s="29"/>
      <c r="I101" s="29"/>
    </row>
    <row r="102" spans="4:9" hidden="1">
      <c r="D102" s="29"/>
      <c r="E102" s="29"/>
      <c r="F102" s="29"/>
      <c r="G102" s="29"/>
      <c r="H102" s="29"/>
      <c r="I102" s="29"/>
    </row>
    <row r="103" spans="4:9" hidden="1">
      <c r="D103" s="29"/>
      <c r="E103" s="29"/>
      <c r="F103" s="29"/>
      <c r="G103" s="29"/>
      <c r="H103" s="29"/>
      <c r="I103" s="29"/>
    </row>
    <row r="104" spans="4:9" hidden="1">
      <c r="D104" s="29"/>
      <c r="E104" s="29"/>
      <c r="F104" s="29"/>
      <c r="G104" s="29"/>
      <c r="H104" s="29"/>
      <c r="I104" s="29"/>
    </row>
    <row r="105" spans="4:9" hidden="1">
      <c r="D105" s="29"/>
      <c r="E105" s="29"/>
      <c r="F105" s="29"/>
      <c r="G105" s="29"/>
      <c r="H105" s="29"/>
      <c r="I105" s="29"/>
    </row>
    <row r="106" spans="4:9" hidden="1">
      <c r="D106" s="29"/>
      <c r="E106" s="29"/>
      <c r="F106" s="29"/>
      <c r="G106" s="29"/>
      <c r="H106" s="29"/>
      <c r="I106" s="29"/>
    </row>
    <row r="107" spans="4:9" hidden="1">
      <c r="D107" s="29"/>
      <c r="E107" s="29"/>
      <c r="F107" s="29"/>
      <c r="G107" s="29"/>
      <c r="H107" s="29"/>
      <c r="I107" s="29"/>
    </row>
    <row r="108" spans="4:9" hidden="1">
      <c r="D108" s="29"/>
      <c r="E108" s="29"/>
      <c r="F108" s="29"/>
      <c r="G108" s="29"/>
      <c r="H108" s="29"/>
      <c r="I108" s="29"/>
    </row>
    <row r="109" spans="4:9" hidden="1">
      <c r="D109" s="29"/>
      <c r="E109" s="29"/>
      <c r="F109" s="29"/>
      <c r="G109" s="29"/>
      <c r="H109" s="29"/>
      <c r="I109" s="29"/>
    </row>
    <row r="110" spans="4:9" hidden="1">
      <c r="D110" s="29"/>
      <c r="E110" s="29"/>
      <c r="F110" s="29"/>
      <c r="G110" s="29"/>
      <c r="H110" s="29"/>
      <c r="I110" s="29"/>
    </row>
    <row r="111" spans="4:9" hidden="1">
      <c r="D111" s="29"/>
      <c r="E111" s="29"/>
      <c r="F111" s="29"/>
      <c r="G111" s="29"/>
      <c r="H111" s="29"/>
      <c r="I111" s="29"/>
    </row>
    <row r="112" spans="4:9" hidden="1">
      <c r="D112" s="29"/>
      <c r="E112" s="29"/>
      <c r="F112" s="29"/>
      <c r="G112" s="29"/>
      <c r="H112" s="29"/>
      <c r="I112" s="29"/>
    </row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/>
    <row r="176" spans="4:9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</sheetData>
  <mergeCells count="1">
    <mergeCell ref="N3:S3"/>
  </mergeCells>
  <conditionalFormatting sqref="S1">
    <cfRule type="cellIs" dxfId="80" priority="100" operator="equal">
      <formula>"Check"</formula>
    </cfRule>
    <cfRule type="cellIs" dxfId="79" priority="101" operator="equal">
      <formula>"Ok"</formula>
    </cfRule>
  </conditionalFormatting>
  <conditionalFormatting sqref="V1">
    <cfRule type="cellIs" dxfId="78" priority="102" operator="equal">
      <formula>"Check"</formula>
    </cfRule>
    <cfRule type="cellIs" dxfId="77" priority="103" operator="equal">
      <formula>"Ok"</formula>
    </cfRule>
  </conditionalFormatting>
  <conditionalFormatting sqref="R24:S24 R27:S27 R30:S30 R33:S33 J12:S14">
    <cfRule type="cellIs" dxfId="76" priority="99" operator="equal">
      <formula>0</formula>
    </cfRule>
  </conditionalFormatting>
  <conditionalFormatting sqref="J13:S13">
    <cfRule type="cellIs" dxfId="75" priority="98" operator="equal">
      <formula>0</formula>
    </cfRule>
  </conditionalFormatting>
  <conditionalFormatting sqref="J47:S50">
    <cfRule type="cellIs" dxfId="74" priority="93" operator="equal">
      <formula>0</formula>
    </cfRule>
  </conditionalFormatting>
  <conditionalFormatting sqref="J59:S67 J75:S77">
    <cfRule type="cellIs" dxfId="73" priority="91" operator="equal">
      <formula>0</formula>
    </cfRule>
  </conditionalFormatting>
  <conditionalFormatting sqref="J21:S21 J36:S39">
    <cfRule type="cellIs" dxfId="72" priority="88" operator="equal">
      <formula>0</formula>
    </cfRule>
  </conditionalFormatting>
  <conditionalFormatting sqref="J86:S87">
    <cfRule type="cellIs" dxfId="71" priority="87" operator="equal">
      <formula>0</formula>
    </cfRule>
  </conditionalFormatting>
  <conditionalFormatting sqref="J86:S87">
    <cfRule type="cellIs" dxfId="70" priority="86" operator="equal">
      <formula>0</formula>
    </cfRule>
  </conditionalFormatting>
  <conditionalFormatting sqref="J31:S31">
    <cfRule type="cellIs" dxfId="69" priority="49" operator="equal">
      <formula>0</formula>
    </cfRule>
  </conditionalFormatting>
  <conditionalFormatting sqref="J24:Q24 J27:Q27 J30:Q30">
    <cfRule type="cellIs" dxfId="68" priority="67" operator="equal">
      <formula>0</formula>
    </cfRule>
  </conditionalFormatting>
  <conditionalFormatting sqref="J24:Q24 J27:Q27 J30:Q30">
    <cfRule type="cellIs" dxfId="67" priority="66" operator="equal">
      <formula>0</formula>
    </cfRule>
  </conditionalFormatting>
  <conditionalFormatting sqref="J22:S22">
    <cfRule type="cellIs" dxfId="66" priority="62" operator="equal">
      <formula>0</formula>
    </cfRule>
  </conditionalFormatting>
  <conditionalFormatting sqref="J22:S22">
    <cfRule type="cellIs" dxfId="65" priority="61" operator="equal">
      <formula>0</formula>
    </cfRule>
  </conditionalFormatting>
  <conditionalFormatting sqref="J33:Q33">
    <cfRule type="cellIs" dxfId="64" priority="52" operator="equal">
      <formula>0</formula>
    </cfRule>
  </conditionalFormatting>
  <conditionalFormatting sqref="J33:Q33">
    <cfRule type="cellIs" dxfId="63" priority="51" operator="equal">
      <formula>0</formula>
    </cfRule>
  </conditionalFormatting>
  <conditionalFormatting sqref="J25:S25">
    <cfRule type="cellIs" dxfId="62" priority="58" operator="equal">
      <formula>0</formula>
    </cfRule>
  </conditionalFormatting>
  <conditionalFormatting sqref="J25:S25">
    <cfRule type="cellIs" dxfId="61" priority="57" operator="equal">
      <formula>0</formula>
    </cfRule>
  </conditionalFormatting>
  <conditionalFormatting sqref="J31:S31">
    <cfRule type="cellIs" dxfId="60" priority="50" operator="equal">
      <formula>0</formula>
    </cfRule>
  </conditionalFormatting>
  <conditionalFormatting sqref="J28:S28">
    <cfRule type="cellIs" dxfId="59" priority="54" operator="equal">
      <formula>0</formula>
    </cfRule>
  </conditionalFormatting>
  <conditionalFormatting sqref="J28:S28">
    <cfRule type="cellIs" dxfId="58" priority="53" operator="equal">
      <formula>0</formula>
    </cfRule>
  </conditionalFormatting>
  <conditionalFormatting sqref="J34:S34">
    <cfRule type="cellIs" dxfId="57" priority="44" operator="equal">
      <formula>0</formula>
    </cfRule>
  </conditionalFormatting>
  <conditionalFormatting sqref="J34:S34">
    <cfRule type="cellIs" dxfId="56" priority="45" operator="equal">
      <formula>0</formula>
    </cfRule>
  </conditionalFormatting>
  <conditionalFormatting sqref="J23:S23">
    <cfRule type="cellIs" dxfId="55" priority="43" operator="equal">
      <formula>0</formula>
    </cfRule>
  </conditionalFormatting>
  <conditionalFormatting sqref="J23:S23">
    <cfRule type="cellIs" dxfId="54" priority="42" operator="equal">
      <formula>0</formula>
    </cfRule>
  </conditionalFormatting>
  <conditionalFormatting sqref="J26:S26">
    <cfRule type="cellIs" dxfId="53" priority="41" operator="equal">
      <formula>0</formula>
    </cfRule>
  </conditionalFormatting>
  <conditionalFormatting sqref="J26:S26">
    <cfRule type="cellIs" dxfId="52" priority="40" operator="equal">
      <formula>0</formula>
    </cfRule>
  </conditionalFormatting>
  <conditionalFormatting sqref="J29:S29">
    <cfRule type="cellIs" dxfId="51" priority="39" operator="equal">
      <formula>0</formula>
    </cfRule>
  </conditionalFormatting>
  <conditionalFormatting sqref="J29:S29">
    <cfRule type="cellIs" dxfId="50" priority="38" operator="equal">
      <formula>0</formula>
    </cfRule>
  </conditionalFormatting>
  <conditionalFormatting sqref="J32:S32">
    <cfRule type="cellIs" dxfId="49" priority="37" operator="equal">
      <formula>0</formula>
    </cfRule>
  </conditionalFormatting>
  <conditionalFormatting sqref="J32:S32">
    <cfRule type="cellIs" dxfId="48" priority="36" operator="equal">
      <formula>0</formula>
    </cfRule>
  </conditionalFormatting>
  <conditionalFormatting sqref="J35:S35">
    <cfRule type="cellIs" dxfId="47" priority="35" operator="equal">
      <formula>0</formula>
    </cfRule>
  </conditionalFormatting>
  <conditionalFormatting sqref="J35:S35">
    <cfRule type="cellIs" dxfId="46" priority="34" operator="equal">
      <formula>0</formula>
    </cfRule>
  </conditionalFormatting>
  <conditionalFormatting sqref="J85:S85">
    <cfRule type="cellIs" dxfId="45" priority="23" operator="equal">
      <formula>0</formula>
    </cfRule>
  </conditionalFormatting>
  <conditionalFormatting sqref="J85:S85">
    <cfRule type="cellIs" dxfId="44" priority="22" operator="equal">
      <formula>0</formula>
    </cfRule>
  </conditionalFormatting>
  <conditionalFormatting sqref="J10:S10">
    <cfRule type="expression" dxfId="43" priority="21">
      <formula>J$10=J$4</formula>
    </cfRule>
  </conditionalFormatting>
  <conditionalFormatting sqref="J17:S17">
    <cfRule type="expression" dxfId="42" priority="20">
      <formula>J$10=J$4</formula>
    </cfRule>
  </conditionalFormatting>
  <conditionalFormatting sqref="J39:S39">
    <cfRule type="expression" dxfId="41" priority="19">
      <formula>J$10=J$4</formula>
    </cfRule>
  </conditionalFormatting>
  <conditionalFormatting sqref="J18:S19">
    <cfRule type="cellIs" dxfId="40" priority="16" operator="equal">
      <formula>0</formula>
    </cfRule>
  </conditionalFormatting>
  <conditionalFormatting sqref="J53:S53">
    <cfRule type="cellIs" dxfId="39" priority="12" operator="equal">
      <formula>0</formula>
    </cfRule>
  </conditionalFormatting>
  <conditionalFormatting sqref="J20:S20">
    <cfRule type="cellIs" dxfId="38" priority="11" operator="equal">
      <formula>0</formula>
    </cfRule>
  </conditionalFormatting>
  <conditionalFormatting sqref="J20:S20">
    <cfRule type="cellIs" dxfId="37" priority="10" operator="equal">
      <formula>0</formula>
    </cfRule>
  </conditionalFormatting>
  <conditionalFormatting sqref="J15:S16">
    <cfRule type="cellIs" dxfId="36" priority="7" operator="equal">
      <formula>0</formula>
    </cfRule>
  </conditionalFormatting>
  <conditionalFormatting sqref="J16:S16">
    <cfRule type="cellIs" dxfId="35" priority="6" operator="equal">
      <formula>0</formula>
    </cfRule>
  </conditionalFormatting>
  <conditionalFormatting sqref="J52:S52">
    <cfRule type="expression" dxfId="34" priority="138">
      <formula>J$43=J$4</formula>
    </cfRule>
    <cfRule type="cellIs" dxfId="33" priority="139" operator="equal">
      <formula>0</formula>
    </cfRule>
  </conditionalFormatting>
  <conditionalFormatting sqref="J79:S79">
    <cfRule type="expression" dxfId="32" priority="140">
      <formula>J$73=J$4</formula>
    </cfRule>
    <cfRule type="cellIs" dxfId="31" priority="141" operator="equal">
      <formula>0</formula>
    </cfRule>
  </conditionalFormatting>
  <conditionalFormatting sqref="J69:S69">
    <cfRule type="expression" dxfId="30" priority="142">
      <formula>J$57=J$4</formula>
    </cfRule>
    <cfRule type="cellIs" dxfId="29" priority="143" operator="equal">
      <formula>0</formula>
    </cfRule>
  </conditionalFormatting>
  <conditionalFormatting sqref="J57:S57 J73:S73 J43:S43">
    <cfRule type="expression" dxfId="28" priority="144">
      <formula>J$43=J$4</formula>
    </cfRule>
  </conditionalFormatting>
  <conditionalFormatting sqref="J83:S83">
    <cfRule type="expression" dxfId="27" priority="147">
      <formula>J$83=J$4</formula>
    </cfRule>
  </conditionalFormatting>
  <conditionalFormatting sqref="J46:S46">
    <cfRule type="cellIs" dxfId="26" priority="1" operator="equal">
      <formula>0</formula>
    </cfRule>
  </conditionalFormatting>
  <dataValidations disablePrompts="1" count="2">
    <dataValidation type="list" allowBlank="1" showInputMessage="1" showErrorMessage="1" sqref="F80 F78 F88 F70">
      <formula1>"Real 2010,Real 2011,Real 2012,Real 2013,Real 2014,Real 2015,Nominal"</formula1>
    </dataValidation>
    <dataValidation type="list" allowBlank="1" showInputMessage="1" showErrorMessage="1" sqref="F68">
      <formula1>$G$45:$G$51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E17" sqref="E17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Check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2"/>
      <c r="E3" s="182"/>
      <c r="F3" s="182"/>
      <c r="G3" s="182"/>
      <c r="H3" s="182"/>
      <c r="I3" s="182"/>
      <c r="J3" s="172" t="s">
        <v>121</v>
      </c>
      <c r="K3" s="172"/>
      <c r="L3" s="172"/>
      <c r="M3" s="182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forecast'!C85</f>
        <v>Total forecast opex, excluding category specific forecasts</v>
      </c>
      <c r="D13" s="34" t="s">
        <v>108</v>
      </c>
      <c r="E13" s="30" t="str">
        <f>$E$8</f>
        <v>$millions</v>
      </c>
      <c r="F13" s="161">
        <f>$F$8</f>
        <v>43617</v>
      </c>
      <c r="H13" s="32"/>
      <c r="I13" s="32"/>
      <c r="J13" s="180">
        <f>IF(J11="",0,'Calc|Opex forecast'!J85*IF('Calc|Opex forecast'!$F$85="nominal",LOOKUP($F13,Nominal_to_Real,'Input|Rate of change'!P$25:P$30),INDEX('Input|Rate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K13" s="180">
        <f>IF(K11="",0,'Calc|Opex forecast'!K85*IF('Calc|Opex forecast'!$F$85="nominal",LOOKUP($F13,Nominal_to_Real,'Input|Rate of change'!Q$25:Q$30),INDEX('Input|Rate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L13" s="180">
        <f>IF(L11="",0,'Calc|Opex forecast'!L85*IF('Calc|Opex forecast'!$F$85="nominal",LOOKUP($F13,Nominal_to_Real,'Input|Rate of change'!R$25:R$30),INDEX('Input|Rate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M13" s="180">
        <f>IF(M11="",0,'Calc|Opex forecast'!M85*IF('Calc|Opex forecast'!$F$85="nominal",LOOKUP($F13,Nominal_to_Real,'Input|Rate of change'!S$25:S$30),INDEX('Input|Rate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N13" s="180">
        <f>IF(N11="",0,'Calc|Opex forecast'!N85*IF('Calc|Opex forecast'!$F$85="nominal",LOOKUP($F13,Nominal_to_Real,'Input|Rate of change'!T$25:T$30),INDEX('Input|Rate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O13" s="180">
        <f>IF(O11="",0,'Calc|Opex forecast'!O85*IF('Calc|Opex forecast'!$F$85="nominal",LOOKUP($F13,Nominal_to_Real,'Input|Rate of change'!U$25:U$30),INDEX('Input|Rate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377.63786631390911</v>
      </c>
      <c r="P13" s="180">
        <f>IF(P11="",0,'Calc|Opex forecast'!P85*IF('Calc|Opex forecast'!$F$85="nominal",LOOKUP($F13,Nominal_to_Real,'Input|Rate of change'!V$25:V$30),INDEX('Input|Rate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368.02424977072843</v>
      </c>
      <c r="Q13" s="180">
        <f>IF(Q11="",0,'Calc|Opex forecast'!Q85*IF('Calc|Opex forecast'!$F$85="nominal",LOOKUP($F13,Nominal_to_Real,'Input|Rate of change'!W$25:W$30),INDEX('Input|Rate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360.19176860882624</v>
      </c>
      <c r="R13" s="180">
        <f>IF(R11="",0,'Calc|Opex forecast'!R85*IF('Calc|Opex forecast'!$F$85="nominal",LOOKUP($F13,Nominal_to_Real,'Input|Rate of change'!X$25:X$30),INDEX('Input|Rate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341.7451852216704</v>
      </c>
      <c r="S13" s="180">
        <f>IF(S11="",0,'Calc|Opex forecast'!S85*IF('Calc|Opex forecast'!$F$85="nominal",LOOKUP($F13,Nominal_to_Real,'Input|Rate of change'!Y$25:Y$30),INDEX('Input|Rate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321.90147083558446</v>
      </c>
      <c r="T13" s="111"/>
      <c r="U13" s="152"/>
    </row>
    <row r="14" spans="1:26">
      <c r="C14" s="111">
        <f>'Input|Step changes'!C28</f>
        <v>0</v>
      </c>
      <c r="D14" s="34" t="s">
        <v>108</v>
      </c>
      <c r="E14" s="30" t="str">
        <f>$E$8</f>
        <v>$millions</v>
      </c>
      <c r="F14" s="161">
        <f>$F$8</f>
        <v>43617</v>
      </c>
      <c r="H14" s="32"/>
      <c r="I14" s="32"/>
      <c r="J14" s="180">
        <f>IF(J$11="",0,'Calc|Opex forecast'!J75*IF('Calc|Opex forecast'!$F75="nominal",LOOKUP($F14,Nominal_to_Real,'Input|Rate of change'!P$25:P$30),INDEX('Input|Rate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K14" s="180">
        <f>IF(K$11="",0,'Calc|Opex forecast'!K75*IF('Calc|Opex forecast'!$F75="nominal",LOOKUP($F14,Nominal_to_Real,'Input|Rate of change'!Q$25:Q$30),INDEX('Input|Rate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L14" s="180">
        <f>IF(L$11="",0,'Calc|Opex forecast'!L75*IF('Calc|Opex forecast'!$F75="nominal",LOOKUP($F14,Nominal_to_Real,'Input|Rate of change'!R$25:R$30),INDEX('Input|Rate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M14" s="180">
        <f>IF(M$11="",0,'Calc|Opex forecast'!M75*IF('Calc|Opex forecast'!$F75="nominal",LOOKUP($F14,Nominal_to_Real,'Input|Rate of change'!S$25:S$30),INDEX('Input|Rate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N14" s="180">
        <f>IF(N$11="",0,'Calc|Opex forecast'!N75*IF('Calc|Opex forecast'!$F75="nominal",LOOKUP($F14,Nominal_to_Real,'Input|Rate of change'!T$25:T$30),INDEX('Input|Rate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O14" s="180">
        <f>IF(O$11="",0,'Calc|Opex forecast'!O75*IF('Calc|Opex forecast'!$F75="nominal",LOOKUP($F14,Nominal_to_Real,'Input|Rate of change'!U$25:U$30),INDEX('Input|Rate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P14" s="180">
        <f>IF(P$11="",0,'Calc|Opex forecast'!P75*IF('Calc|Opex forecast'!$F75="nominal",LOOKUP($F14,Nominal_to_Real,'Input|Rate of change'!V$25:V$30),INDEX('Input|Rate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Q14" s="180">
        <f>IF(Q$11="",0,'Calc|Opex forecast'!Q75*IF('Calc|Opex forecast'!$F75="nominal",LOOKUP($F14,Nominal_to_Real,'Input|Rate of change'!W$25:W$30),INDEX('Input|Rate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R14" s="180">
        <f>IF(R$11="",0,'Calc|Opex forecast'!R75*IF('Calc|Opex forecast'!$F75="nominal",LOOKUP($F14,Nominal_to_Real,'Input|Rate of change'!X$25:X$30),INDEX('Input|Rate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S14" s="180">
        <f>IF(S$11="",0,'Calc|Opex forecast'!S75*IF('Calc|Opex forecast'!$F75="nominal",LOOKUP($F14,Nominal_to_Real,'Input|Rate of change'!Y$25:Y$30),INDEX('Input|Rate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108</v>
      </c>
      <c r="E15" s="30" t="str">
        <f>$E$8</f>
        <v>$millions</v>
      </c>
      <c r="F15" s="161">
        <f>$F$8</f>
        <v>43617</v>
      </c>
      <c r="H15" s="32"/>
      <c r="I15" s="32"/>
      <c r="J15" s="180">
        <f>IF(J$11="",0,'Calc|Opex forecast'!J76*IF('Calc|Opex forecast'!$F76="nominal",LOOKUP($F15,Nominal_to_Real,'Input|Rate of change'!P$25:P$30),INDEX('Input|Rate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K15" s="180">
        <f>IF(K$11="",0,'Calc|Opex forecast'!K76*IF('Calc|Opex forecast'!$F76="nominal",LOOKUP($F15,Nominal_to_Real,'Input|Rate of change'!Q$25:Q$30),INDEX('Input|Rate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L15" s="180">
        <f>IF(L$11="",0,'Calc|Opex forecast'!L76*IF('Calc|Opex forecast'!$F76="nominal",LOOKUP($F15,Nominal_to_Real,'Input|Rate of change'!R$25:R$30),INDEX('Input|Rate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M15" s="180">
        <f>IF(M$11="",0,'Calc|Opex forecast'!M76*IF('Calc|Opex forecast'!$F76="nominal",LOOKUP($F15,Nominal_to_Real,'Input|Rate of change'!S$25:S$30),INDEX('Input|Rate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N15" s="180">
        <f>IF(N$11="",0,'Calc|Opex forecast'!N76*IF('Calc|Opex forecast'!$F76="nominal",LOOKUP($F15,Nominal_to_Real,'Input|Rate of change'!T$25:T$30),INDEX('Input|Rate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O15" s="180">
        <f>IF(O$11="",0,'Calc|Opex forecast'!O76*IF('Calc|Opex forecast'!$F76="nominal",LOOKUP($F15,Nominal_to_Real,'Input|Rate of change'!U$25:U$30),INDEX('Input|Rate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P15" s="180">
        <f>IF(P$11="",0,'Calc|Opex forecast'!P76*IF('Calc|Opex forecast'!$F76="nominal",LOOKUP($F15,Nominal_to_Real,'Input|Rate of change'!V$25:V$30),INDEX('Input|Rate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Q15" s="180">
        <f>IF(Q$11="",0,'Calc|Opex forecast'!Q76*IF('Calc|Opex forecast'!$F76="nominal",LOOKUP($F15,Nominal_to_Real,'Input|Rate of change'!W$25:W$30),INDEX('Input|Rate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R15" s="180">
        <f>IF(R$11="",0,'Calc|Opex forecast'!R76*IF('Calc|Opex forecast'!$F76="nominal",LOOKUP($F15,Nominal_to_Real,'Input|Rate of change'!X$25:X$30),INDEX('Input|Rate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S15" s="180">
        <f>IF(S$11="",0,'Calc|Opex forecast'!S76*IF('Calc|Opex forecast'!$F76="nominal",LOOKUP($F15,Nominal_to_Real,'Input|Rate of change'!Y$25:Y$30),INDEX('Input|Rate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108</v>
      </c>
      <c r="E16" s="30" t="str">
        <f>$E$8</f>
        <v>$millions</v>
      </c>
      <c r="F16" s="161">
        <f>$F$8</f>
        <v>43617</v>
      </c>
      <c r="H16" s="32"/>
      <c r="I16" s="32"/>
      <c r="J16" s="180">
        <f>IF(J$11="",0,'Calc|Opex forecast'!J77*IF('Calc|Opex forecast'!$F77="nominal",LOOKUP($F16,Nominal_to_Real,'Input|Rate of change'!P$25:P$30),INDEX('Input|Rate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K16" s="180">
        <f>IF(K$11="",0,'Calc|Opex forecast'!K77*IF('Calc|Opex forecast'!$F77="nominal",LOOKUP($F16,Nominal_to_Real,'Input|Rate of change'!Q$25:Q$30),INDEX('Input|Rate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L16" s="180">
        <f>IF(L$11="",0,'Calc|Opex forecast'!L77*IF('Calc|Opex forecast'!$F77="nominal",LOOKUP($F16,Nominal_to_Real,'Input|Rate of change'!R$25:R$30),INDEX('Input|Rate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M16" s="180">
        <f>IF(M$11="",0,'Calc|Opex forecast'!M77*IF('Calc|Opex forecast'!$F77="nominal",LOOKUP($F16,Nominal_to_Real,'Input|Rate of change'!S$25:S$30),INDEX('Input|Rate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N16" s="180">
        <f>IF(N$11="",0,'Calc|Opex forecast'!N77*IF('Calc|Opex forecast'!$F77="nominal",LOOKUP($F16,Nominal_to_Real,'Input|Rate of change'!T$25:T$30),INDEX('Input|Rate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O16" s="180">
        <f>IF(O$11="",0,'Calc|Opex forecast'!O77*IF('Calc|Opex forecast'!$F77="nominal",LOOKUP($F16,Nominal_to_Real,'Input|Rate of change'!U$25:U$30),INDEX('Input|Rate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P16" s="180">
        <f>IF(P$11="",0,'Calc|Opex forecast'!P77*IF('Calc|Opex forecast'!$F77="nominal",LOOKUP($F16,Nominal_to_Real,'Input|Rate of change'!V$25:V$30),INDEX('Input|Rate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Q16" s="180">
        <f>IF(Q$11="",0,'Calc|Opex forecast'!Q77*IF('Calc|Opex forecast'!$F77="nominal",LOOKUP($F16,Nominal_to_Real,'Input|Rate of change'!W$25:W$30),INDEX('Input|Rate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R16" s="180">
        <f>IF(R$11="",0,'Calc|Opex forecast'!R77*IF('Calc|Opex forecast'!$F77="nominal",LOOKUP($F16,Nominal_to_Real,'Input|Rate of change'!X$25:X$30),INDEX('Input|Rate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S16" s="180">
        <f>IF(S$11="",0,'Calc|Opex forecast'!S77*IF('Calc|Opex forecast'!$F77="nominal",LOOKUP($F16,Nominal_to_Real,'Input|Rate of change'!Y$25:Y$30),INDEX('Input|Rate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T16" s="111"/>
      <c r="U16" s="207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55" workbookViewId="0">
      <selection activeCell="K60" sqref="K60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124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125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126</v>
      </c>
      <c r="D28" s="16" t="s">
        <v>73</v>
      </c>
      <c r="E28" s="16"/>
      <c r="F28" s="16"/>
      <c r="G28" s="154">
        <v>36617</v>
      </c>
    </row>
    <row r="29" spans="1:47">
      <c r="C29" s="15" t="s">
        <v>127</v>
      </c>
      <c r="D29" s="16" t="s">
        <v>73</v>
      </c>
      <c r="E29" s="16"/>
      <c r="F29" s="16"/>
      <c r="G29" s="154">
        <v>36647</v>
      </c>
    </row>
    <row r="30" spans="1:47">
      <c r="C30" s="15" t="s">
        <v>128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129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130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131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132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133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134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158</v>
      </c>
      <c r="H40" s="14" t="s">
        <v>156</v>
      </c>
      <c r="I40" s="14" t="s">
        <v>157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154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155</v>
      </c>
      <c r="H64" s="14" t="s">
        <v>121</v>
      </c>
    </row>
    <row r="65" spans="1:47">
      <c r="C65" s="15" t="s">
        <v>142</v>
      </c>
      <c r="D65" s="16" t="s">
        <v>103</v>
      </c>
      <c r="E65" s="16"/>
      <c r="F65" s="16"/>
      <c r="G65" s="183" t="str">
        <f>IF(MONTH('Input|General'!$G$9)=12,PPFirstYear,PPFirstYear-1&amp;"–"&amp;RIGHT(PPFirstYear,2))</f>
        <v>2014–15</v>
      </c>
      <c r="H65" s="185">
        <f>DATE(PPFirstYear,MONTH('Input|General'!$G$9),1)</f>
        <v>42156</v>
      </c>
    </row>
    <row r="66" spans="1:47">
      <c r="C66" s="15" t="s">
        <v>143</v>
      </c>
      <c r="D66" s="16" t="s">
        <v>103</v>
      </c>
      <c r="E66" s="16"/>
      <c r="F66" s="16"/>
      <c r="G66" s="184" t="str">
        <f>IF(PPLastYear-PPFirstYear&lt;1,"",LEFT(G65,4)+1&amp;"–"&amp;RIGHT(G65,2)+1)</f>
        <v>2015–16</v>
      </c>
      <c r="H66" s="185">
        <f>IF(PPLastYear-PPFirstYear&lt;1,"",DATE(PPFirstYear+1,MONTH('Input|General'!$G$9),1))</f>
        <v>42522</v>
      </c>
    </row>
    <row r="67" spans="1:47">
      <c r="C67" s="15" t="s">
        <v>144</v>
      </c>
      <c r="D67" s="16" t="s">
        <v>103</v>
      </c>
      <c r="E67" s="16"/>
      <c r="F67" s="16"/>
      <c r="G67" s="184" t="str">
        <f>IF(PPLastYear-PPFirstYear&lt;2,"",LEFT(G66,4)+1&amp;"–"&amp;RIGHT(G66,2)+1)</f>
        <v>2016–17</v>
      </c>
      <c r="H67" s="185">
        <f>IF(PPLastYear-PPFirstYear&lt;2,"",DATE(PPFirstYear+2,MONTH('Input|General'!$G$9),1))</f>
        <v>42887</v>
      </c>
    </row>
    <row r="68" spans="1:47">
      <c r="C68" s="15" t="s">
        <v>145</v>
      </c>
      <c r="D68" s="16" t="s">
        <v>103</v>
      </c>
      <c r="E68" s="16"/>
      <c r="F68" s="16"/>
      <c r="G68" s="184" t="str">
        <f>IF(PPLastYear-PPFirstYear&lt;3,"",LEFT(G67,4)+1&amp;"–"&amp;RIGHT(G67,2)+1)</f>
        <v>2017–18</v>
      </c>
      <c r="H68" s="185">
        <f>IF(PPLastYear-PPFirstYear&lt;3,"",DATE(PPFirstYear+3,MONTH('Input|General'!$G$9),1))</f>
        <v>43252</v>
      </c>
    </row>
    <row r="69" spans="1:47">
      <c r="C69" s="15" t="s">
        <v>146</v>
      </c>
      <c r="D69" s="16" t="s">
        <v>103</v>
      </c>
      <c r="E69" s="16"/>
      <c r="F69" s="16"/>
      <c r="G69" s="184" t="str">
        <f>IF(PPLastYear-PPFirstYear&lt;4,"",LEFT(G68,4)+1&amp;"–"&amp;RIGHT(G68,2)+1)</f>
        <v>2018–19</v>
      </c>
      <c r="H69" s="185">
        <f>IF(PPLastYear-PPFirstYear&lt;4,"",DATE(PPFirstYear+4,MONTH('Input|General'!$G$9),1))</f>
        <v>43617</v>
      </c>
    </row>
    <row r="70" spans="1:47">
      <c r="C70" s="15" t="s">
        <v>147</v>
      </c>
      <c r="D70" s="16" t="s">
        <v>103</v>
      </c>
      <c r="E70" s="16"/>
      <c r="F70" s="16"/>
      <c r="G70" s="184" t="str">
        <f>IF(MONTH('Input|General'!$G$9)=12,FPFirstYear,FPFirstYear-1&amp;"–"&amp;RIGHT(FPFirstYear,2))</f>
        <v>2019–20</v>
      </c>
      <c r="H70" s="185">
        <f>DATE(FPFirstYear,MONTH('Input|General'!$G$9),1)</f>
        <v>43983</v>
      </c>
      <c r="T70" s="17"/>
    </row>
    <row r="71" spans="1:47">
      <c r="C71" s="15" t="s">
        <v>148</v>
      </c>
      <c r="D71" s="16" t="s">
        <v>103</v>
      </c>
      <c r="E71" s="16"/>
      <c r="F71" s="16"/>
      <c r="G71" s="184" t="str">
        <f>IF(FPLastYear-FPFirstYear&lt;1,"",LEFT(G70,4)+1&amp;"–"&amp;RIGHT(G70,2)+1)</f>
        <v>2020–21</v>
      </c>
      <c r="H71" s="185">
        <f>IF(FPLastYear-FPFirstYear&lt;1,"",DATE(FPFirstYear+1,MONTH('Input|General'!$G$9),1))</f>
        <v>44348</v>
      </c>
      <c r="T71" s="17"/>
    </row>
    <row r="72" spans="1:47">
      <c r="C72" s="15" t="s">
        <v>149</v>
      </c>
      <c r="D72" s="16" t="s">
        <v>103</v>
      </c>
      <c r="E72" s="16"/>
      <c r="F72" s="16"/>
      <c r="G72" s="184" t="str">
        <f>IF(FPLastYear-FPFirstYear&lt;2,"",LEFT(G71,4)+1&amp;"–"&amp;RIGHT(G71,2)+1)</f>
        <v>2021–22</v>
      </c>
      <c r="H72" s="185">
        <f>IF(FPLastYear-FPFirstYear&lt;2,"",DATE(FPFirstYear+2,MONTH('Input|General'!$G$9),1))</f>
        <v>44713</v>
      </c>
      <c r="T72" s="17"/>
    </row>
    <row r="73" spans="1:47">
      <c r="C73" s="15" t="s">
        <v>150</v>
      </c>
      <c r="D73" s="16" t="s">
        <v>103</v>
      </c>
      <c r="E73" s="16"/>
      <c r="F73" s="16"/>
      <c r="G73" s="184" t="str">
        <f>IF(FPLastYear-FPFirstYear&lt;3,"",LEFT(G72,4)+1&amp;"–"&amp;RIGHT(G72,2)+1)</f>
        <v>2022–23</v>
      </c>
      <c r="H73" s="185">
        <f>IF(FPLastYear-FPFirstYear&lt;3,"",DATE(FPFirstYear+3,MONTH('Input|General'!$G$9),1))</f>
        <v>45078</v>
      </c>
      <c r="T73" s="17"/>
    </row>
    <row r="74" spans="1:47">
      <c r="C74" s="15" t="s">
        <v>151</v>
      </c>
      <c r="D74" s="16" t="s">
        <v>103</v>
      </c>
      <c r="E74" s="16"/>
      <c r="F74" s="16"/>
      <c r="G74" s="184" t="str">
        <f>IF(FPLastYear-FPFirstYear&lt;4,"",LEFT(G73,4)+1&amp;"–"&amp;RIGHT(G73,2)+1)</f>
        <v>2023–24</v>
      </c>
      <c r="H74" s="185">
        <f>IF(FPLastYear-FPFirstYear&lt;4,"",DATE(FPFirstYear+4,MONTH('Input|General'!$G$9),1))</f>
        <v>45444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G13" sqref="G1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2018-10-27T04:24:49Z</dcterms:created>
  <dcterms:modified xsi:type="dcterms:W3CDTF">2018-10-27T04:24:57Z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