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990" yWindow="-120" windowWidth="27930" windowHeight="16440"/>
  </bookViews>
  <sheets>
    <sheet name="Citipower" sheetId="17" r:id="rId1"/>
  </sheets>
  <definedNames>
    <definedName name="_xlnm.Print_Area" localSheetId="0">Citipower!$A$1:$Y$67</definedName>
  </definedNames>
  <calcPr calcId="162913"/>
</workbook>
</file>

<file path=xl/calcChain.xml><?xml version="1.0" encoding="utf-8"?>
<calcChain xmlns="http://schemas.openxmlformats.org/spreadsheetml/2006/main">
  <c r="X31" i="17" l="1"/>
  <c r="W31" i="17"/>
  <c r="V31" i="17"/>
  <c r="U31" i="17"/>
  <c r="L8" i="17" l="1"/>
  <c r="M8" i="17" s="1"/>
  <c r="Q26" i="17"/>
  <c r="S2" i="17"/>
  <c r="S72" i="17" s="1"/>
  <c r="S146" i="17"/>
  <c r="S156" i="17"/>
  <c r="S113" i="17"/>
  <c r="T113" i="17"/>
  <c r="U113" i="17"/>
  <c r="V113" i="17"/>
  <c r="W113" i="17"/>
  <c r="X113" i="17"/>
  <c r="S97" i="17"/>
  <c r="S120" i="17" s="1"/>
  <c r="T97" i="17"/>
  <c r="T120" i="17"/>
  <c r="U97" i="17"/>
  <c r="U120" i="17"/>
  <c r="U142" i="17" s="1"/>
  <c r="V97" i="17"/>
  <c r="W97" i="17"/>
  <c r="W120" i="17" s="1"/>
  <c r="W142" i="17" s="1"/>
  <c r="X97" i="17"/>
  <c r="X120" i="17"/>
  <c r="X142" i="17" s="1"/>
  <c r="S121" i="17"/>
  <c r="S143" i="17" s="1"/>
  <c r="T108" i="17"/>
  <c r="T121" i="17"/>
  <c r="U108" i="17"/>
  <c r="U121" i="17" s="1"/>
  <c r="V108" i="17"/>
  <c r="V121" i="17" s="1"/>
  <c r="W108" i="17"/>
  <c r="W121" i="17"/>
  <c r="W143" i="17" s="1"/>
  <c r="X108" i="17"/>
  <c r="X121" i="17"/>
  <c r="X143" i="17" s="1"/>
  <c r="S124" i="17"/>
  <c r="T124" i="17"/>
  <c r="U124" i="17"/>
  <c r="V124" i="17"/>
  <c r="W124" i="17"/>
  <c r="X124" i="17"/>
  <c r="S125" i="17"/>
  <c r="T125" i="17"/>
  <c r="U125" i="17"/>
  <c r="V125" i="17"/>
  <c r="W125" i="17"/>
  <c r="X125" i="17"/>
  <c r="S126" i="17"/>
  <c r="T126" i="17"/>
  <c r="U126" i="17"/>
  <c r="V126" i="17"/>
  <c r="V132" i="17" s="1"/>
  <c r="V143" i="17" s="1"/>
  <c r="W126" i="17"/>
  <c r="W132" i="17" s="1"/>
  <c r="X126" i="17"/>
  <c r="X132" i="17" s="1"/>
  <c r="S127" i="17"/>
  <c r="T127" i="17"/>
  <c r="U127" i="17"/>
  <c r="V127" i="17"/>
  <c r="W127" i="17"/>
  <c r="X127" i="17"/>
  <c r="S128" i="17"/>
  <c r="T128" i="17"/>
  <c r="U128" i="17"/>
  <c r="V128" i="17"/>
  <c r="W128" i="17"/>
  <c r="X128" i="17"/>
  <c r="S129" i="17"/>
  <c r="T129" i="17"/>
  <c r="U129" i="17"/>
  <c r="V129" i="17"/>
  <c r="W129" i="17"/>
  <c r="X129" i="17"/>
  <c r="S130" i="17"/>
  <c r="T130" i="17"/>
  <c r="U130" i="17"/>
  <c r="V130" i="17"/>
  <c r="W130" i="17"/>
  <c r="X130" i="17"/>
  <c r="S131" i="17"/>
  <c r="T131" i="17"/>
  <c r="U131" i="17"/>
  <c r="V131" i="17"/>
  <c r="W131" i="17"/>
  <c r="X131" i="17"/>
  <c r="S132" i="17"/>
  <c r="T132" i="17"/>
  <c r="T143" i="17" s="1"/>
  <c r="U132" i="17"/>
  <c r="S135" i="17"/>
  <c r="T135" i="17"/>
  <c r="U135" i="17"/>
  <c r="V135" i="17"/>
  <c r="W135" i="17"/>
  <c r="X135" i="17"/>
  <c r="S142" i="17"/>
  <c r="T142" i="17"/>
  <c r="U143" i="17"/>
  <c r="S147" i="17"/>
  <c r="T147" i="17"/>
  <c r="U147" i="17"/>
  <c r="V147" i="17"/>
  <c r="W147" i="17"/>
  <c r="X147" i="17"/>
  <c r="S91" i="17"/>
  <c r="S149" i="17"/>
  <c r="S159" i="17" s="1"/>
  <c r="T91" i="17"/>
  <c r="T149" i="17" s="1"/>
  <c r="T159" i="17" s="1"/>
  <c r="U91" i="17"/>
  <c r="U149" i="17" s="1"/>
  <c r="U169" i="17" s="1"/>
  <c r="V91" i="17"/>
  <c r="W91" i="17"/>
  <c r="W149" i="17"/>
  <c r="X91" i="17"/>
  <c r="X149" i="17" s="1"/>
  <c r="S157" i="17"/>
  <c r="T157" i="17"/>
  <c r="U157" i="17"/>
  <c r="V157" i="17"/>
  <c r="W157" i="17"/>
  <c r="X157" i="17"/>
  <c r="S167" i="17"/>
  <c r="T167" i="17"/>
  <c r="U167" i="17"/>
  <c r="V167" i="17"/>
  <c r="W167" i="17"/>
  <c r="X167" i="17"/>
  <c r="S169" i="17"/>
  <c r="T106" i="17"/>
  <c r="U106" i="17"/>
  <c r="V106" i="17"/>
  <c r="W106" i="17"/>
  <c r="X106" i="17"/>
  <c r="S106" i="17"/>
  <c r="R106" i="17"/>
  <c r="Q106" i="17"/>
  <c r="R167" i="17"/>
  <c r="Q167" i="17"/>
  <c r="R157" i="17"/>
  <c r="Q157" i="17"/>
  <c r="R147" i="17"/>
  <c r="Q147" i="17"/>
  <c r="R135" i="17"/>
  <c r="Q135" i="17"/>
  <c r="R124" i="17"/>
  <c r="Q124" i="17"/>
  <c r="R113" i="17"/>
  <c r="Q113" i="17"/>
  <c r="S39" i="17"/>
  <c r="S38" i="17"/>
  <c r="S37" i="17"/>
  <c r="S36" i="17"/>
  <c r="S35" i="17"/>
  <c r="D149" i="17"/>
  <c r="D159" i="17" s="1"/>
  <c r="D169" i="17" s="1"/>
  <c r="D150" i="17"/>
  <c r="D160" i="17" s="1"/>
  <c r="D170" i="17" s="1"/>
  <c r="D148" i="17"/>
  <c r="D158" i="17"/>
  <c r="D168" i="17" s="1"/>
  <c r="C100" i="17"/>
  <c r="C90" i="17"/>
  <c r="C80" i="17"/>
  <c r="D87" i="17"/>
  <c r="D86" i="17"/>
  <c r="D96" i="17" s="1"/>
  <c r="D106" i="17" s="1"/>
  <c r="D85" i="17"/>
  <c r="D95" i="17" s="1"/>
  <c r="D105" i="17" s="1"/>
  <c r="D118" i="17" s="1"/>
  <c r="D129" i="17" s="1"/>
  <c r="D140" i="17" s="1"/>
  <c r="D84" i="17"/>
  <c r="D94" i="17" s="1"/>
  <c r="D104" i="17" s="1"/>
  <c r="D117" i="17" s="1"/>
  <c r="D128" i="17" s="1"/>
  <c r="D139" i="17" s="1"/>
  <c r="D83" i="17"/>
  <c r="D93" i="17" s="1"/>
  <c r="D103" i="17" s="1"/>
  <c r="D116" i="17" s="1"/>
  <c r="D82" i="17"/>
  <c r="D81" i="17"/>
  <c r="R131" i="17"/>
  <c r="Q131" i="17"/>
  <c r="R97" i="17"/>
  <c r="R120" i="17"/>
  <c r="R142" i="17" s="1"/>
  <c r="Q97" i="17"/>
  <c r="Q120" i="17" s="1"/>
  <c r="Q142" i="17" s="1"/>
  <c r="D97" i="17"/>
  <c r="D107" i="17" s="1"/>
  <c r="D120" i="17" s="1"/>
  <c r="D131" i="17" s="1"/>
  <c r="D142" i="17" s="1"/>
  <c r="D63" i="17"/>
  <c r="R130" i="17"/>
  <c r="Q130" i="17"/>
  <c r="R129" i="17"/>
  <c r="Q129" i="17"/>
  <c r="R128" i="17"/>
  <c r="Q128" i="17"/>
  <c r="R127" i="17"/>
  <c r="Q127" i="17"/>
  <c r="R126" i="17"/>
  <c r="Q126" i="17"/>
  <c r="R125" i="17"/>
  <c r="Q125" i="17"/>
  <c r="R121" i="17"/>
  <c r="R143" i="17" s="1"/>
  <c r="Q121" i="17"/>
  <c r="D98" i="17"/>
  <c r="D108" i="17" s="1"/>
  <c r="D121" i="17" s="1"/>
  <c r="D132" i="17" s="1"/>
  <c r="D143" i="17" s="1"/>
  <c r="D119" i="17"/>
  <c r="D130" i="17"/>
  <c r="D141" i="17"/>
  <c r="D127" i="17"/>
  <c r="D138" i="17" s="1"/>
  <c r="D92" i="17"/>
  <c r="D102" i="17" s="1"/>
  <c r="D115" i="17" s="1"/>
  <c r="D126" i="17" s="1"/>
  <c r="D137" i="17" s="1"/>
  <c r="D91" i="17"/>
  <c r="D101" i="17"/>
  <c r="D114" i="17" s="1"/>
  <c r="D125" i="17" s="1"/>
  <c r="D136" i="17" s="1"/>
  <c r="D62" i="17"/>
  <c r="D61" i="17"/>
  <c r="D60" i="17"/>
  <c r="D59" i="17"/>
  <c r="D58" i="17"/>
  <c r="D57" i="17"/>
  <c r="D39" i="17"/>
  <c r="D38" i="17"/>
  <c r="D37" i="17"/>
  <c r="D36" i="17"/>
  <c r="D35" i="17"/>
  <c r="K2" i="17"/>
  <c r="L2" i="17"/>
  <c r="R91" i="17"/>
  <c r="R149" i="17" s="1"/>
  <c r="Q91" i="17"/>
  <c r="Q149" i="17" s="1"/>
  <c r="P18" i="17"/>
  <c r="R132" i="17"/>
  <c r="Q132" i="17"/>
  <c r="Q143" i="17"/>
  <c r="Q159" i="17" l="1"/>
  <c r="Q169" i="17"/>
  <c r="R159" i="17"/>
  <c r="R169" i="17"/>
  <c r="W159" i="17"/>
  <c r="W169" i="17"/>
  <c r="T169" i="17"/>
  <c r="R26" i="17"/>
  <c r="V120" i="17"/>
  <c r="V142" i="17" s="1"/>
  <c r="V149" i="17"/>
  <c r="U159" i="17"/>
  <c r="X159" i="17"/>
  <c r="X169" i="17"/>
  <c r="N8" i="17"/>
  <c r="M2" i="17"/>
  <c r="S134" i="17"/>
  <c r="S166" i="17"/>
  <c r="S123" i="17"/>
  <c r="S112" i="17"/>
  <c r="S26" i="17" l="1"/>
  <c r="V169" i="17"/>
  <c r="V159" i="17"/>
  <c r="N2" i="17"/>
  <c r="O8" i="17"/>
  <c r="P8" i="17" l="1"/>
  <c r="O2" i="17"/>
  <c r="S71" i="17"/>
  <c r="S73" i="17" s="1"/>
  <c r="T26" i="17"/>
  <c r="U26" i="17" l="1"/>
  <c r="P2" i="17"/>
  <c r="Q8" i="17"/>
  <c r="P72" i="17" l="1"/>
  <c r="P71" i="17" s="1"/>
  <c r="S86" i="17"/>
  <c r="Q2" i="17"/>
  <c r="R8" i="17"/>
  <c r="V26" i="17"/>
  <c r="Q166" i="17" l="1"/>
  <c r="Q72" i="17"/>
  <c r="Q71" i="17" s="1"/>
  <c r="Q73" i="17" s="1"/>
  <c r="Q146" i="17"/>
  <c r="Q123" i="17"/>
  <c r="Q156" i="17"/>
  <c r="Q134" i="17"/>
  <c r="Q86" i="17"/>
  <c r="Q112" i="17"/>
  <c r="S119" i="17"/>
  <c r="S141" i="17" s="1"/>
  <c r="W26" i="17"/>
  <c r="R2" i="17"/>
  <c r="T8" i="17"/>
  <c r="P73" i="17"/>
  <c r="S74" i="17"/>
  <c r="S75" i="17" s="1"/>
  <c r="S76" i="17" l="1"/>
  <c r="P74" i="17"/>
  <c r="P75" i="17" s="1"/>
  <c r="P76" i="17" s="1"/>
  <c r="P77" i="17"/>
  <c r="P78" i="17"/>
  <c r="U8" i="17"/>
  <c r="T2" i="17"/>
  <c r="Q119" i="17"/>
  <c r="Q141" i="17" s="1"/>
  <c r="R123" i="17"/>
  <c r="R156" i="17"/>
  <c r="R134" i="17"/>
  <c r="R112" i="17"/>
  <c r="R72" i="17"/>
  <c r="R71" i="17" s="1"/>
  <c r="R73" i="17" s="1"/>
  <c r="R146" i="17"/>
  <c r="R86" i="17"/>
  <c r="R119" i="17" s="1"/>
  <c r="R141" i="17" s="1"/>
  <c r="R166" i="17"/>
  <c r="X26" i="17"/>
  <c r="Q74" i="17"/>
  <c r="Q75" i="17" s="1"/>
  <c r="Q81" i="17" l="1"/>
  <c r="Q76" i="17"/>
  <c r="Q82" i="17" s="1"/>
  <c r="U2" i="17"/>
  <c r="V8" i="17"/>
  <c r="T123" i="17"/>
  <c r="T86" i="17"/>
  <c r="T119" i="17" s="1"/>
  <c r="T141" i="17" s="1"/>
  <c r="T156" i="17"/>
  <c r="T146" i="17"/>
  <c r="T72" i="17"/>
  <c r="T71" i="17" s="1"/>
  <c r="T73" i="17" s="1"/>
  <c r="T134" i="17"/>
  <c r="T166" i="17"/>
  <c r="T112" i="17"/>
  <c r="R74" i="17"/>
  <c r="R75" i="17" s="1"/>
  <c r="R81" i="17" l="1"/>
  <c r="R76" i="17"/>
  <c r="S81" i="17"/>
  <c r="W8" i="17"/>
  <c r="V2" i="17"/>
  <c r="U123" i="17"/>
  <c r="U156" i="17"/>
  <c r="U146" i="17"/>
  <c r="U86" i="17"/>
  <c r="U119" i="17" s="1"/>
  <c r="U141" i="17" s="1"/>
  <c r="U134" i="17"/>
  <c r="U166" i="17"/>
  <c r="U112" i="17"/>
  <c r="U72" i="17"/>
  <c r="U71" i="17" s="1"/>
  <c r="U73" i="17" s="1"/>
  <c r="Q102" i="17"/>
  <c r="Q115" i="17"/>
  <c r="Q137" i="17" s="1"/>
  <c r="Q78" i="17"/>
  <c r="T74" i="17"/>
  <c r="T75" i="17" s="1"/>
  <c r="Q101" i="17"/>
  <c r="Q114" i="17"/>
  <c r="Q136" i="17" s="1"/>
  <c r="Q85" i="17"/>
  <c r="R101" i="17"/>
  <c r="Q83" i="17"/>
  <c r="Q84" i="17"/>
  <c r="S101" i="17"/>
  <c r="U74" i="17" l="1"/>
  <c r="U75" i="17" s="1"/>
  <c r="V112" i="17"/>
  <c r="V72" i="17"/>
  <c r="V71" i="17" s="1"/>
  <c r="V73" i="17" s="1"/>
  <c r="V123" i="17"/>
  <c r="V156" i="17"/>
  <c r="V146" i="17"/>
  <c r="V166" i="17"/>
  <c r="V86" i="17"/>
  <c r="V134" i="17"/>
  <c r="Q116" i="17"/>
  <c r="Q138" i="17" s="1"/>
  <c r="Q103" i="17"/>
  <c r="Q150" i="17"/>
  <c r="W2" i="17"/>
  <c r="X8" i="17"/>
  <c r="X2" i="17" s="1"/>
  <c r="Q104" i="17"/>
  <c r="Q117" i="17"/>
  <c r="Q139" i="17" s="1"/>
  <c r="T81" i="17"/>
  <c r="T76" i="17"/>
  <c r="T82" i="17" s="1"/>
  <c r="S84" i="17"/>
  <c r="S114" i="17"/>
  <c r="S136" i="17" s="1"/>
  <c r="S85" i="17"/>
  <c r="S83" i="17"/>
  <c r="Q77" i="17"/>
  <c r="Q105" i="17"/>
  <c r="Q118" i="17" s="1"/>
  <c r="Q140" i="17" s="1"/>
  <c r="S105" i="17"/>
  <c r="R82" i="17"/>
  <c r="S82" i="17"/>
  <c r="Q148" i="17"/>
  <c r="R85" i="17"/>
  <c r="R83" i="17"/>
  <c r="R114" i="17"/>
  <c r="R136" i="17" s="1"/>
  <c r="R84" i="17"/>
  <c r="R77" i="17"/>
  <c r="S77" i="17"/>
  <c r="Q144" i="17" l="1"/>
  <c r="U101" i="17"/>
  <c r="R118" i="17"/>
  <c r="R140" i="17" s="1"/>
  <c r="X86" i="17"/>
  <c r="X119" i="17" s="1"/>
  <c r="X141" i="17" s="1"/>
  <c r="X112" i="17"/>
  <c r="X123" i="17"/>
  <c r="X156" i="17"/>
  <c r="X146" i="17"/>
  <c r="X72" i="17"/>
  <c r="X71" i="17" s="1"/>
  <c r="X73" i="17" s="1"/>
  <c r="X134" i="17"/>
  <c r="X166" i="17"/>
  <c r="R103" i="17"/>
  <c r="W112" i="17"/>
  <c r="W123" i="17"/>
  <c r="W86" i="17"/>
  <c r="W119" i="17" s="1"/>
  <c r="W141" i="17" s="1"/>
  <c r="W72" i="17"/>
  <c r="W71" i="17" s="1"/>
  <c r="W73" i="17" s="1"/>
  <c r="W156" i="17"/>
  <c r="W146" i="17"/>
  <c r="W134" i="17"/>
  <c r="W166" i="17"/>
  <c r="V74" i="17"/>
  <c r="V75" i="17" s="1"/>
  <c r="S115" i="17"/>
  <c r="S137" i="17" s="1"/>
  <c r="S103" i="17"/>
  <c r="S116" i="17" s="1"/>
  <c r="S138" i="17" s="1"/>
  <c r="R148" i="17"/>
  <c r="R115" i="17"/>
  <c r="R137" i="17" s="1"/>
  <c r="R78" i="17"/>
  <c r="T102" i="17"/>
  <c r="T115" i="17" s="1"/>
  <c r="T137" i="17" s="1"/>
  <c r="S102" i="17"/>
  <c r="R102" i="17"/>
  <c r="U102" i="17"/>
  <c r="S78" i="17"/>
  <c r="R105" i="17"/>
  <c r="Q160" i="17"/>
  <c r="Q170" i="17"/>
  <c r="T84" i="17"/>
  <c r="T85" i="17"/>
  <c r="T83" i="17"/>
  <c r="T77" i="17"/>
  <c r="T101" i="17"/>
  <c r="S104" i="17"/>
  <c r="S117" i="17" s="1"/>
  <c r="S139" i="17" s="1"/>
  <c r="V119" i="17"/>
  <c r="V141" i="17" s="1"/>
  <c r="U76" i="17"/>
  <c r="U82" i="17" s="1"/>
  <c r="U81" i="17"/>
  <c r="U77" i="17" s="1"/>
  <c r="S118" i="17"/>
  <c r="S140" i="17" s="1"/>
  <c r="Q168" i="17"/>
  <c r="Q158" i="17"/>
  <c r="Q151" i="17"/>
  <c r="R116" i="17"/>
  <c r="R138" i="17" s="1"/>
  <c r="S148" i="17"/>
  <c r="R104" i="17"/>
  <c r="R117" i="17" s="1"/>
  <c r="R139" i="17" s="1"/>
  <c r="Q171" i="17" l="1"/>
  <c r="Q161" i="17"/>
  <c r="S144" i="17"/>
  <c r="R144" i="17"/>
  <c r="S168" i="17"/>
  <c r="S158" i="17"/>
  <c r="R168" i="17"/>
  <c r="R158" i="17"/>
  <c r="R151" i="17"/>
  <c r="V76" i="17"/>
  <c r="V82" i="17" s="1"/>
  <c r="V81" i="17"/>
  <c r="R150" i="17"/>
  <c r="U78" i="17"/>
  <c r="U114" i="17"/>
  <c r="U136" i="17" s="1"/>
  <c r="U84" i="17"/>
  <c r="U85" i="17"/>
  <c r="U83" i="17"/>
  <c r="T116" i="17"/>
  <c r="T138" i="17" s="1"/>
  <c r="T103" i="17"/>
  <c r="T150" i="17" s="1"/>
  <c r="W74" i="17"/>
  <c r="W75" i="17" s="1"/>
  <c r="U115" i="17"/>
  <c r="U137" i="17" s="1"/>
  <c r="S150" i="17"/>
  <c r="U103" i="17"/>
  <c r="T148" i="17"/>
  <c r="T78" i="17"/>
  <c r="T104" i="17"/>
  <c r="T117" i="17" s="1"/>
  <c r="T139" i="17" s="1"/>
  <c r="U105" i="17"/>
  <c r="X74" i="17"/>
  <c r="X75" i="17" s="1"/>
  <c r="T105" i="17"/>
  <c r="T118" i="17" s="1"/>
  <c r="T140" i="17" s="1"/>
  <c r="T114" i="17"/>
  <c r="T136" i="17" s="1"/>
  <c r="Q152" i="17"/>
  <c r="Q172" i="17" l="1"/>
  <c r="Q162" i="17"/>
  <c r="T160" i="17"/>
  <c r="T170" i="17"/>
  <c r="X81" i="17"/>
  <c r="X76" i="17"/>
  <c r="X82" i="17" s="1"/>
  <c r="U116" i="17"/>
  <c r="U138" i="17" s="1"/>
  <c r="U144" i="17" s="1"/>
  <c r="V115" i="17"/>
  <c r="V137" i="17" s="1"/>
  <c r="V102" i="17"/>
  <c r="T144" i="17"/>
  <c r="S170" i="17"/>
  <c r="S160" i="17"/>
  <c r="S161" i="17" s="1"/>
  <c r="U117" i="17"/>
  <c r="U139" i="17" s="1"/>
  <c r="S171" i="17"/>
  <c r="U104" i="17"/>
  <c r="U150" i="17" s="1"/>
  <c r="U148" i="17"/>
  <c r="S151" i="17"/>
  <c r="R152" i="17"/>
  <c r="U118" i="17"/>
  <c r="U140" i="17" s="1"/>
  <c r="T151" i="17"/>
  <c r="T158" i="17"/>
  <c r="T168" i="17"/>
  <c r="W81" i="17"/>
  <c r="X101" i="17" s="1"/>
  <c r="W76" i="17"/>
  <c r="W82" i="17" s="1"/>
  <c r="X102" i="17" s="1"/>
  <c r="R170" i="17"/>
  <c r="R171" i="17" s="1"/>
  <c r="R160" i="17"/>
  <c r="R161" i="17" s="1"/>
  <c r="V78" i="17"/>
  <c r="V84" i="17"/>
  <c r="V83" i="17"/>
  <c r="V85" i="17"/>
  <c r="V114" i="17"/>
  <c r="V136" i="17" s="1"/>
  <c r="W101" i="17"/>
  <c r="V77" i="17"/>
  <c r="V101" i="17"/>
  <c r="T171" i="17" l="1"/>
  <c r="T161" i="17"/>
  <c r="R162" i="17"/>
  <c r="U160" i="17"/>
  <c r="U170" i="17"/>
  <c r="R172" i="17"/>
  <c r="V105" i="17"/>
  <c r="X114" i="17"/>
  <c r="X136" i="17" s="1"/>
  <c r="X85" i="17"/>
  <c r="X83" i="17"/>
  <c r="X84" i="17"/>
  <c r="X115" i="17"/>
  <c r="X137" i="17" s="1"/>
  <c r="S172" i="17"/>
  <c r="S162" i="17"/>
  <c r="V103" i="17"/>
  <c r="V116" i="17" s="1"/>
  <c r="V138" i="17" s="1"/>
  <c r="W84" i="17"/>
  <c r="W85" i="17"/>
  <c r="W83" i="17"/>
  <c r="W148" i="17"/>
  <c r="W114" i="17"/>
  <c r="W136" i="17" s="1"/>
  <c r="X77" i="17"/>
  <c r="W77" i="17"/>
  <c r="T152" i="17"/>
  <c r="S152" i="17"/>
  <c r="W102" i="17"/>
  <c r="W78" i="17" s="1"/>
  <c r="U168" i="17"/>
  <c r="U151" i="17"/>
  <c r="U158" i="17"/>
  <c r="V118" i="17"/>
  <c r="V140" i="17" s="1"/>
  <c r="V148" i="17"/>
  <c r="V104" i="17"/>
  <c r="V117" i="17" s="1"/>
  <c r="V139" i="17" s="1"/>
  <c r="T162" i="17" l="1"/>
  <c r="T172" i="17"/>
  <c r="U161" i="17"/>
  <c r="U171" i="17"/>
  <c r="V144" i="17"/>
  <c r="X148" i="17"/>
  <c r="X118" i="17"/>
  <c r="X140" i="17" s="1"/>
  <c r="X105" i="17"/>
  <c r="W168" i="17"/>
  <c r="W158" i="17"/>
  <c r="W115" i="17"/>
  <c r="W137" i="17" s="1"/>
  <c r="U152" i="17"/>
  <c r="V150" i="17"/>
  <c r="V151" i="17" s="1"/>
  <c r="X103" i="17"/>
  <c r="X150" i="17" s="1"/>
  <c r="X78" i="17"/>
  <c r="W105" i="17"/>
  <c r="W118" i="17" s="1"/>
  <c r="W140" i="17" s="1"/>
  <c r="W103" i="17"/>
  <c r="W116" i="17" s="1"/>
  <c r="W138" i="17" s="1"/>
  <c r="W144" i="17" s="1"/>
  <c r="V158" i="17"/>
  <c r="V168" i="17"/>
  <c r="W150" i="17"/>
  <c r="W151" i="17" s="1"/>
  <c r="W104" i="17"/>
  <c r="W117" i="17" s="1"/>
  <c r="W139" i="17" s="1"/>
  <c r="X104" i="17"/>
  <c r="X117" i="17" s="1"/>
  <c r="X139" i="17" s="1"/>
  <c r="U172" i="17" l="1"/>
  <c r="W152" i="17"/>
  <c r="U162" i="17"/>
  <c r="X170" i="17"/>
  <c r="X160" i="17"/>
  <c r="W160" i="17"/>
  <c r="W161" i="17" s="1"/>
  <c r="W170" i="17"/>
  <c r="W171" i="17" s="1"/>
  <c r="V170" i="17"/>
  <c r="V171" i="17" s="1"/>
  <c r="V160" i="17"/>
  <c r="V161" i="17" s="1"/>
  <c r="X168" i="17"/>
  <c r="X158" i="17"/>
  <c r="X151" i="17"/>
  <c r="X116" i="17"/>
  <c r="X138" i="17" s="1"/>
  <c r="X144" i="17" s="1"/>
  <c r="V152" i="17"/>
  <c r="X171" i="17" l="1"/>
  <c r="W162" i="17"/>
  <c r="V162" i="17"/>
  <c r="X152" i="17"/>
  <c r="V172" i="17"/>
  <c r="X161" i="17"/>
  <c r="W172" i="17"/>
  <c r="X172" i="17" l="1"/>
  <c r="X162" i="17"/>
</calcChain>
</file>

<file path=xl/sharedStrings.xml><?xml version="1.0" encoding="utf-8"?>
<sst xmlns="http://schemas.openxmlformats.org/spreadsheetml/2006/main" count="97" uniqueCount="84">
  <si>
    <t>Relays reaching end of life and need replacement (15 year life)</t>
  </si>
  <si>
    <t>General inputs</t>
  </si>
  <si>
    <t>Year</t>
  </si>
  <si>
    <t>Operational inputs</t>
  </si>
  <si>
    <t>Timing</t>
  </si>
  <si>
    <t>AMI communications infrastructure business case</t>
  </si>
  <si>
    <t>$2019</t>
  </si>
  <si>
    <t>Forecast volumes</t>
  </si>
  <si>
    <t>Relays</t>
  </si>
  <si>
    <t>New meter installs</t>
  </si>
  <si>
    <t>Subtotal</t>
  </si>
  <si>
    <t>Existing inputs</t>
  </si>
  <si>
    <t>End</t>
  </si>
  <si>
    <t>Unit rates &amp; exchange rate</t>
  </si>
  <si>
    <t>Existing relays run-to-failure (installed from 2009, 15 year life)</t>
  </si>
  <si>
    <t>3G-to-5G access point replacement schedule (% of total access points)</t>
  </si>
  <si>
    <t>Yes</t>
  </si>
  <si>
    <t>Outputs - Total Volumes &amp; Expenditure</t>
  </si>
  <si>
    <t>Outputs - Total Volumes &amp; Expenditure (Metering Allocation)</t>
  </si>
  <si>
    <t>Outputs - Total Volumes &amp; Expenditure (SCS Allocation)</t>
  </si>
  <si>
    <t>Allocation to Standard Control</t>
  </si>
  <si>
    <t>Include labour install rate?</t>
  </si>
  <si>
    <t>Total</t>
  </si>
  <si>
    <t>Check</t>
  </si>
  <si>
    <t>Total AMI meter population roll forward, closing balances</t>
  </si>
  <si>
    <t>AMI meters abolished</t>
  </si>
  <si>
    <t>AMI for AMI meter replacements</t>
  </si>
  <si>
    <t>Legacy replacements with AMI meters</t>
  </si>
  <si>
    <t>Index, informational throughput</t>
  </si>
  <si>
    <t>5 minute read meters</t>
  </si>
  <si>
    <t>30 minute read meters</t>
  </si>
  <si>
    <t>Meters by interval, closing balance</t>
  </si>
  <si>
    <t>Access points required</t>
  </si>
  <si>
    <t>Relays required</t>
  </si>
  <si>
    <t>Access points</t>
  </si>
  <si>
    <t>Informational throughput, effective meters</t>
  </si>
  <si>
    <t>Rural customers % of total customers, forecast</t>
  </si>
  <si>
    <t>Relays per access point, forecast</t>
  </si>
  <si>
    <t>Access point peak load, current</t>
  </si>
  <si>
    <t>5 minute roll-out</t>
  </si>
  <si>
    <t>Rural meters per micro access point, forecast</t>
  </si>
  <si>
    <t>Low profile antennas % of total meters, forecast</t>
  </si>
  <si>
    <t>High profile antennas % of total meters, forecast</t>
  </si>
  <si>
    <t>Meters per access point, calculated</t>
  </si>
  <si>
    <t>Meters per relay, calculated</t>
  </si>
  <si>
    <t>Other inputs</t>
  </si>
  <si>
    <t>Micro access points</t>
  </si>
  <si>
    <t>Battery replacement cycle (years), forecast</t>
  </si>
  <si>
    <t>Forecast meter volumes</t>
  </si>
  <si>
    <t>Labour install (AUD)</t>
  </si>
  <si>
    <t>Materials (USD)</t>
  </si>
  <si>
    <t>Antennas, low profile</t>
  </si>
  <si>
    <t>Antennas, high profile</t>
  </si>
  <si>
    <t>Batteries</t>
  </si>
  <si>
    <t>Subtotal (SCS)</t>
  </si>
  <si>
    <t>Subtotal (Metering)</t>
  </si>
  <si>
    <t>Check to metering model</t>
  </si>
  <si>
    <t>Informational increase from 5-min meters</t>
  </si>
  <si>
    <t>Forecast failure/replacement rates</t>
  </si>
  <si>
    <t>Unit rates ($2019)</t>
  </si>
  <si>
    <t>Expenditure ($2019)</t>
  </si>
  <si>
    <t>Cellular Modems</t>
  </si>
  <si>
    <t>3G-to-5G access point replacement schedule (% of total cellular modems)</t>
  </si>
  <si>
    <t>Communications devices - 5-minute settlement</t>
  </si>
  <si>
    <t>Network Communications - 3G Shutdown</t>
  </si>
  <si>
    <t>Communications devices - annual program</t>
  </si>
  <si>
    <t>Forecast AUD:USD</t>
  </si>
  <si>
    <t>FY21/22</t>
  </si>
  <si>
    <t>FY22/23</t>
  </si>
  <si>
    <t>FY23/24</t>
  </si>
  <si>
    <t>FY24/25</t>
  </si>
  <si>
    <t>FY25/26</t>
  </si>
  <si>
    <t>CY2015</t>
  </si>
  <si>
    <t>CY2016</t>
  </si>
  <si>
    <t>CY2017</t>
  </si>
  <si>
    <t>CY2018</t>
  </si>
  <si>
    <t>CY2020</t>
  </si>
  <si>
    <t>CY2019</t>
  </si>
  <si>
    <t>HY2021</t>
  </si>
  <si>
    <t>Battery modelling, annual part period factor</t>
  </si>
  <si>
    <t>CY2014</t>
  </si>
  <si>
    <t>CY2013</t>
  </si>
  <si>
    <t>Year type</t>
  </si>
  <si>
    <t>AER - updated allocation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</si>
</sst>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3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i/>
      <sz val="10"/>
      <color theme="0"/>
      <name val="Verdana"/>
      <family val="2"/>
    </font>
    <font>
      <b/>
      <i/>
      <sz val="10"/>
      <color theme="1"/>
      <name val="Verdana"/>
      <family val="2"/>
    </font>
    <font>
      <sz val="10"/>
      <color theme="0"/>
      <name val="Verdana"/>
      <family val="2"/>
    </font>
    <font>
      <sz val="10"/>
      <color rgb="FF0070C0"/>
      <name val="Verdana"/>
      <family val="2"/>
    </font>
    <font>
      <i/>
      <sz val="10"/>
      <color rgb="FFC00000"/>
      <name val="Verdana"/>
      <family val="2"/>
    </font>
    <font>
      <i/>
      <sz val="10"/>
      <color theme="1"/>
      <name val="Verdana"/>
      <family val="2"/>
    </font>
    <font>
      <sz val="10"/>
      <name val="Verdana"/>
      <family val="2"/>
    </font>
    <font>
      <sz val="10"/>
      <color rgb="FFC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856C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0" fillId="3" borderId="0" xfId="0" applyFill="1"/>
    <xf numFmtId="0" fontId="2" fillId="5" borderId="0" xfId="0" applyFont="1" applyFill="1"/>
    <xf numFmtId="0" fontId="2" fillId="4" borderId="0" xfId="0" applyFont="1" applyFill="1"/>
    <xf numFmtId="0" fontId="5" fillId="5" borderId="0" xfId="0" applyFont="1" applyFill="1"/>
    <xf numFmtId="0" fontId="5" fillId="4" borderId="0" xfId="0" applyFont="1" applyFill="1"/>
    <xf numFmtId="0" fontId="6" fillId="0" borderId="0" xfId="0" applyFont="1"/>
    <xf numFmtId="0" fontId="0" fillId="0" borderId="0" xfId="0" quotePrefix="1" applyNumberFormat="1" applyAlignment="1">
      <alignment horizontal="left"/>
    </xf>
    <xf numFmtId="165" fontId="0" fillId="2" borderId="2" xfId="1" applyNumberFormat="1" applyFont="1" applyFill="1" applyBorder="1"/>
    <xf numFmtId="10" fontId="0" fillId="2" borderId="2" xfId="1" applyNumberFormat="1" applyFont="1" applyFill="1" applyBorder="1"/>
    <xf numFmtId="0" fontId="0" fillId="0" borderId="1" xfId="0" applyBorder="1"/>
    <xf numFmtId="164" fontId="0" fillId="2" borderId="2" xfId="1" applyNumberFormat="1" applyFont="1" applyFill="1" applyBorder="1"/>
    <xf numFmtId="0" fontId="0" fillId="3" borderId="1" xfId="0" applyFill="1" applyBorder="1"/>
    <xf numFmtId="0" fontId="0" fillId="0" borderId="0" xfId="0" applyFill="1"/>
    <xf numFmtId="165" fontId="0" fillId="0" borderId="0" xfId="1" applyNumberFormat="1" applyFont="1"/>
    <xf numFmtId="165" fontId="0" fillId="3" borderId="1" xfId="1" applyNumberFormat="1" applyFont="1" applyFill="1" applyBorder="1"/>
    <xf numFmtId="165" fontId="0" fillId="0" borderId="0" xfId="1" applyNumberFormat="1" applyFont="1" applyFill="1"/>
    <xf numFmtId="165" fontId="0" fillId="0" borderId="1" xfId="1" applyNumberFormat="1" applyFont="1" applyFill="1" applyBorder="1"/>
    <xf numFmtId="0" fontId="0" fillId="0" borderId="0" xfId="0" applyBorder="1"/>
    <xf numFmtId="165" fontId="0" fillId="0" borderId="0" xfId="1" applyNumberFormat="1" applyFont="1" applyFill="1" applyBorder="1"/>
    <xf numFmtId="0" fontId="6" fillId="0" borderId="0" xfId="0" applyFont="1" applyBorder="1"/>
    <xf numFmtId="165" fontId="0" fillId="3" borderId="0" xfId="1" applyNumberFormat="1" applyFont="1" applyFill="1"/>
    <xf numFmtId="165" fontId="0" fillId="0" borderId="1" xfId="1" applyNumberFormat="1" applyFont="1" applyBorder="1"/>
    <xf numFmtId="165" fontId="8" fillId="0" borderId="1" xfId="1" applyNumberFormat="1" applyFont="1" applyBorder="1"/>
    <xf numFmtId="0" fontId="3" fillId="0" borderId="0" xfId="0" applyFont="1" applyAlignment="1">
      <alignment horizontal="right"/>
    </xf>
    <xf numFmtId="165" fontId="0" fillId="2" borderId="6" xfId="1" applyNumberFormat="1" applyFont="1" applyFill="1" applyBorder="1"/>
    <xf numFmtId="0" fontId="0" fillId="0" borderId="1" xfId="0" quotePrefix="1" applyNumberFormat="1" applyBorder="1" applyAlignment="1">
      <alignment horizontal="left"/>
    </xf>
    <xf numFmtId="10" fontId="0" fillId="2" borderId="6" xfId="1" applyNumberFormat="1" applyFont="1" applyFill="1" applyBorder="1"/>
    <xf numFmtId="165" fontId="0" fillId="0" borderId="0" xfId="0" applyNumberFormat="1"/>
    <xf numFmtId="165" fontId="0" fillId="3" borderId="0" xfId="0" applyNumberFormat="1" applyFill="1"/>
    <xf numFmtId="165" fontId="0" fillId="0" borderId="0" xfId="0" applyNumberFormat="1" applyBorder="1"/>
    <xf numFmtId="0" fontId="0" fillId="0" borderId="1" xfId="0" applyFill="1" applyBorder="1"/>
    <xf numFmtId="0" fontId="7" fillId="5" borderId="0" xfId="0" applyFont="1" applyFill="1"/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1" applyNumberFormat="1" applyFont="1"/>
    <xf numFmtId="0" fontId="10" fillId="0" borderId="0" xfId="0" applyFont="1"/>
    <xf numFmtId="165" fontId="11" fillId="0" borderId="0" xfId="0" applyNumberFormat="1" applyFont="1"/>
    <xf numFmtId="43" fontId="0" fillId="0" borderId="1" xfId="0" applyNumberFormat="1" applyBorder="1"/>
    <xf numFmtId="165" fontId="2" fillId="4" borderId="0" xfId="0" applyNumberFormat="1" applyFont="1" applyFill="1"/>
    <xf numFmtId="165" fontId="0" fillId="0" borderId="1" xfId="0" applyNumberFormat="1" applyBorder="1"/>
    <xf numFmtId="1" fontId="0" fillId="2" borderId="2" xfId="1" applyNumberFormat="1" applyFont="1" applyFill="1" applyBorder="1"/>
    <xf numFmtId="0" fontId="0" fillId="3" borderId="0" xfId="0" applyFill="1" applyBorder="1"/>
    <xf numFmtId="9" fontId="0" fillId="2" borderId="2" xfId="1" applyNumberFormat="1" applyFont="1" applyFill="1" applyBorder="1"/>
    <xf numFmtId="0" fontId="0" fillId="0" borderId="0" xfId="0" applyFill="1" applyBorder="1"/>
    <xf numFmtId="0" fontId="12" fillId="0" borderId="0" xfId="0" applyFont="1" applyFill="1" applyBorder="1"/>
    <xf numFmtId="0" fontId="12" fillId="0" borderId="0" xfId="0" applyFont="1"/>
    <xf numFmtId="0" fontId="0" fillId="0" borderId="0" xfId="0" quotePrefix="1" applyNumberFormat="1" applyBorder="1" applyAlignment="1">
      <alignment horizontal="left"/>
    </xf>
    <xf numFmtId="43" fontId="0" fillId="2" borderId="2" xfId="1" applyNumberFormat="1" applyFont="1" applyFill="1" applyBorder="1"/>
    <xf numFmtId="165" fontId="0" fillId="2" borderId="7" xfId="1" applyNumberFormat="1" applyFont="1" applyFill="1" applyBorder="1" applyAlignment="1">
      <alignment horizontal="right"/>
    </xf>
    <xf numFmtId="0" fontId="6" fillId="0" borderId="0" xfId="0" applyFont="1" applyFill="1"/>
    <xf numFmtId="0" fontId="6" fillId="0" borderId="0" xfId="0" applyFont="1" applyFill="1" applyBorder="1"/>
    <xf numFmtId="0" fontId="5" fillId="4" borderId="0" xfId="0" applyFont="1" applyFill="1" applyBorder="1"/>
    <xf numFmtId="0" fontId="5" fillId="5" borderId="0" xfId="0" applyFont="1" applyFill="1" applyBorder="1"/>
    <xf numFmtId="0" fontId="10" fillId="0" borderId="0" xfId="0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165" fontId="0" fillId="0" borderId="7" xfId="1" applyNumberFormat="1" applyFont="1" applyFill="1" applyBorder="1"/>
    <xf numFmtId="165" fontId="3" fillId="0" borderId="0" xfId="1" applyNumberFormat="1" applyFont="1"/>
    <xf numFmtId="165" fontId="12" fillId="0" borderId="0" xfId="0" applyNumberFormat="1" applyFont="1" applyFill="1"/>
    <xf numFmtId="165" fontId="0" fillId="3" borderId="0" xfId="1" applyNumberFormat="1" applyFont="1" applyFill="1" applyBorder="1"/>
    <xf numFmtId="165" fontId="0" fillId="2" borderId="8" xfId="1" applyNumberFormat="1" applyFont="1" applyFill="1" applyBorder="1"/>
    <xf numFmtId="164" fontId="0" fillId="2" borderId="7" xfId="0" applyNumberFormat="1" applyFill="1" applyBorder="1"/>
    <xf numFmtId="164" fontId="0" fillId="2" borderId="2" xfId="0" applyNumberFormat="1" applyFill="1" applyBorder="1"/>
    <xf numFmtId="0" fontId="2" fillId="5" borderId="0" xfId="0" applyFont="1" applyFill="1" applyAlignment="1">
      <alignment horizontal="right"/>
    </xf>
    <xf numFmtId="1" fontId="2" fillId="5" borderId="0" xfId="0" applyNumberFormat="1" applyFont="1" applyFill="1"/>
    <xf numFmtId="0" fontId="0" fillId="2" borderId="9" xfId="0" applyFill="1" applyBorder="1"/>
    <xf numFmtId="0" fontId="2" fillId="0" borderId="0" xfId="0" applyFont="1" applyFill="1"/>
    <xf numFmtId="1" fontId="0" fillId="2" borderId="9" xfId="0" applyNumberFormat="1" applyFill="1" applyBorder="1"/>
    <xf numFmtId="0" fontId="0" fillId="6" borderId="0" xfId="0" applyFill="1"/>
    <xf numFmtId="0" fontId="0" fillId="6" borderId="1" xfId="0" applyFill="1" applyBorder="1"/>
    <xf numFmtId="10" fontId="0" fillId="6" borderId="2" xfId="1" applyNumberFormat="1" applyFont="1" applyFill="1" applyBorder="1"/>
    <xf numFmtId="10" fontId="0" fillId="6" borderId="6" xfId="1" applyNumberFormat="1" applyFont="1" applyFill="1" applyBorder="1"/>
  </cellXfs>
  <cellStyles count="5">
    <cellStyle name="Comma" xfId="1" builtinId="3"/>
    <cellStyle name="Comma 2" xfId="3"/>
    <cellStyle name="Normal" xfId="0" builtinId="0"/>
    <cellStyle name="Normal 2" xfId="2"/>
    <cellStyle name="Percent 2" xf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194"/>
  <sheetViews>
    <sheetView showGridLines="0" tabSelected="1" zoomScale="85" zoomScaleNormal="85" workbookViewId="0">
      <pane xSplit="10" ySplit="4" topLeftCell="P5" activePane="bottomRight" state="frozen"/>
      <selection activeCell="F163" sqref="F163"/>
      <selection pane="topRight" activeCell="F163" sqref="F163"/>
      <selection pane="bottomLeft" activeCell="F163" sqref="F163"/>
      <selection pane="bottomRight" activeCell="T25" sqref="T25"/>
    </sheetView>
  </sheetViews>
  <sheetFormatPr defaultColWidth="0" defaultRowHeight="12.75" zeroHeight="1" x14ac:dyDescent="0.2"/>
  <cols>
    <col min="1" max="2" width="1.25" style="1" customWidth="1"/>
    <col min="3" max="3" width="1.25" style="7" customWidth="1"/>
    <col min="4" max="5" width="1.25" customWidth="1"/>
    <col min="6" max="6" width="42.875" customWidth="1"/>
    <col min="7" max="9" width="10" customWidth="1"/>
    <col min="10" max="10" width="10.125" customWidth="1"/>
    <col min="11" max="15" width="11.25" customWidth="1"/>
    <col min="16" max="24" width="15" customWidth="1"/>
    <col min="25" max="25" width="3.75" style="14" customWidth="1"/>
    <col min="26" max="16384" width="9" hidden="1"/>
  </cols>
  <sheetData>
    <row r="1" spans="1:25" ht="8.1" customHeight="1" x14ac:dyDescent="0.2"/>
    <row r="2" spans="1:25" x14ac:dyDescent="0.2">
      <c r="A2" s="3" t="s">
        <v>5</v>
      </c>
      <c r="B2" s="3"/>
      <c r="C2" s="5"/>
      <c r="D2" s="3"/>
      <c r="E2" s="3"/>
      <c r="F2" s="3"/>
      <c r="G2" s="3"/>
      <c r="H2" s="3"/>
      <c r="I2" s="3"/>
      <c r="J2" s="3"/>
      <c r="K2" s="3">
        <f t="shared" ref="K2:L2" si="0">K8</f>
        <v>2013</v>
      </c>
      <c r="L2" s="3">
        <f t="shared" si="0"/>
        <v>2014</v>
      </c>
      <c r="M2" s="3">
        <f>M8</f>
        <v>2015</v>
      </c>
      <c r="N2" s="3">
        <f t="shared" ref="N2:X2" si="1">N8</f>
        <v>2016</v>
      </c>
      <c r="O2" s="3">
        <f t="shared" si="1"/>
        <v>2017</v>
      </c>
      <c r="P2" s="3">
        <f t="shared" si="1"/>
        <v>2018</v>
      </c>
      <c r="Q2" s="3">
        <f t="shared" si="1"/>
        <v>2019</v>
      </c>
      <c r="R2" s="3">
        <f t="shared" si="1"/>
        <v>2020</v>
      </c>
      <c r="S2" s="67">
        <f t="shared" si="1"/>
        <v>2020.51</v>
      </c>
      <c r="T2" s="3">
        <f t="shared" si="1"/>
        <v>2021</v>
      </c>
      <c r="U2" s="3">
        <f t="shared" si="1"/>
        <v>2022</v>
      </c>
      <c r="V2" s="3">
        <f t="shared" si="1"/>
        <v>2023</v>
      </c>
      <c r="W2" s="3">
        <f t="shared" si="1"/>
        <v>2024</v>
      </c>
      <c r="X2" s="3">
        <f t="shared" si="1"/>
        <v>2025</v>
      </c>
      <c r="Y2" s="69"/>
    </row>
    <row r="3" spans="1:25" x14ac:dyDescent="0.2">
      <c r="A3" s="3" t="s">
        <v>82</v>
      </c>
      <c r="B3" s="3"/>
      <c r="C3" s="5"/>
      <c r="D3" s="3"/>
      <c r="E3" s="3"/>
      <c r="F3" s="3"/>
      <c r="G3" s="3"/>
      <c r="H3" s="3"/>
      <c r="I3" s="3"/>
      <c r="J3" s="3"/>
      <c r="K3" s="66" t="s">
        <v>81</v>
      </c>
      <c r="L3" s="66" t="s">
        <v>80</v>
      </c>
      <c r="M3" s="66" t="s">
        <v>72</v>
      </c>
      <c r="N3" s="66" t="s">
        <v>73</v>
      </c>
      <c r="O3" s="66" t="s">
        <v>74</v>
      </c>
      <c r="P3" s="66" t="s">
        <v>75</v>
      </c>
      <c r="Q3" s="66" t="s">
        <v>77</v>
      </c>
      <c r="R3" s="66" t="s">
        <v>76</v>
      </c>
      <c r="S3" s="66" t="s">
        <v>78</v>
      </c>
      <c r="T3" s="66" t="s">
        <v>67</v>
      </c>
      <c r="U3" s="66" t="s">
        <v>68</v>
      </c>
      <c r="V3" s="66" t="s">
        <v>69</v>
      </c>
      <c r="W3" s="66" t="s">
        <v>70</v>
      </c>
      <c r="X3" s="66" t="s">
        <v>71</v>
      </c>
      <c r="Y3" s="69"/>
    </row>
    <row r="4" spans="1:25" ht="8.1" customHeight="1" x14ac:dyDescent="0.2"/>
    <row r="5" spans="1:25" x14ac:dyDescent="0.2">
      <c r="A5" s="4"/>
      <c r="B5" s="4" t="s">
        <v>1</v>
      </c>
      <c r="C5" s="6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69"/>
    </row>
    <row r="6" spans="1:25" x14ac:dyDescent="0.2"/>
    <row r="7" spans="1:25" x14ac:dyDescent="0.2">
      <c r="C7" s="7" t="s">
        <v>4</v>
      </c>
    </row>
    <row r="8" spans="1:25" x14ac:dyDescent="0.2">
      <c r="D8" t="s">
        <v>2</v>
      </c>
      <c r="K8" s="68">
        <v>2013</v>
      </c>
      <c r="L8" s="68">
        <f t="shared" ref="L8:M8" si="2">K8+1</f>
        <v>2014</v>
      </c>
      <c r="M8" s="68">
        <f t="shared" si="2"/>
        <v>2015</v>
      </c>
      <c r="N8" s="68">
        <f>M8+1</f>
        <v>2016</v>
      </c>
      <c r="O8" s="68">
        <f t="shared" ref="O8:X8" si="3">N8+1</f>
        <v>2017</v>
      </c>
      <c r="P8" s="68">
        <f t="shared" si="3"/>
        <v>2018</v>
      </c>
      <c r="Q8" s="68">
        <f t="shared" si="3"/>
        <v>2019</v>
      </c>
      <c r="R8" s="68">
        <f t="shared" si="3"/>
        <v>2020</v>
      </c>
      <c r="S8" s="70">
        <v>2020.51</v>
      </c>
      <c r="T8" s="68">
        <f>R8+1</f>
        <v>2021</v>
      </c>
      <c r="U8" s="68">
        <f t="shared" si="3"/>
        <v>2022</v>
      </c>
      <c r="V8" s="68">
        <f t="shared" si="3"/>
        <v>2023</v>
      </c>
      <c r="W8" s="68">
        <f t="shared" si="3"/>
        <v>2024</v>
      </c>
      <c r="X8" s="68">
        <f t="shared" si="3"/>
        <v>2025</v>
      </c>
    </row>
    <row r="9" spans="1:25" x14ac:dyDescent="0.2"/>
    <row r="10" spans="1:25" x14ac:dyDescent="0.2">
      <c r="A10" s="4"/>
      <c r="B10" s="4" t="s">
        <v>3</v>
      </c>
      <c r="C10" s="6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69"/>
    </row>
    <row r="11" spans="1:25" x14ac:dyDescent="0.2"/>
    <row r="12" spans="1:25" x14ac:dyDescent="0.2">
      <c r="C12" s="7" t="s">
        <v>11</v>
      </c>
    </row>
    <row r="13" spans="1:25" x14ac:dyDescent="0.2">
      <c r="D13" s="56" t="s">
        <v>34</v>
      </c>
      <c r="E13" s="57"/>
      <c r="F13" s="58"/>
      <c r="K13" s="2"/>
      <c r="L13" s="2"/>
      <c r="M13" s="2"/>
      <c r="N13" s="2"/>
      <c r="O13" s="2"/>
      <c r="P13" s="9">
        <v>115</v>
      </c>
      <c r="Q13" s="2"/>
      <c r="R13" s="2"/>
      <c r="S13" s="2"/>
      <c r="T13" s="2"/>
      <c r="U13" s="2"/>
      <c r="V13" s="2"/>
      <c r="W13" s="2"/>
      <c r="X13" s="2"/>
    </row>
    <row r="14" spans="1:25" x14ac:dyDescent="0.2">
      <c r="D14" s="56" t="s">
        <v>8</v>
      </c>
      <c r="E14" s="57"/>
      <c r="F14" s="58"/>
      <c r="K14" s="2"/>
      <c r="L14" s="2"/>
      <c r="M14" s="2"/>
      <c r="N14" s="2"/>
      <c r="O14" s="2"/>
      <c r="P14" s="9">
        <v>460</v>
      </c>
      <c r="Q14" s="2"/>
      <c r="R14" s="2"/>
      <c r="S14" s="2"/>
      <c r="T14" s="2"/>
      <c r="U14" s="2"/>
      <c r="V14" s="2"/>
      <c r="W14" s="2"/>
      <c r="X14" s="2"/>
    </row>
    <row r="15" spans="1:25" x14ac:dyDescent="0.2">
      <c r="D15" s="56" t="s">
        <v>46</v>
      </c>
      <c r="E15" s="57"/>
      <c r="F15" s="58"/>
      <c r="K15" s="2"/>
      <c r="L15" s="2"/>
      <c r="M15" s="2"/>
      <c r="N15" s="2"/>
      <c r="O15" s="2"/>
      <c r="P15" s="9">
        <v>40</v>
      </c>
      <c r="Q15" s="2"/>
      <c r="R15" s="2"/>
      <c r="S15" s="2"/>
      <c r="T15" s="2"/>
      <c r="U15" s="2"/>
      <c r="V15" s="2"/>
      <c r="W15" s="2"/>
      <c r="X15" s="2"/>
    </row>
    <row r="16" spans="1:25" x14ac:dyDescent="0.2">
      <c r="D16" s="56" t="s">
        <v>51</v>
      </c>
      <c r="E16" s="57"/>
      <c r="F16" s="58"/>
      <c r="K16" s="2"/>
      <c r="L16" s="2"/>
      <c r="M16" s="2"/>
      <c r="N16" s="2"/>
      <c r="O16" s="2"/>
      <c r="P16" s="9">
        <v>615</v>
      </c>
      <c r="Q16" s="2"/>
      <c r="R16" s="2"/>
      <c r="S16" s="2"/>
      <c r="T16" s="2"/>
      <c r="U16" s="2"/>
      <c r="V16" s="2"/>
      <c r="W16" s="2"/>
      <c r="X16" s="2"/>
    </row>
    <row r="17" spans="3:24" x14ac:dyDescent="0.2">
      <c r="C17" s="21"/>
      <c r="D17" s="56" t="s">
        <v>52</v>
      </c>
      <c r="E17" s="57"/>
      <c r="F17" s="58"/>
      <c r="G17" s="19"/>
      <c r="H17" s="19"/>
      <c r="I17" s="19"/>
      <c r="J17" s="19"/>
      <c r="K17" s="43"/>
      <c r="L17" s="43"/>
      <c r="M17" s="43"/>
      <c r="N17" s="43"/>
      <c r="O17" s="43"/>
      <c r="P17" s="9">
        <v>62</v>
      </c>
      <c r="Q17" s="43"/>
      <c r="R17" s="43"/>
      <c r="S17" s="43"/>
      <c r="T17" s="43"/>
      <c r="U17" s="43"/>
      <c r="V17" s="43"/>
      <c r="W17" s="43"/>
      <c r="X17" s="43"/>
    </row>
    <row r="18" spans="3:24" x14ac:dyDescent="0.2">
      <c r="C18" s="21"/>
      <c r="D18" s="56" t="s">
        <v>53</v>
      </c>
      <c r="E18" s="57"/>
      <c r="F18" s="58"/>
      <c r="G18" s="19"/>
      <c r="H18" s="19"/>
      <c r="I18" s="19"/>
      <c r="J18" s="19"/>
      <c r="K18" s="43"/>
      <c r="L18" s="43"/>
      <c r="M18" s="43"/>
      <c r="N18" s="43"/>
      <c r="O18" s="43"/>
      <c r="P18" s="9">
        <f>SUM(P13:P14)</f>
        <v>575</v>
      </c>
      <c r="Q18" s="43"/>
      <c r="R18" s="43"/>
      <c r="S18" s="43"/>
      <c r="T18" s="43"/>
      <c r="U18" s="43"/>
      <c r="V18" s="43"/>
      <c r="W18" s="43"/>
      <c r="X18" s="43"/>
    </row>
    <row r="19" spans="3:24" x14ac:dyDescent="0.2">
      <c r="C19" s="21"/>
      <c r="D19" s="56" t="s">
        <v>61</v>
      </c>
      <c r="E19" s="57"/>
      <c r="F19" s="58"/>
      <c r="G19" s="19"/>
      <c r="H19" s="19"/>
      <c r="I19" s="19"/>
      <c r="J19" s="19"/>
      <c r="K19" s="43"/>
      <c r="L19" s="43"/>
      <c r="M19" s="43"/>
      <c r="N19" s="43"/>
      <c r="O19" s="43"/>
      <c r="P19" s="9">
        <v>761</v>
      </c>
      <c r="Q19" s="43"/>
      <c r="R19" s="43"/>
      <c r="S19" s="43"/>
      <c r="T19" s="43"/>
      <c r="U19" s="43"/>
      <c r="V19" s="43"/>
      <c r="W19" s="43"/>
      <c r="X19" s="43"/>
    </row>
    <row r="20" spans="3:24" x14ac:dyDescent="0.2">
      <c r="C20" s="21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spans="3:24" x14ac:dyDescent="0.2">
      <c r="C21" s="21" t="s">
        <v>48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3:24" x14ac:dyDescent="0.2">
      <c r="C22" s="52"/>
      <c r="D22" t="s">
        <v>9</v>
      </c>
      <c r="K22" s="2"/>
      <c r="L22" s="2"/>
      <c r="M22" s="2"/>
      <c r="N22" s="2"/>
      <c r="O22" s="2"/>
      <c r="P22" s="2"/>
      <c r="Q22" s="9">
        <v>7675.6174775652507</v>
      </c>
      <c r="R22" s="9">
        <v>7828.7753964089479</v>
      </c>
      <c r="S22" s="9">
        <v>3892.2748160721421</v>
      </c>
      <c r="T22" s="9">
        <v>7721.1669840712275</v>
      </c>
      <c r="U22" s="9">
        <v>7465.8970471426701</v>
      </c>
      <c r="V22" s="9">
        <v>7309.7549212645426</v>
      </c>
      <c r="W22" s="9">
        <v>7147.3683140900293</v>
      </c>
      <c r="X22" s="9">
        <v>7037.6873176956997</v>
      </c>
    </row>
    <row r="23" spans="3:24" x14ac:dyDescent="0.2">
      <c r="C23" s="52"/>
      <c r="D23" t="s">
        <v>26</v>
      </c>
      <c r="K23" s="2"/>
      <c r="L23" s="2"/>
      <c r="M23" s="2"/>
      <c r="N23" s="2"/>
      <c r="O23" s="2"/>
      <c r="P23" s="2"/>
      <c r="Q23" s="9">
        <v>2035.1691075479866</v>
      </c>
      <c r="R23" s="9">
        <v>2336.8385435453793</v>
      </c>
      <c r="S23" s="9">
        <v>1299.1856520877425</v>
      </c>
      <c r="T23" s="9">
        <v>2874.1951277894609</v>
      </c>
      <c r="U23" s="9">
        <v>3547.585554028693</v>
      </c>
      <c r="V23" s="9">
        <v>4415.4668103386002</v>
      </c>
      <c r="W23" s="9">
        <v>5354.4165040407415</v>
      </c>
      <c r="X23" s="9">
        <v>7202.0799327007398</v>
      </c>
    </row>
    <row r="24" spans="3:24" x14ac:dyDescent="0.2">
      <c r="C24" s="52"/>
      <c r="D24" t="s">
        <v>27</v>
      </c>
      <c r="K24" s="2"/>
      <c r="L24" s="2"/>
      <c r="M24" s="2"/>
      <c r="N24" s="2"/>
      <c r="O24" s="2"/>
      <c r="P24" s="2"/>
      <c r="Q24" s="9">
        <v>0</v>
      </c>
      <c r="R24" s="9">
        <v>0</v>
      </c>
      <c r="S24" s="9">
        <v>0</v>
      </c>
      <c r="T24" s="9">
        <v>2284.4266400000001</v>
      </c>
      <c r="U24" s="9">
        <v>2284.4266400000001</v>
      </c>
      <c r="V24" s="9">
        <v>0</v>
      </c>
      <c r="W24" s="9">
        <v>0</v>
      </c>
      <c r="X24" s="9">
        <v>0</v>
      </c>
    </row>
    <row r="25" spans="3:24" x14ac:dyDescent="0.2">
      <c r="C25" s="52"/>
      <c r="D25" t="s">
        <v>25</v>
      </c>
      <c r="K25" s="2"/>
      <c r="L25" s="2"/>
      <c r="M25" s="2"/>
      <c r="N25" s="2"/>
      <c r="O25" s="2"/>
      <c r="P25" s="43"/>
      <c r="Q25" s="26">
        <v>-2340.8864622314322</v>
      </c>
      <c r="R25" s="26">
        <v>-2389.0305701640705</v>
      </c>
      <c r="S25" s="26">
        <v>-1207.1185365632768</v>
      </c>
      <c r="T25" s="26">
        <v>-2463.1697457431455</v>
      </c>
      <c r="U25" s="26">
        <v>-2529.8835922153544</v>
      </c>
      <c r="V25" s="26">
        <v>-2597.6408687087596</v>
      </c>
      <c r="W25" s="26">
        <v>-2650.1214988989855</v>
      </c>
      <c r="X25" s="26">
        <v>-2703.6339080329458</v>
      </c>
    </row>
    <row r="26" spans="3:24" x14ac:dyDescent="0.2">
      <c r="C26" s="52"/>
      <c r="D26" s="11" t="s">
        <v>24</v>
      </c>
      <c r="E26" s="11"/>
      <c r="F26" s="11"/>
      <c r="G26" s="11"/>
      <c r="H26" s="11"/>
      <c r="I26" s="11"/>
      <c r="J26" s="11"/>
      <c r="K26" s="13"/>
      <c r="L26" s="13"/>
      <c r="M26" s="13"/>
      <c r="N26" s="13"/>
      <c r="O26" s="13"/>
      <c r="P26" s="26">
        <v>336359.45199999999</v>
      </c>
      <c r="Q26" s="59">
        <f>SUM(P26,Q22,Q24:Q25)</f>
        <v>341694.18301533378</v>
      </c>
      <c r="R26" s="59">
        <f t="shared" ref="R26:X26" si="4">SUM(Q26,R22,R24:R25)</f>
        <v>347133.92784157861</v>
      </c>
      <c r="S26" s="59">
        <f t="shared" si="4"/>
        <v>349819.08412108745</v>
      </c>
      <c r="T26" s="59">
        <f t="shared" si="4"/>
        <v>357361.50799941557</v>
      </c>
      <c r="U26" s="59">
        <f t="shared" si="4"/>
        <v>364581.94809434289</v>
      </c>
      <c r="V26" s="59">
        <f t="shared" si="4"/>
        <v>369294.06214689865</v>
      </c>
      <c r="W26" s="59">
        <f t="shared" si="4"/>
        <v>373791.30896208965</v>
      </c>
      <c r="X26" s="59">
        <f t="shared" si="4"/>
        <v>378125.36237175239</v>
      </c>
    </row>
    <row r="27" spans="3:24" x14ac:dyDescent="0.2">
      <c r="C27" s="52"/>
      <c r="D27" s="46" t="s">
        <v>56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61"/>
      <c r="Q27" s="61">
        <v>0</v>
      </c>
      <c r="R27" s="61">
        <v>0</v>
      </c>
      <c r="S27" s="61">
        <v>0</v>
      </c>
      <c r="T27" s="61">
        <v>0</v>
      </c>
      <c r="U27" s="61">
        <v>0</v>
      </c>
      <c r="V27" s="61">
        <v>0</v>
      </c>
      <c r="W27" s="61">
        <v>0</v>
      </c>
      <c r="X27" s="61">
        <v>0</v>
      </c>
    </row>
    <row r="28" spans="3:24" x14ac:dyDescent="0.2">
      <c r="C28" s="21"/>
    </row>
    <row r="29" spans="3:24" x14ac:dyDescent="0.2">
      <c r="C29" s="21" t="s">
        <v>20</v>
      </c>
    </row>
    <row r="30" spans="3:24" x14ac:dyDescent="0.2">
      <c r="C30" s="21"/>
      <c r="D30" t="s">
        <v>63</v>
      </c>
      <c r="K30" s="2"/>
      <c r="L30" s="2"/>
      <c r="M30" s="2"/>
      <c r="N30" s="2"/>
      <c r="O30" s="2"/>
      <c r="P30" s="2"/>
      <c r="Q30" s="10">
        <v>1</v>
      </c>
      <c r="R30" s="10">
        <v>1</v>
      </c>
      <c r="S30" s="10">
        <v>1</v>
      </c>
      <c r="T30" s="10">
        <v>1</v>
      </c>
      <c r="U30" s="10">
        <v>1</v>
      </c>
      <c r="V30" s="10">
        <v>1</v>
      </c>
      <c r="W30" s="10">
        <v>1</v>
      </c>
      <c r="X30" s="10">
        <v>1</v>
      </c>
    </row>
    <row r="31" spans="3:24" x14ac:dyDescent="0.2">
      <c r="C31" s="21"/>
      <c r="D31" t="s">
        <v>64</v>
      </c>
      <c r="G31" s="71" t="s">
        <v>83</v>
      </c>
      <c r="H31" s="71"/>
      <c r="I31" s="71"/>
      <c r="K31" s="2"/>
      <c r="L31" s="2"/>
      <c r="M31" s="2"/>
      <c r="N31" s="2"/>
      <c r="O31" s="2"/>
      <c r="P31" s="2"/>
      <c r="Q31" s="10">
        <v>1</v>
      </c>
      <c r="R31" s="10">
        <v>1</v>
      </c>
      <c r="S31" s="10">
        <v>1</v>
      </c>
      <c r="T31" s="73">
        <v>0.89931740614334466</v>
      </c>
      <c r="U31" s="73">
        <f>T31</f>
        <v>0.89931740614334466</v>
      </c>
      <c r="V31" s="73">
        <f>T31</f>
        <v>0.89931740614334466</v>
      </c>
      <c r="W31" s="73">
        <f>T31</f>
        <v>0.89931740614334466</v>
      </c>
      <c r="X31" s="73">
        <f>T31</f>
        <v>0.89931740614334466</v>
      </c>
    </row>
    <row r="32" spans="3:24" x14ac:dyDescent="0.2">
      <c r="C32" s="21"/>
      <c r="D32" s="11" t="s">
        <v>65</v>
      </c>
      <c r="E32" s="11"/>
      <c r="F32" s="11"/>
      <c r="G32" s="71" t="s">
        <v>83</v>
      </c>
      <c r="H32" s="72"/>
      <c r="I32" s="72"/>
      <c r="J32" s="11"/>
      <c r="K32" s="13"/>
      <c r="L32" s="13"/>
      <c r="M32" s="13"/>
      <c r="N32" s="13"/>
      <c r="O32" s="13"/>
      <c r="P32" s="13"/>
      <c r="Q32" s="28">
        <v>0</v>
      </c>
      <c r="R32" s="28">
        <v>0</v>
      </c>
      <c r="S32" s="28">
        <v>0</v>
      </c>
      <c r="T32" s="74">
        <v>0.25</v>
      </c>
      <c r="U32" s="74">
        <v>0.25</v>
      </c>
      <c r="V32" s="74">
        <v>0.25</v>
      </c>
      <c r="W32" s="74">
        <v>0.25</v>
      </c>
      <c r="X32" s="74">
        <v>0.25</v>
      </c>
    </row>
    <row r="33" spans="3:24" x14ac:dyDescent="0.2">
      <c r="C33" s="21"/>
    </row>
    <row r="34" spans="3:24" x14ac:dyDescent="0.2">
      <c r="C34" s="21" t="s">
        <v>58</v>
      </c>
    </row>
    <row r="35" spans="3:24" x14ac:dyDescent="0.2">
      <c r="C35" s="21"/>
      <c r="D35" t="str">
        <f>D13</f>
        <v>Access points</v>
      </c>
      <c r="K35" s="2"/>
      <c r="L35" s="2"/>
      <c r="M35" s="2"/>
      <c r="N35" s="2"/>
      <c r="O35" s="2"/>
      <c r="P35" s="2"/>
      <c r="Q35" s="10">
        <v>0.03</v>
      </c>
      <c r="R35" s="10">
        <v>0.03</v>
      </c>
      <c r="S35" s="10">
        <f>R35/2</f>
        <v>1.4999999999999999E-2</v>
      </c>
      <c r="T35" s="10">
        <v>0.03</v>
      </c>
      <c r="U35" s="10">
        <v>0.03</v>
      </c>
      <c r="V35" s="10">
        <v>0.03</v>
      </c>
      <c r="W35" s="10">
        <v>0.03</v>
      </c>
      <c r="X35" s="10">
        <v>0.03</v>
      </c>
    </row>
    <row r="36" spans="3:24" x14ac:dyDescent="0.2">
      <c r="C36" s="21"/>
      <c r="D36" t="str">
        <f>D14</f>
        <v>Relays</v>
      </c>
      <c r="K36" s="2"/>
      <c r="L36" s="2"/>
      <c r="M36" s="2"/>
      <c r="N36" s="2"/>
      <c r="O36" s="2"/>
      <c r="P36" s="2"/>
      <c r="Q36" s="10">
        <v>0.03</v>
      </c>
      <c r="R36" s="10">
        <v>0.03</v>
      </c>
      <c r="S36" s="10">
        <f t="shared" ref="S36:S39" si="5">R36/2</f>
        <v>1.4999999999999999E-2</v>
      </c>
      <c r="T36" s="10">
        <v>0.03</v>
      </c>
      <c r="U36" s="10">
        <v>0.03</v>
      </c>
      <c r="V36" s="10">
        <v>0.03</v>
      </c>
      <c r="W36" s="10">
        <v>0.03</v>
      </c>
      <c r="X36" s="10">
        <v>0.03</v>
      </c>
    </row>
    <row r="37" spans="3:24" x14ac:dyDescent="0.2">
      <c r="C37" s="21"/>
      <c r="D37" t="str">
        <f>D15</f>
        <v>Micro access points</v>
      </c>
      <c r="K37" s="2"/>
      <c r="L37" s="2"/>
      <c r="M37" s="2"/>
      <c r="N37" s="2"/>
      <c r="O37" s="2"/>
      <c r="P37" s="2"/>
      <c r="Q37" s="10">
        <v>0.03</v>
      </c>
      <c r="R37" s="10">
        <v>0.03</v>
      </c>
      <c r="S37" s="10">
        <f t="shared" si="5"/>
        <v>1.4999999999999999E-2</v>
      </c>
      <c r="T37" s="10">
        <v>0.03</v>
      </c>
      <c r="U37" s="10">
        <v>0.03</v>
      </c>
      <c r="V37" s="10">
        <v>0.03</v>
      </c>
      <c r="W37" s="10">
        <v>0.03</v>
      </c>
      <c r="X37" s="10">
        <v>0.03</v>
      </c>
    </row>
    <row r="38" spans="3:24" x14ac:dyDescent="0.2">
      <c r="C38" s="21"/>
      <c r="D38" t="str">
        <f>D16</f>
        <v>Antennas, low profile</v>
      </c>
      <c r="K38" s="2"/>
      <c r="L38" s="2"/>
      <c r="M38" s="2"/>
      <c r="N38" s="2"/>
      <c r="O38" s="2"/>
      <c r="P38" s="2"/>
      <c r="Q38" s="10">
        <v>0.03</v>
      </c>
      <c r="R38" s="10">
        <v>0.03</v>
      </c>
      <c r="S38" s="10">
        <f t="shared" si="5"/>
        <v>1.4999999999999999E-2</v>
      </c>
      <c r="T38" s="10">
        <v>0.03</v>
      </c>
      <c r="U38" s="10">
        <v>0.03</v>
      </c>
      <c r="V38" s="10">
        <v>0.03</v>
      </c>
      <c r="W38" s="10">
        <v>0.03</v>
      </c>
      <c r="X38" s="10">
        <v>0.03</v>
      </c>
    </row>
    <row r="39" spans="3:24" x14ac:dyDescent="0.2">
      <c r="C39" s="21"/>
      <c r="D39" s="11" t="str">
        <f>D17</f>
        <v>Antennas, high profile</v>
      </c>
      <c r="E39" s="11"/>
      <c r="F39" s="11"/>
      <c r="G39" s="11"/>
      <c r="H39" s="11"/>
      <c r="I39" s="11"/>
      <c r="J39" s="11"/>
      <c r="K39" s="13"/>
      <c r="L39" s="13"/>
      <c r="M39" s="13"/>
      <c r="N39" s="13"/>
      <c r="O39" s="13"/>
      <c r="P39" s="13"/>
      <c r="Q39" s="28">
        <v>0.02</v>
      </c>
      <c r="R39" s="28">
        <v>0.02</v>
      </c>
      <c r="S39" s="28">
        <f t="shared" si="5"/>
        <v>0.01</v>
      </c>
      <c r="T39" s="28">
        <v>0.02</v>
      </c>
      <c r="U39" s="28">
        <v>0.02</v>
      </c>
      <c r="V39" s="28">
        <v>0.02</v>
      </c>
      <c r="W39" s="28">
        <v>0.02</v>
      </c>
      <c r="X39" s="28">
        <v>0.02</v>
      </c>
    </row>
    <row r="40" spans="3:24" x14ac:dyDescent="0.2">
      <c r="C40" s="21"/>
    </row>
    <row r="41" spans="3:24" x14ac:dyDescent="0.2">
      <c r="C41" s="21" t="s">
        <v>45</v>
      </c>
    </row>
    <row r="42" spans="3:24" x14ac:dyDescent="0.2">
      <c r="C42" s="52"/>
      <c r="D42" t="s">
        <v>39</v>
      </c>
      <c r="H42" s="42">
        <v>2021</v>
      </c>
      <c r="K42" s="2"/>
      <c r="L42" s="2"/>
      <c r="M42" s="2"/>
      <c r="N42" s="2"/>
      <c r="O42" s="2"/>
      <c r="P42" s="30"/>
      <c r="Q42" s="30"/>
      <c r="R42" s="30"/>
      <c r="S42" s="30"/>
      <c r="T42" s="30"/>
      <c r="U42" s="30"/>
      <c r="V42" s="30"/>
      <c r="W42" s="30"/>
      <c r="X42" s="30"/>
    </row>
    <row r="43" spans="3:24" x14ac:dyDescent="0.2">
      <c r="C43" s="52"/>
      <c r="D43" t="s">
        <v>38</v>
      </c>
      <c r="H43" s="44">
        <v>0.8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3:24" x14ac:dyDescent="0.2">
      <c r="C44" s="52"/>
      <c r="D44" t="s">
        <v>57</v>
      </c>
      <c r="H44" s="44">
        <v>3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3:24" x14ac:dyDescent="0.2">
      <c r="C45" s="52"/>
      <c r="D45" t="s">
        <v>37</v>
      </c>
      <c r="H45" s="9">
        <v>4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3:24" x14ac:dyDescent="0.2">
      <c r="C46" s="52"/>
      <c r="D46" t="s">
        <v>47</v>
      </c>
      <c r="H46" s="9">
        <v>5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3:24" x14ac:dyDescent="0.2">
      <c r="C47" s="52"/>
      <c r="D47" t="s">
        <v>36</v>
      </c>
      <c r="H47" s="12">
        <v>0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3:24" x14ac:dyDescent="0.2">
      <c r="C48" s="52"/>
      <c r="D48" t="s">
        <v>40</v>
      </c>
      <c r="H48" s="9">
        <v>250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3:24" x14ac:dyDescent="0.2">
      <c r="C49" s="52"/>
      <c r="D49" t="s">
        <v>41</v>
      </c>
      <c r="H49" s="12">
        <v>2E-3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3:24" x14ac:dyDescent="0.2">
      <c r="C50" s="52"/>
      <c r="D50" s="19" t="s">
        <v>42</v>
      </c>
      <c r="E50" s="19"/>
      <c r="F50" s="19"/>
      <c r="G50" s="19"/>
      <c r="H50" s="12">
        <v>0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3:24" x14ac:dyDescent="0.2">
      <c r="C51" s="52"/>
      <c r="D51" t="s">
        <v>14</v>
      </c>
      <c r="K51" s="2"/>
      <c r="L51" s="2"/>
      <c r="M51" s="2"/>
      <c r="N51" s="2"/>
      <c r="O51" s="2"/>
      <c r="P51" s="2"/>
      <c r="Q51" s="2"/>
      <c r="R51" s="2"/>
      <c r="S51" s="2"/>
      <c r="T51" s="63">
        <v>0</v>
      </c>
      <c r="U51" s="63">
        <v>0</v>
      </c>
      <c r="V51" s="63">
        <v>0</v>
      </c>
      <c r="W51" s="63">
        <v>3</v>
      </c>
      <c r="X51" s="63">
        <v>80</v>
      </c>
    </row>
    <row r="52" spans="3:24" x14ac:dyDescent="0.2">
      <c r="C52" s="52"/>
      <c r="D52" t="s">
        <v>79</v>
      </c>
      <c r="K52" s="2"/>
      <c r="L52" s="2"/>
      <c r="M52" s="2"/>
      <c r="N52" s="2"/>
      <c r="O52" s="2"/>
      <c r="P52" s="2"/>
      <c r="Q52" s="65">
        <v>1</v>
      </c>
      <c r="R52" s="65">
        <v>1</v>
      </c>
      <c r="S52" s="65">
        <v>0.5</v>
      </c>
      <c r="T52" s="65">
        <v>1</v>
      </c>
      <c r="U52" s="65">
        <v>1</v>
      </c>
      <c r="V52" s="65">
        <v>1</v>
      </c>
      <c r="W52" s="65">
        <v>1</v>
      </c>
      <c r="X52" s="65">
        <v>1</v>
      </c>
    </row>
    <row r="53" spans="3:24" x14ac:dyDescent="0.2">
      <c r="C53" s="52"/>
      <c r="D53" s="19" t="s">
        <v>15</v>
      </c>
      <c r="E53" s="19"/>
      <c r="F53" s="19"/>
      <c r="G53" s="19"/>
      <c r="H53" s="19"/>
      <c r="I53" s="19"/>
      <c r="J53" s="19"/>
      <c r="K53" s="43"/>
      <c r="L53" s="43"/>
      <c r="M53" s="43"/>
      <c r="N53" s="43"/>
      <c r="O53" s="43"/>
      <c r="P53" s="43"/>
      <c r="Q53" s="65">
        <v>0</v>
      </c>
      <c r="R53" s="65">
        <v>0</v>
      </c>
      <c r="S53" s="65">
        <v>0</v>
      </c>
      <c r="T53" s="65">
        <v>0.5</v>
      </c>
      <c r="U53" s="65">
        <v>0.5</v>
      </c>
      <c r="V53" s="65">
        <v>0</v>
      </c>
      <c r="W53" s="65">
        <v>0</v>
      </c>
      <c r="X53" s="65">
        <v>0</v>
      </c>
    </row>
    <row r="54" spans="3:24" x14ac:dyDescent="0.2">
      <c r="C54" s="21"/>
      <c r="D54" s="11" t="s">
        <v>62</v>
      </c>
      <c r="E54" s="11"/>
      <c r="F54" s="11"/>
      <c r="G54" s="11"/>
      <c r="H54" s="11"/>
      <c r="I54" s="11"/>
      <c r="J54" s="11"/>
      <c r="K54" s="13"/>
      <c r="L54" s="13"/>
      <c r="M54" s="13"/>
      <c r="N54" s="13"/>
      <c r="O54" s="13"/>
      <c r="P54" s="13"/>
      <c r="Q54" s="64">
        <v>0</v>
      </c>
      <c r="R54" s="64">
        <v>0</v>
      </c>
      <c r="S54" s="64">
        <v>0</v>
      </c>
      <c r="T54" s="64">
        <v>0.5</v>
      </c>
      <c r="U54" s="64">
        <v>0.5</v>
      </c>
      <c r="V54" s="64">
        <v>0</v>
      </c>
      <c r="W54" s="64">
        <v>0</v>
      </c>
      <c r="X54" s="64">
        <v>0</v>
      </c>
    </row>
    <row r="55" spans="3:24" x14ac:dyDescent="0.2">
      <c r="C55" s="21"/>
    </row>
    <row r="56" spans="3:24" x14ac:dyDescent="0.2">
      <c r="C56" s="21" t="s">
        <v>13</v>
      </c>
      <c r="H56" s="25" t="s">
        <v>50</v>
      </c>
      <c r="I56" s="34" t="s">
        <v>49</v>
      </c>
    </row>
    <row r="57" spans="3:24" x14ac:dyDescent="0.2">
      <c r="C57" s="21"/>
      <c r="D57" t="str">
        <f t="shared" ref="D57:D63" si="6">D13</f>
        <v>Access points</v>
      </c>
      <c r="G57" s="8" t="s">
        <v>6</v>
      </c>
      <c r="H57" s="9">
        <v>6752</v>
      </c>
      <c r="I57" s="9">
        <v>943.39119542968638</v>
      </c>
      <c r="K57" s="29"/>
      <c r="L57" s="29"/>
    </row>
    <row r="58" spans="3:24" x14ac:dyDescent="0.2">
      <c r="C58" s="21"/>
      <c r="D58" t="str">
        <f t="shared" si="6"/>
        <v>Relays</v>
      </c>
      <c r="G58" s="8" t="s">
        <v>6</v>
      </c>
      <c r="H58" s="9">
        <v>2197</v>
      </c>
      <c r="I58" s="9">
        <v>1330.22</v>
      </c>
      <c r="K58" s="29"/>
      <c r="L58" s="29"/>
    </row>
    <row r="59" spans="3:24" x14ac:dyDescent="0.2">
      <c r="C59" s="21"/>
      <c r="D59" t="str">
        <f t="shared" si="6"/>
        <v>Micro access points</v>
      </c>
      <c r="G59" s="8" t="s">
        <v>6</v>
      </c>
      <c r="H59" s="9">
        <v>364.29</v>
      </c>
      <c r="I59" s="9">
        <v>394.59</v>
      </c>
      <c r="K59" s="29"/>
      <c r="L59" s="29"/>
    </row>
    <row r="60" spans="3:24" x14ac:dyDescent="0.2">
      <c r="C60" s="21"/>
      <c r="D60" t="str">
        <f t="shared" si="6"/>
        <v>Antennas, low profile</v>
      </c>
      <c r="G60" s="8" t="s">
        <v>6</v>
      </c>
      <c r="H60" s="9">
        <v>45.03</v>
      </c>
      <c r="I60" s="9">
        <v>227.52000000000004</v>
      </c>
      <c r="K60" s="29"/>
      <c r="L60" s="29"/>
    </row>
    <row r="61" spans="3:24" x14ac:dyDescent="0.2">
      <c r="C61" s="21"/>
      <c r="D61" t="str">
        <f t="shared" si="6"/>
        <v>Antennas, high profile</v>
      </c>
      <c r="G61" s="8" t="s">
        <v>6</v>
      </c>
      <c r="H61" s="9">
        <v>98.68</v>
      </c>
      <c r="I61" s="9">
        <v>303.36</v>
      </c>
      <c r="K61" s="29"/>
      <c r="L61" s="29"/>
    </row>
    <row r="62" spans="3:24" x14ac:dyDescent="0.2">
      <c r="C62" s="21"/>
      <c r="D62" t="str">
        <f t="shared" si="6"/>
        <v>Batteries</v>
      </c>
      <c r="G62" s="8" t="s">
        <v>6</v>
      </c>
      <c r="H62" s="9">
        <v>605</v>
      </c>
      <c r="I62" s="9">
        <v>1063.27</v>
      </c>
      <c r="K62" s="29"/>
      <c r="L62" s="29"/>
    </row>
    <row r="63" spans="3:24" x14ac:dyDescent="0.2">
      <c r="C63" s="21"/>
      <c r="D63" s="11" t="str">
        <f t="shared" si="6"/>
        <v>Cellular Modems</v>
      </c>
      <c r="E63" s="11"/>
      <c r="F63" s="11"/>
      <c r="G63" s="27" t="s">
        <v>6</v>
      </c>
      <c r="H63" s="26">
        <v>1379.28</v>
      </c>
      <c r="I63" s="26">
        <v>1240.8384830058158</v>
      </c>
    </row>
    <row r="64" spans="3:24" x14ac:dyDescent="0.2">
      <c r="C64" s="21"/>
    </row>
    <row r="65" spans="1:25" x14ac:dyDescent="0.2">
      <c r="C65" s="21"/>
      <c r="D65" s="19" t="s">
        <v>66</v>
      </c>
      <c r="E65" s="19"/>
      <c r="F65" s="19"/>
      <c r="G65" s="48"/>
      <c r="H65" s="49">
        <v>0.7</v>
      </c>
    </row>
    <row r="66" spans="1:25" x14ac:dyDescent="0.2">
      <c r="C66" s="21"/>
      <c r="D66" s="11" t="s">
        <v>21</v>
      </c>
      <c r="E66" s="11"/>
      <c r="F66" s="11"/>
      <c r="G66" s="11"/>
      <c r="H66" s="50" t="s">
        <v>16</v>
      </c>
    </row>
    <row r="67" spans="1:25" x14ac:dyDescent="0.2"/>
    <row r="68" spans="1:25" x14ac:dyDescent="0.2">
      <c r="A68" s="4"/>
      <c r="B68" s="4" t="s">
        <v>7</v>
      </c>
      <c r="C68" s="6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0"/>
      <c r="Q68" s="40"/>
      <c r="R68" s="40"/>
      <c r="S68" s="40"/>
      <c r="T68" s="40"/>
      <c r="U68" s="40"/>
      <c r="V68" s="40"/>
      <c r="W68" s="40"/>
      <c r="X68" s="40"/>
      <c r="Y68" s="69"/>
    </row>
    <row r="69" spans="1:25" x14ac:dyDescent="0.2"/>
    <row r="70" spans="1:25" x14ac:dyDescent="0.2">
      <c r="C70" s="7" t="s">
        <v>31</v>
      </c>
    </row>
    <row r="71" spans="1:25" x14ac:dyDescent="0.2">
      <c r="C71" s="51"/>
      <c r="D71" t="s">
        <v>30</v>
      </c>
      <c r="P71" s="38">
        <f t="shared" ref="P71:R71" si="7">P26-P72</f>
        <v>336359.45199999999</v>
      </c>
      <c r="Q71" s="38">
        <f t="shared" si="7"/>
        <v>341694.18301533378</v>
      </c>
      <c r="R71" s="38">
        <f t="shared" si="7"/>
        <v>347133.92784157861</v>
      </c>
      <c r="S71" s="38">
        <f t="shared" ref="S71:X71" si="8">S26-S72</f>
        <v>349819.08412108745</v>
      </c>
      <c r="T71" s="38">
        <f t="shared" si="8"/>
        <v>319413.85825432744</v>
      </c>
      <c r="U71" s="38">
        <f t="shared" si="8"/>
        <v>313336.38910808339</v>
      </c>
      <c r="V71" s="38">
        <f t="shared" si="8"/>
        <v>306323.281429036</v>
      </c>
      <c r="W71" s="38">
        <f t="shared" si="8"/>
        <v>298318.74342609622</v>
      </c>
      <c r="X71" s="38">
        <f t="shared" si="8"/>
        <v>288413.02958536253</v>
      </c>
    </row>
    <row r="72" spans="1:25" x14ac:dyDescent="0.2">
      <c r="C72" s="51"/>
      <c r="D72" s="19" t="s">
        <v>29</v>
      </c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41">
        <f>(P$2&gt;=$H$42)*SUM($P$22:P24)</f>
        <v>0</v>
      </c>
      <c r="Q72" s="41">
        <f>(Q$2&gt;=$H$42)*SUM($P$22:Q24)</f>
        <v>0</v>
      </c>
      <c r="R72" s="41">
        <f>(R$2&gt;=$H$42)*SUM($P$22:R24)</f>
        <v>0</v>
      </c>
      <c r="S72" s="41">
        <f>(S$2&gt;=$H$42)*SUM($P$22:S24)</f>
        <v>0</v>
      </c>
      <c r="T72" s="41">
        <f>(T$2&gt;=$H$42)*SUM($P$22:T24)</f>
        <v>37947.649745088136</v>
      </c>
      <c r="U72" s="41">
        <f>(U$2&gt;=$H$42)*SUM($P$22:U24)</f>
        <v>51245.558986259501</v>
      </c>
      <c r="V72" s="41">
        <f>(V$2&gt;=$H$42)*SUM($P$22:V24)</f>
        <v>62970.780717862654</v>
      </c>
      <c r="W72" s="41">
        <f>(W$2&gt;=$H$42)*SUM($P$22:W24)</f>
        <v>75472.565535993432</v>
      </c>
      <c r="X72" s="41">
        <f>(X$2&gt;=$H$42)*SUM($P$22:X24)</f>
        <v>89712.332786389874</v>
      </c>
    </row>
    <row r="73" spans="1:25" x14ac:dyDescent="0.2">
      <c r="C73" s="51"/>
      <c r="D73" t="s">
        <v>35</v>
      </c>
      <c r="P73" s="29">
        <f>(P71+P72*$H$44)</f>
        <v>336359.45199999999</v>
      </c>
      <c r="Q73" s="29">
        <f t="shared" ref="Q73:R73" si="9">(Q71+Q72*$H$44)</f>
        <v>341694.18301533378</v>
      </c>
      <c r="R73" s="29">
        <f t="shared" si="9"/>
        <v>347133.92784157861</v>
      </c>
      <c r="S73" s="29">
        <f t="shared" ref="S73:X73" si="10">(S71+S72*$H$44)</f>
        <v>349819.08412108745</v>
      </c>
      <c r="T73" s="29">
        <f t="shared" si="10"/>
        <v>433256.80748959188</v>
      </c>
      <c r="U73" s="29">
        <f t="shared" si="10"/>
        <v>467073.06606686185</v>
      </c>
      <c r="V73" s="29">
        <f t="shared" si="10"/>
        <v>495235.62358262396</v>
      </c>
      <c r="W73" s="29">
        <f t="shared" si="10"/>
        <v>524736.44003407657</v>
      </c>
      <c r="X73" s="29">
        <f t="shared" si="10"/>
        <v>557550.02794453222</v>
      </c>
    </row>
    <row r="74" spans="1:25" x14ac:dyDescent="0.2">
      <c r="C74" s="51"/>
      <c r="D74" s="19" t="s">
        <v>28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39">
        <f t="shared" ref="P74:R74" si="11">P73/$P$71*$H$43</f>
        <v>0.8</v>
      </c>
      <c r="Q74" s="39">
        <f t="shared" si="11"/>
        <v>0.81268816674212874</v>
      </c>
      <c r="R74" s="39">
        <f t="shared" si="11"/>
        <v>0.82562609916864449</v>
      </c>
      <c r="S74" s="39">
        <f t="shared" ref="S74:X74" si="12">S73/$P$71*$H$43</f>
        <v>0.83201249625317486</v>
      </c>
      <c r="T74" s="39">
        <f t="shared" si="12"/>
        <v>1.0304614421588292</v>
      </c>
      <c r="U74" s="39">
        <f t="shared" si="12"/>
        <v>1.1108903009316637</v>
      </c>
      <c r="V74" s="39">
        <f t="shared" si="12"/>
        <v>1.1778723520637058</v>
      </c>
      <c r="W74" s="39">
        <f t="shared" si="12"/>
        <v>1.2480373289086621</v>
      </c>
      <c r="X74" s="39">
        <f t="shared" si="12"/>
        <v>1.3260814277804978</v>
      </c>
    </row>
    <row r="75" spans="1:25" x14ac:dyDescent="0.2">
      <c r="C75" s="51"/>
      <c r="D75" t="s">
        <v>32</v>
      </c>
      <c r="P75" s="38">
        <f t="shared" ref="P75:X75" si="13">MAX($P$13,$P$13*P$74)</f>
        <v>115</v>
      </c>
      <c r="Q75" s="38">
        <f t="shared" si="13"/>
        <v>115</v>
      </c>
      <c r="R75" s="38">
        <f t="shared" si="13"/>
        <v>115</v>
      </c>
      <c r="S75" s="38">
        <f t="shared" si="13"/>
        <v>115</v>
      </c>
      <c r="T75" s="38">
        <f t="shared" si="13"/>
        <v>118.50306584826535</v>
      </c>
      <c r="U75" s="38">
        <f t="shared" si="13"/>
        <v>127.75238460714134</v>
      </c>
      <c r="V75" s="38">
        <f t="shared" si="13"/>
        <v>135.45532048732616</v>
      </c>
      <c r="W75" s="38">
        <f t="shared" si="13"/>
        <v>143.52429282449614</v>
      </c>
      <c r="X75" s="38">
        <f t="shared" si="13"/>
        <v>152.49936419475725</v>
      </c>
    </row>
    <row r="76" spans="1:25" x14ac:dyDescent="0.2">
      <c r="C76" s="51"/>
      <c r="D76" s="19" t="s">
        <v>33</v>
      </c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41">
        <f>P75*$H$45</f>
        <v>460</v>
      </c>
      <c r="Q76" s="41">
        <f t="shared" ref="Q76:R76" si="14">Q75*$H$45</f>
        <v>460</v>
      </c>
      <c r="R76" s="41">
        <f t="shared" si="14"/>
        <v>460</v>
      </c>
      <c r="S76" s="41">
        <f t="shared" ref="S76:X76" si="15">S75*$H$45</f>
        <v>460</v>
      </c>
      <c r="T76" s="41">
        <f t="shared" si="15"/>
        <v>474.0122633930614</v>
      </c>
      <c r="U76" s="41">
        <f t="shared" si="15"/>
        <v>511.00953842856535</v>
      </c>
      <c r="V76" s="41">
        <f t="shared" si="15"/>
        <v>541.82128194930465</v>
      </c>
      <c r="W76" s="41">
        <f t="shared" si="15"/>
        <v>574.09717129798457</v>
      </c>
      <c r="X76" s="41">
        <f t="shared" si="15"/>
        <v>609.99745677902899</v>
      </c>
    </row>
    <row r="77" spans="1:25" x14ac:dyDescent="0.2">
      <c r="C77" s="51"/>
      <c r="D77" s="45" t="s">
        <v>43</v>
      </c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31">
        <f>P$73/SUM($P13,$P81:P81,$P101:P101)</f>
        <v>2924.8647999999998</v>
      </c>
      <c r="Q77" s="31">
        <f>Q$73/SUM($P13,$P81:Q81,$P101:Q101)</f>
        <v>2884.7123935443965</v>
      </c>
      <c r="R77" s="31">
        <f>R$73/SUM($P13,$P81:R81,$P101:R101)</f>
        <v>2847.6942398816946</v>
      </c>
      <c r="S77" s="31">
        <f>S$73/SUM($P13,$P81:S81,$P101:S101)</f>
        <v>2829.6791435477244</v>
      </c>
      <c r="T77" s="31">
        <f>T$73/SUM($P13,$P81:T81,$P101:T101)</f>
        <v>3315.3224539771154</v>
      </c>
      <c r="U77" s="31">
        <f>U$73/SUM($P13,$P81:U81,$P101:U101)</f>
        <v>3248.8638384093724</v>
      </c>
      <c r="V77" s="31">
        <f>V$73/SUM($P13,$P81:V81,$P101:V101)</f>
        <v>3184.1470460286796</v>
      </c>
      <c r="W77" s="31">
        <f>W$73/SUM($P13,$P81:W81,$P101:W101)</f>
        <v>3125.1733867138491</v>
      </c>
      <c r="X77" s="31">
        <f>X$73/SUM($P13,$P81:X81,$P101:X101)</f>
        <v>3072.639141188502</v>
      </c>
    </row>
    <row r="78" spans="1:25" x14ac:dyDescent="0.2">
      <c r="C78" s="51"/>
      <c r="D78" s="32" t="s">
        <v>44</v>
      </c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41">
        <f>P$73/SUM($P14,$P82:P82,$P102:P102)</f>
        <v>731.21619999999996</v>
      </c>
      <c r="Q78" s="41">
        <f>Q$73/SUM($P14,$P82:Q82,$P102:Q102)</f>
        <v>721.17809838609912</v>
      </c>
      <c r="R78" s="41">
        <f>R$73/SUM($P14,$P82:R82,$P102:R102)</f>
        <v>711.92355997042364</v>
      </c>
      <c r="S78" s="41">
        <f>S$73/SUM($P14,$P82:S82,$P102:S102)</f>
        <v>707.41978588693109</v>
      </c>
      <c r="T78" s="41">
        <f>T$73/SUM($P14,$P82:T82,$P102:T102)</f>
        <v>828.83061349427885</v>
      </c>
      <c r="U78" s="41">
        <f>U$73/SUM($P14,$P82:U82,$P102:U102)</f>
        <v>812.2159596023431</v>
      </c>
      <c r="V78" s="41">
        <f>V$73/SUM($P14,$P82:V82,$P102:V102)</f>
        <v>796.0367615071699</v>
      </c>
      <c r="W78" s="41">
        <f>W$73/SUM($P14,$P82:W82,$P102:W102)</f>
        <v>781.29334667846229</v>
      </c>
      <c r="X78" s="41">
        <f>X$73/SUM($P14,$P82:X82,$P102:X102)</f>
        <v>768.1597852971255</v>
      </c>
    </row>
    <row r="79" spans="1:25" x14ac:dyDescent="0.2"/>
    <row r="80" spans="1:25" x14ac:dyDescent="0.2">
      <c r="C80" s="7" t="str">
        <f>D30</f>
        <v>Communications devices - 5-minute settlement</v>
      </c>
    </row>
    <row r="81" spans="3:24" x14ac:dyDescent="0.2">
      <c r="D81" t="str">
        <f t="shared" ref="D81:D87" si="16">D13</f>
        <v>Access points</v>
      </c>
      <c r="P81" s="2"/>
      <c r="Q81" s="17">
        <f>Q75-P75</f>
        <v>0</v>
      </c>
      <c r="R81" s="17">
        <f t="shared" ref="R81:S81" si="17">R75-Q75</f>
        <v>0</v>
      </c>
      <c r="S81" s="17">
        <f t="shared" si="17"/>
        <v>0</v>
      </c>
      <c r="T81" s="17">
        <f t="shared" ref="T81:T82" si="18">T75-S75</f>
        <v>3.5030658482653507</v>
      </c>
      <c r="U81" s="17">
        <f t="shared" ref="U81:U82" si="19">U75-T75</f>
        <v>9.2493187588759866</v>
      </c>
      <c r="V81" s="17">
        <f t="shared" ref="V81:V82" si="20">V75-U75</f>
        <v>7.7029358801848247</v>
      </c>
      <c r="W81" s="17">
        <f t="shared" ref="W81:W82" si="21">W75-V75</f>
        <v>8.0689723371699813</v>
      </c>
      <c r="X81" s="17">
        <f t="shared" ref="X81:X82" si="22">X75-W75</f>
        <v>8.9750713702611051</v>
      </c>
    </row>
    <row r="82" spans="3:24" x14ac:dyDescent="0.2">
      <c r="D82" t="str">
        <f t="shared" si="16"/>
        <v>Relays</v>
      </c>
      <c r="P82" s="2"/>
      <c r="Q82" s="17">
        <f>Q76-P76</f>
        <v>0</v>
      </c>
      <c r="R82" s="17">
        <f t="shared" ref="R82:S82" si="23">R76-Q76</f>
        <v>0</v>
      </c>
      <c r="S82" s="17">
        <f t="shared" si="23"/>
        <v>0</v>
      </c>
      <c r="T82" s="17">
        <f t="shared" si="18"/>
        <v>14.012263393061403</v>
      </c>
      <c r="U82" s="17">
        <f t="shared" si="19"/>
        <v>36.997275035503947</v>
      </c>
      <c r="V82" s="17">
        <f t="shared" si="20"/>
        <v>30.811743520739299</v>
      </c>
      <c r="W82" s="17">
        <f t="shared" si="21"/>
        <v>32.275889348679925</v>
      </c>
      <c r="X82" s="17">
        <f t="shared" si="22"/>
        <v>35.900285481044421</v>
      </c>
    </row>
    <row r="83" spans="3:24" x14ac:dyDescent="0.2">
      <c r="D83" t="str">
        <f t="shared" si="16"/>
        <v>Micro access points</v>
      </c>
      <c r="P83" s="2"/>
      <c r="Q83" s="17">
        <f t="shared" ref="Q83:R83" si="24">(Q81&gt;0)*Q22/$H$48*$H$47</f>
        <v>0</v>
      </c>
      <c r="R83" s="17">
        <f t="shared" si="24"/>
        <v>0</v>
      </c>
      <c r="S83" s="17">
        <f t="shared" ref="S83:X83" si="25">(S81&gt;0)*S22/$H$48*$H$47</f>
        <v>0</v>
      </c>
      <c r="T83" s="17">
        <f t="shared" si="25"/>
        <v>0</v>
      </c>
      <c r="U83" s="17">
        <f t="shared" si="25"/>
        <v>0</v>
      </c>
      <c r="V83" s="17">
        <f t="shared" si="25"/>
        <v>0</v>
      </c>
      <c r="W83" s="17">
        <f t="shared" si="25"/>
        <v>0</v>
      </c>
      <c r="X83" s="17">
        <f t="shared" si="25"/>
        <v>0</v>
      </c>
    </row>
    <row r="84" spans="3:24" x14ac:dyDescent="0.2">
      <c r="D84" t="str">
        <f t="shared" si="16"/>
        <v>Antennas, low profile</v>
      </c>
      <c r="P84" s="2"/>
      <c r="Q84" s="17">
        <f t="shared" ref="Q84:R84" si="26">(Q81&gt;0)*Q22*$H$49</f>
        <v>0</v>
      </c>
      <c r="R84" s="17">
        <f t="shared" si="26"/>
        <v>0</v>
      </c>
      <c r="S84" s="17">
        <f t="shared" ref="S84:X84" si="27">(S81&gt;0)*S22*$H$49</f>
        <v>0</v>
      </c>
      <c r="T84" s="17">
        <f t="shared" si="27"/>
        <v>15.442333968142455</v>
      </c>
      <c r="U84" s="17">
        <f t="shared" si="27"/>
        <v>14.93179409428534</v>
      </c>
      <c r="V84" s="17">
        <f t="shared" si="27"/>
        <v>14.619509842529085</v>
      </c>
      <c r="W84" s="17">
        <f t="shared" si="27"/>
        <v>14.294736628180059</v>
      </c>
      <c r="X84" s="17">
        <f t="shared" si="27"/>
        <v>14.0753746353914</v>
      </c>
    </row>
    <row r="85" spans="3:24" x14ac:dyDescent="0.2">
      <c r="D85" t="str">
        <f t="shared" si="16"/>
        <v>Antennas, high profile</v>
      </c>
      <c r="P85" s="2"/>
      <c r="Q85" s="17">
        <f t="shared" ref="Q85:R85" si="28">(Q81&gt;0)*Q22*$H$50</f>
        <v>0</v>
      </c>
      <c r="R85" s="17">
        <f t="shared" si="28"/>
        <v>0</v>
      </c>
      <c r="S85" s="17">
        <f t="shared" ref="S85:X85" si="29">(S81&gt;0)*S22*$H$50</f>
        <v>0</v>
      </c>
      <c r="T85" s="17">
        <f t="shared" si="29"/>
        <v>0</v>
      </c>
      <c r="U85" s="17">
        <f t="shared" si="29"/>
        <v>0</v>
      </c>
      <c r="V85" s="17">
        <f t="shared" si="29"/>
        <v>0</v>
      </c>
      <c r="W85" s="17">
        <f t="shared" si="29"/>
        <v>0</v>
      </c>
      <c r="X85" s="17">
        <f t="shared" si="29"/>
        <v>0</v>
      </c>
    </row>
    <row r="86" spans="3:24" x14ac:dyDescent="0.2">
      <c r="C86" s="21"/>
      <c r="D86" s="19" t="str">
        <f t="shared" si="16"/>
        <v>Batteries</v>
      </c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43"/>
      <c r="Q86" s="20">
        <f t="shared" ref="Q86:R86" ca="1" si="30">((Q$2-$P$2)&gt;$H$46)*IFERROR(SUM(OFFSET(Q81,0,-$H$46,2)),0)</f>
        <v>0</v>
      </c>
      <c r="R86" s="20">
        <f t="shared" ca="1" si="30"/>
        <v>0</v>
      </c>
      <c r="S86" s="20">
        <f t="shared" ref="S86:X86" ca="1" si="31">((S$2-$P$2)&gt;$H$46)*IFERROR(SUM(OFFSET(S81,0,-$H$46,2)),0)</f>
        <v>0</v>
      </c>
      <c r="T86" s="20">
        <f t="shared" ca="1" si="31"/>
        <v>0</v>
      </c>
      <c r="U86" s="20">
        <f t="shared" ca="1" si="31"/>
        <v>0</v>
      </c>
      <c r="V86" s="20">
        <f t="shared" ca="1" si="31"/>
        <v>0</v>
      </c>
      <c r="W86" s="20">
        <f t="shared" ca="1" si="31"/>
        <v>0</v>
      </c>
      <c r="X86" s="20">
        <f t="shared" ca="1" si="31"/>
        <v>0</v>
      </c>
    </row>
    <row r="87" spans="3:24" x14ac:dyDescent="0.2">
      <c r="C87" s="21"/>
      <c r="D87" s="19" t="str">
        <f t="shared" si="16"/>
        <v>Cellular Modems</v>
      </c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43"/>
      <c r="Q87" s="62"/>
      <c r="R87" s="62"/>
      <c r="S87" s="62"/>
      <c r="T87" s="62"/>
      <c r="U87" s="62"/>
      <c r="V87" s="62"/>
      <c r="W87" s="62"/>
      <c r="X87" s="62"/>
    </row>
    <row r="88" spans="3:24" x14ac:dyDescent="0.2">
      <c r="C88" s="21"/>
      <c r="D88" s="11" t="s">
        <v>0</v>
      </c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3"/>
      <c r="Q88" s="16"/>
      <c r="R88" s="16"/>
      <c r="S88" s="16"/>
      <c r="T88" s="16"/>
      <c r="U88" s="16"/>
      <c r="V88" s="16"/>
      <c r="W88" s="16"/>
      <c r="X88" s="16"/>
    </row>
    <row r="89" spans="3:24" x14ac:dyDescent="0.2">
      <c r="C89" s="21"/>
      <c r="Q89" s="17"/>
      <c r="R89" s="17"/>
      <c r="S89" s="17"/>
      <c r="T89" s="17"/>
      <c r="U89" s="17"/>
      <c r="V89" s="17"/>
      <c r="W89" s="17"/>
      <c r="X89" s="17"/>
    </row>
    <row r="90" spans="3:24" x14ac:dyDescent="0.2">
      <c r="C90" s="21" t="str">
        <f>D31</f>
        <v>Network Communications - 3G Shutdown</v>
      </c>
      <c r="Q90" s="17"/>
      <c r="R90" s="17"/>
      <c r="S90" s="17"/>
      <c r="T90" s="17"/>
      <c r="U90" s="17"/>
      <c r="V90" s="17"/>
      <c r="W90" s="17"/>
      <c r="X90" s="17"/>
    </row>
    <row r="91" spans="3:24" x14ac:dyDescent="0.2">
      <c r="C91" s="21"/>
      <c r="D91" t="str">
        <f t="shared" ref="D91:D97" si="32">D81</f>
        <v>Access points</v>
      </c>
      <c r="M91" s="29"/>
      <c r="P91" s="2"/>
      <c r="Q91" s="17">
        <f t="shared" ref="Q91:R91" si="33">$P$13*Q53</f>
        <v>0</v>
      </c>
      <c r="R91" s="17">
        <f t="shared" si="33"/>
        <v>0</v>
      </c>
      <c r="S91" s="17">
        <f t="shared" ref="S91:X91" si="34">$P$13*S53</f>
        <v>0</v>
      </c>
      <c r="T91" s="17">
        <f t="shared" si="34"/>
        <v>57.5</v>
      </c>
      <c r="U91" s="17">
        <f t="shared" si="34"/>
        <v>57.5</v>
      </c>
      <c r="V91" s="17">
        <f t="shared" si="34"/>
        <v>0</v>
      </c>
      <c r="W91" s="17">
        <f t="shared" si="34"/>
        <v>0</v>
      </c>
      <c r="X91" s="17">
        <f t="shared" si="34"/>
        <v>0</v>
      </c>
    </row>
    <row r="92" spans="3:24" x14ac:dyDescent="0.2">
      <c r="C92" s="21"/>
      <c r="D92" t="str">
        <f t="shared" si="32"/>
        <v>Relays</v>
      </c>
      <c r="M92" s="29"/>
      <c r="P92" s="2"/>
      <c r="Q92" s="22"/>
      <c r="R92" s="22"/>
      <c r="S92" s="22"/>
      <c r="T92" s="22"/>
      <c r="U92" s="22"/>
      <c r="V92" s="22"/>
      <c r="W92" s="22"/>
      <c r="X92" s="22"/>
    </row>
    <row r="93" spans="3:24" x14ac:dyDescent="0.2">
      <c r="C93" s="21"/>
      <c r="D93" s="19" t="str">
        <f t="shared" si="32"/>
        <v>Micro access points</v>
      </c>
      <c r="E93" s="19"/>
      <c r="F93" s="19"/>
      <c r="G93" s="19"/>
      <c r="H93" s="19"/>
      <c r="I93" s="19"/>
      <c r="J93" s="19"/>
      <c r="K93" s="19"/>
      <c r="L93" s="19"/>
      <c r="M93" s="31"/>
      <c r="N93" s="19"/>
      <c r="O93" s="19"/>
      <c r="P93" s="43"/>
      <c r="Q93" s="22"/>
      <c r="R93" s="22"/>
      <c r="S93" s="22"/>
      <c r="T93" s="22"/>
      <c r="U93" s="22"/>
      <c r="V93" s="22"/>
      <c r="W93" s="22"/>
      <c r="X93" s="22"/>
    </row>
    <row r="94" spans="3:24" x14ac:dyDescent="0.2">
      <c r="C94" s="21"/>
      <c r="D94" t="str">
        <f t="shared" si="32"/>
        <v>Antennas, low profile</v>
      </c>
      <c r="P94" s="2"/>
      <c r="Q94" s="22"/>
      <c r="R94" s="22"/>
      <c r="S94" s="22"/>
      <c r="T94" s="22"/>
      <c r="U94" s="22"/>
      <c r="V94" s="22"/>
      <c r="W94" s="22"/>
      <c r="X94" s="22"/>
    </row>
    <row r="95" spans="3:24" x14ac:dyDescent="0.2">
      <c r="C95" s="21"/>
      <c r="D95" t="str">
        <f t="shared" si="32"/>
        <v>Antennas, high profile</v>
      </c>
      <c r="P95" s="2"/>
      <c r="Q95" s="22"/>
      <c r="R95" s="22"/>
      <c r="S95" s="22"/>
      <c r="T95" s="22"/>
      <c r="U95" s="22"/>
      <c r="V95" s="22"/>
      <c r="W95" s="22"/>
      <c r="X95" s="22"/>
    </row>
    <row r="96" spans="3:24" x14ac:dyDescent="0.2">
      <c r="C96" s="21"/>
      <c r="D96" t="str">
        <f t="shared" si="32"/>
        <v>Batteries</v>
      </c>
      <c r="P96" s="2"/>
      <c r="Q96" s="22"/>
      <c r="R96" s="22"/>
      <c r="S96" s="22"/>
      <c r="T96" s="22"/>
      <c r="U96" s="22"/>
      <c r="V96" s="22"/>
      <c r="W96" s="22"/>
      <c r="X96" s="22"/>
    </row>
    <row r="97" spans="1:25" x14ac:dyDescent="0.2">
      <c r="C97" s="21"/>
      <c r="D97" t="str">
        <f t="shared" si="32"/>
        <v>Cellular Modems</v>
      </c>
      <c r="P97" s="2"/>
      <c r="Q97" s="20">
        <f t="shared" ref="Q97:R97" si="35">$P$19*Q54</f>
        <v>0</v>
      </c>
      <c r="R97" s="20">
        <f t="shared" si="35"/>
        <v>0</v>
      </c>
      <c r="S97" s="20">
        <f t="shared" ref="S97:X97" si="36">$P$19*S54</f>
        <v>0</v>
      </c>
      <c r="T97" s="20">
        <f t="shared" si="36"/>
        <v>380.5</v>
      </c>
      <c r="U97" s="20">
        <f t="shared" si="36"/>
        <v>380.5</v>
      </c>
      <c r="V97" s="20">
        <f t="shared" si="36"/>
        <v>0</v>
      </c>
      <c r="W97" s="20">
        <f t="shared" si="36"/>
        <v>0</v>
      </c>
      <c r="X97" s="20">
        <f t="shared" si="36"/>
        <v>0</v>
      </c>
    </row>
    <row r="98" spans="1:25" x14ac:dyDescent="0.2">
      <c r="C98" s="21"/>
      <c r="D98" s="11" t="str">
        <f t="shared" ref="D98" si="37">D88</f>
        <v>Relays reaching end of life and need replacement (15 year life)</v>
      </c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3"/>
      <c r="Q98" s="16"/>
      <c r="R98" s="16"/>
      <c r="S98" s="16"/>
      <c r="T98" s="16"/>
      <c r="U98" s="16"/>
      <c r="V98" s="16"/>
      <c r="W98" s="16"/>
      <c r="X98" s="16"/>
    </row>
    <row r="99" spans="1:25" x14ac:dyDescent="0.2">
      <c r="C99" s="21"/>
      <c r="Q99" s="17"/>
      <c r="R99" s="17"/>
      <c r="S99" s="17"/>
      <c r="T99" s="17"/>
      <c r="U99" s="17"/>
      <c r="V99" s="17"/>
      <c r="W99" s="17"/>
      <c r="X99" s="17"/>
    </row>
    <row r="100" spans="1:25" x14ac:dyDescent="0.2">
      <c r="C100" s="21" t="str">
        <f>D32</f>
        <v>Communications devices - annual program</v>
      </c>
      <c r="Q100" s="17"/>
      <c r="R100" s="17"/>
      <c r="S100" s="17"/>
      <c r="T100" s="17"/>
      <c r="U100" s="17"/>
      <c r="V100" s="17"/>
      <c r="W100" s="17"/>
      <c r="X100" s="17"/>
    </row>
    <row r="101" spans="1:25" x14ac:dyDescent="0.2">
      <c r="C101" s="21"/>
      <c r="D101" t="str">
        <f t="shared" ref="D101:D107" si="38">D91</f>
        <v>Access points</v>
      </c>
      <c r="P101" s="2"/>
      <c r="Q101" s="17">
        <f>SUM($P13,$Q81:Q81)*Q35</f>
        <v>3.4499999999999997</v>
      </c>
      <c r="R101" s="17">
        <f>SUM($P13,$Q81:R81)*R35</f>
        <v>3.4499999999999997</v>
      </c>
      <c r="S101" s="17">
        <f>SUM($P13,$Q81:S81)*S35</f>
        <v>1.7249999999999999</v>
      </c>
      <c r="T101" s="17">
        <f>SUM($P13,$Q81:T81)*T35</f>
        <v>3.5550919754479602</v>
      </c>
      <c r="U101" s="17">
        <f>SUM($P13,$Q81:U81)*U35</f>
        <v>3.83257153821424</v>
      </c>
      <c r="V101" s="17">
        <f>SUM($P13,$Q81:V81)*V35</f>
        <v>4.0636596146197848</v>
      </c>
      <c r="W101" s="17">
        <f>SUM($P13,$Q81:W81)*W35</f>
        <v>4.3057287847348844</v>
      </c>
      <c r="X101" s="17">
        <f>SUM($P13,$Q81:X81)*X35</f>
        <v>4.5749809258427172</v>
      </c>
    </row>
    <row r="102" spans="1:25" x14ac:dyDescent="0.2">
      <c r="C102" s="21"/>
      <c r="D102" t="str">
        <f t="shared" si="38"/>
        <v>Relays</v>
      </c>
      <c r="P102" s="2"/>
      <c r="Q102" s="17">
        <f>SUM($P14,$Q82:Q82)*Q36</f>
        <v>13.799999999999999</v>
      </c>
      <c r="R102" s="17">
        <f>SUM($P14,$Q82:R82)*R36</f>
        <v>13.799999999999999</v>
      </c>
      <c r="S102" s="17">
        <f>SUM($P14,$Q82:S82)*S36</f>
        <v>6.8999999999999995</v>
      </c>
      <c r="T102" s="17">
        <f>SUM($P14,$Q82:T82)*T36</f>
        <v>14.220367901791841</v>
      </c>
      <c r="U102" s="17">
        <f>SUM($P14,$Q82:U82)*U36</f>
        <v>15.33028615285696</v>
      </c>
      <c r="V102" s="17">
        <f>SUM($P14,$Q82:V82)*V36</f>
        <v>16.254638458479139</v>
      </c>
      <c r="W102" s="17">
        <f>SUM($P14,$Q82:W82)*W36</f>
        <v>17.222915138939538</v>
      </c>
      <c r="X102" s="17">
        <f>SUM($P14,$Q82:X82)*X36</f>
        <v>18.299923703370869</v>
      </c>
    </row>
    <row r="103" spans="1:25" x14ac:dyDescent="0.2">
      <c r="C103" s="21"/>
      <c r="D103" t="str">
        <f t="shared" si="38"/>
        <v>Micro access points</v>
      </c>
      <c r="P103" s="2"/>
      <c r="Q103" s="17">
        <f>SUM($P15,$Q83:Q83)*Q37</f>
        <v>1.2</v>
      </c>
      <c r="R103" s="17">
        <f>SUM($P15,$Q83:R83)*R37</f>
        <v>1.2</v>
      </c>
      <c r="S103" s="17">
        <f>SUM($P15,$Q83:S83)*S37</f>
        <v>0.6</v>
      </c>
      <c r="T103" s="17">
        <f>SUM($P15,$Q83:T83)*T37</f>
        <v>1.2</v>
      </c>
      <c r="U103" s="17">
        <f>SUM($P15,$Q83:U83)*U37</f>
        <v>1.2</v>
      </c>
      <c r="V103" s="17">
        <f>SUM($P15,$Q83:V83)*V37</f>
        <v>1.2</v>
      </c>
      <c r="W103" s="17">
        <f>SUM($P15,$Q83:W83)*W37</f>
        <v>1.2</v>
      </c>
      <c r="X103" s="17">
        <f>SUM($P15,$Q83:X83)*X37</f>
        <v>1.2</v>
      </c>
    </row>
    <row r="104" spans="1:25" x14ac:dyDescent="0.2">
      <c r="C104" s="21"/>
      <c r="D104" t="str">
        <f t="shared" si="38"/>
        <v>Antennas, low profile</v>
      </c>
      <c r="P104" s="2"/>
      <c r="Q104" s="17">
        <f>SUM($P16,$Q84:Q84)*Q38</f>
        <v>18.45</v>
      </c>
      <c r="R104" s="17">
        <f>SUM($P16,$Q84:R84)*R38</f>
        <v>18.45</v>
      </c>
      <c r="S104" s="17">
        <f>SUM($P16,$Q84:S84)*S38</f>
        <v>9.2249999999999996</v>
      </c>
      <c r="T104" s="17">
        <f>SUM($P16,$Q84:T84)*T38</f>
        <v>18.913270019044273</v>
      </c>
      <c r="U104" s="17">
        <f>SUM($P16,$Q84:U84)*U38</f>
        <v>19.361223841872832</v>
      </c>
      <c r="V104" s="17">
        <f>SUM($P16,$Q84:V84)*V38</f>
        <v>19.799809137148703</v>
      </c>
      <c r="W104" s="17">
        <f>SUM($P16,$Q84:W84)*W38</f>
        <v>20.228651235994107</v>
      </c>
      <c r="X104" s="17">
        <f>SUM($P16,$Q84:X84)*X38</f>
        <v>20.650912475055851</v>
      </c>
    </row>
    <row r="105" spans="1:25" x14ac:dyDescent="0.2">
      <c r="C105" s="21"/>
      <c r="D105" t="str">
        <f t="shared" si="38"/>
        <v>Antennas, high profile</v>
      </c>
      <c r="P105" s="2"/>
      <c r="Q105" s="17">
        <f>SUM($P17,$Q85:Q85)*Q39</f>
        <v>1.24</v>
      </c>
      <c r="R105" s="17">
        <f>SUM($P17,$Q85:R85)*R39</f>
        <v>1.24</v>
      </c>
      <c r="S105" s="17">
        <f>SUM($P17,$Q85:S85)*S39</f>
        <v>0.62</v>
      </c>
      <c r="T105" s="17">
        <f>SUM($P17,$Q85:T85)*T39</f>
        <v>1.24</v>
      </c>
      <c r="U105" s="17">
        <f>SUM($P17,$Q85:U85)*U39</f>
        <v>1.24</v>
      </c>
      <c r="V105" s="17">
        <f>SUM($P17,$Q85:V85)*V39</f>
        <v>1.24</v>
      </c>
      <c r="W105" s="17">
        <f>SUM($P17,$Q85:W85)*W39</f>
        <v>1.24</v>
      </c>
      <c r="X105" s="17">
        <f>SUM($P17,$Q85:X85)*X39</f>
        <v>1.24</v>
      </c>
    </row>
    <row r="106" spans="1:25" x14ac:dyDescent="0.2">
      <c r="C106" s="21"/>
      <c r="D106" t="str">
        <f t="shared" si="38"/>
        <v>Batteries</v>
      </c>
      <c r="P106" s="2"/>
      <c r="Q106" s="17">
        <f>SUM($P$13:$P$14)/$H$46*Q$52</f>
        <v>115</v>
      </c>
      <c r="R106" s="17">
        <f t="shared" ref="R106:X106" si="39">SUM($P$13:$P$14)/$H$46*R$52</f>
        <v>115</v>
      </c>
      <c r="S106" s="17">
        <f t="shared" si="39"/>
        <v>57.5</v>
      </c>
      <c r="T106" s="17">
        <f t="shared" si="39"/>
        <v>115</v>
      </c>
      <c r="U106" s="17">
        <f t="shared" si="39"/>
        <v>115</v>
      </c>
      <c r="V106" s="17">
        <f t="shared" si="39"/>
        <v>115</v>
      </c>
      <c r="W106" s="17">
        <f t="shared" si="39"/>
        <v>115</v>
      </c>
      <c r="X106" s="17">
        <f t="shared" si="39"/>
        <v>115</v>
      </c>
    </row>
    <row r="107" spans="1:25" x14ac:dyDescent="0.2">
      <c r="C107" s="21"/>
      <c r="D107" t="str">
        <f t="shared" si="38"/>
        <v>Cellular Modems</v>
      </c>
      <c r="P107" s="2"/>
      <c r="Q107" s="2"/>
      <c r="R107" s="2"/>
      <c r="S107" s="2"/>
      <c r="T107" s="2"/>
      <c r="U107" s="2"/>
      <c r="V107" s="2"/>
      <c r="W107" s="2"/>
      <c r="X107" s="2"/>
    </row>
    <row r="108" spans="1:25" x14ac:dyDescent="0.2">
      <c r="C108" s="21"/>
      <c r="D108" s="11" t="str">
        <f t="shared" ref="D108" si="40">D98</f>
        <v>Relays reaching end of life and need replacement (15 year life)</v>
      </c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3"/>
      <c r="Q108" s="16"/>
      <c r="R108" s="16"/>
      <c r="S108" s="16"/>
      <c r="T108" s="18">
        <f>T51</f>
        <v>0</v>
      </c>
      <c r="U108" s="18">
        <f>U51</f>
        <v>0</v>
      </c>
      <c r="V108" s="18">
        <f>V51</f>
        <v>0</v>
      </c>
      <c r="W108" s="18">
        <f>W51</f>
        <v>3</v>
      </c>
      <c r="X108" s="18">
        <f>X51</f>
        <v>80</v>
      </c>
    </row>
    <row r="109" spans="1:25" x14ac:dyDescent="0.2">
      <c r="C109" s="21"/>
    </row>
    <row r="110" spans="1:25" x14ac:dyDescent="0.2">
      <c r="A110" s="4"/>
      <c r="B110" s="4" t="s">
        <v>17</v>
      </c>
      <c r="C110" s="53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69"/>
    </row>
    <row r="111" spans="1:25" x14ac:dyDescent="0.2">
      <c r="C111" s="21"/>
    </row>
    <row r="112" spans="1:25" x14ac:dyDescent="0.2">
      <c r="C112" s="54" t="s">
        <v>7</v>
      </c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">
        <f>Q$2</f>
        <v>2019</v>
      </c>
      <c r="R112" s="3">
        <f t="shared" ref="R112:X112" si="41">R$2</f>
        <v>2020</v>
      </c>
      <c r="S112" s="67">
        <f t="shared" si="41"/>
        <v>2020.51</v>
      </c>
      <c r="T112" s="3">
        <f t="shared" si="41"/>
        <v>2021</v>
      </c>
      <c r="U112" s="3">
        <f t="shared" si="41"/>
        <v>2022</v>
      </c>
      <c r="V112" s="3">
        <f t="shared" si="41"/>
        <v>2023</v>
      </c>
      <c r="W112" s="3">
        <f t="shared" si="41"/>
        <v>2024</v>
      </c>
      <c r="X112" s="3">
        <f t="shared" si="41"/>
        <v>2025</v>
      </c>
    </row>
    <row r="113" spans="3:24" x14ac:dyDescent="0.2">
      <c r="C113" s="54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66" t="str">
        <f>Q$3</f>
        <v>CY2019</v>
      </c>
      <c r="R113" s="66" t="str">
        <f t="shared" ref="R113:X113" si="42">R$3</f>
        <v>CY2020</v>
      </c>
      <c r="S113" s="66" t="str">
        <f t="shared" si="42"/>
        <v>HY2021</v>
      </c>
      <c r="T113" s="66" t="str">
        <f t="shared" si="42"/>
        <v>FY21/22</v>
      </c>
      <c r="U113" s="66" t="str">
        <f t="shared" si="42"/>
        <v>FY22/23</v>
      </c>
      <c r="V113" s="66" t="str">
        <f t="shared" si="42"/>
        <v>FY23/24</v>
      </c>
      <c r="W113" s="66" t="str">
        <f t="shared" si="42"/>
        <v>FY24/25</v>
      </c>
      <c r="X113" s="66" t="str">
        <f t="shared" si="42"/>
        <v>FY25/26</v>
      </c>
    </row>
    <row r="114" spans="3:24" x14ac:dyDescent="0.2">
      <c r="C114" s="21"/>
      <c r="D114" t="str">
        <f t="shared" ref="D114:D120" si="43">D101</f>
        <v>Access points</v>
      </c>
      <c r="Q114" s="15">
        <f t="shared" ref="Q114:Q120" si="44">SUM(Q81,Q91,Q101)</f>
        <v>3.4499999999999997</v>
      </c>
      <c r="R114" s="15">
        <f t="shared" ref="R114" si="45">SUM(R81,R91,R101)</f>
        <v>3.4499999999999997</v>
      </c>
      <c r="S114" s="15">
        <f t="shared" ref="S114:X114" si="46">SUM(S81,S91,S101)</f>
        <v>1.7249999999999999</v>
      </c>
      <c r="T114" s="15">
        <f t="shared" si="46"/>
        <v>64.558157823713316</v>
      </c>
      <c r="U114" s="15">
        <f t="shared" si="46"/>
        <v>70.581890297090226</v>
      </c>
      <c r="V114" s="15">
        <f t="shared" si="46"/>
        <v>11.766595494804609</v>
      </c>
      <c r="W114" s="15">
        <f t="shared" si="46"/>
        <v>12.374701121904867</v>
      </c>
      <c r="X114" s="15">
        <f t="shared" si="46"/>
        <v>13.550052296103821</v>
      </c>
    </row>
    <row r="115" spans="3:24" x14ac:dyDescent="0.2">
      <c r="C115" s="21"/>
      <c r="D115" t="str">
        <f t="shared" si="43"/>
        <v>Relays</v>
      </c>
      <c r="Q115" s="15">
        <f t="shared" si="44"/>
        <v>13.799999999999999</v>
      </c>
      <c r="R115" s="15">
        <f t="shared" ref="R115:R120" si="47">SUM(R82,R92,R102)</f>
        <v>13.799999999999999</v>
      </c>
      <c r="S115" s="15">
        <f t="shared" ref="S115:X115" si="48">SUM(S82,S92,S102)</f>
        <v>6.8999999999999995</v>
      </c>
      <c r="T115" s="15">
        <f t="shared" si="48"/>
        <v>28.232631294853242</v>
      </c>
      <c r="U115" s="15">
        <f t="shared" si="48"/>
        <v>52.327561188360903</v>
      </c>
      <c r="V115" s="15">
        <f t="shared" si="48"/>
        <v>47.066381979218434</v>
      </c>
      <c r="W115" s="15">
        <f t="shared" si="48"/>
        <v>49.498804487619466</v>
      </c>
      <c r="X115" s="15">
        <f t="shared" si="48"/>
        <v>54.200209184415286</v>
      </c>
    </row>
    <row r="116" spans="3:24" x14ac:dyDescent="0.2">
      <c r="C116" s="21"/>
      <c r="D116" t="str">
        <f t="shared" si="43"/>
        <v>Micro access points</v>
      </c>
      <c r="Q116" s="15">
        <f t="shared" si="44"/>
        <v>1.2</v>
      </c>
      <c r="R116" s="15">
        <f t="shared" si="47"/>
        <v>1.2</v>
      </c>
      <c r="S116" s="15">
        <f t="shared" ref="S116:X116" si="49">SUM(S83,S93,S103)</f>
        <v>0.6</v>
      </c>
      <c r="T116" s="15">
        <f t="shared" si="49"/>
        <v>1.2</v>
      </c>
      <c r="U116" s="15">
        <f t="shared" si="49"/>
        <v>1.2</v>
      </c>
      <c r="V116" s="15">
        <f t="shared" si="49"/>
        <v>1.2</v>
      </c>
      <c r="W116" s="15">
        <f t="shared" si="49"/>
        <v>1.2</v>
      </c>
      <c r="X116" s="15">
        <f t="shared" si="49"/>
        <v>1.2</v>
      </c>
    </row>
    <row r="117" spans="3:24" x14ac:dyDescent="0.2">
      <c r="C117" s="21"/>
      <c r="D117" t="str">
        <f t="shared" si="43"/>
        <v>Antennas, low profile</v>
      </c>
      <c r="Q117" s="15">
        <f t="shared" si="44"/>
        <v>18.45</v>
      </c>
      <c r="R117" s="15">
        <f t="shared" si="47"/>
        <v>18.45</v>
      </c>
      <c r="S117" s="15">
        <f t="shared" ref="S117:X117" si="50">SUM(S84,S94,S104)</f>
        <v>9.2249999999999996</v>
      </c>
      <c r="T117" s="15">
        <f t="shared" si="50"/>
        <v>34.355603987186726</v>
      </c>
      <c r="U117" s="15">
        <f t="shared" si="50"/>
        <v>34.293017936158172</v>
      </c>
      <c r="V117" s="15">
        <f t="shared" si="50"/>
        <v>34.41931897967779</v>
      </c>
      <c r="W117" s="15">
        <f t="shared" si="50"/>
        <v>34.523387864174168</v>
      </c>
      <c r="X117" s="15">
        <f t="shared" si="50"/>
        <v>34.726287110447252</v>
      </c>
    </row>
    <row r="118" spans="3:24" x14ac:dyDescent="0.2">
      <c r="C118" s="21"/>
      <c r="D118" t="str">
        <f t="shared" si="43"/>
        <v>Antennas, high profile</v>
      </c>
      <c r="Q118" s="15">
        <f t="shared" si="44"/>
        <v>1.24</v>
      </c>
      <c r="R118" s="15">
        <f t="shared" si="47"/>
        <v>1.24</v>
      </c>
      <c r="S118" s="15">
        <f t="shared" ref="S118:X118" si="51">SUM(S85,S95,S105)</f>
        <v>0.62</v>
      </c>
      <c r="T118" s="15">
        <f t="shared" si="51"/>
        <v>1.24</v>
      </c>
      <c r="U118" s="15">
        <f t="shared" si="51"/>
        <v>1.24</v>
      </c>
      <c r="V118" s="15">
        <f t="shared" si="51"/>
        <v>1.24</v>
      </c>
      <c r="W118" s="15">
        <f t="shared" si="51"/>
        <v>1.24</v>
      </c>
      <c r="X118" s="15">
        <f t="shared" si="51"/>
        <v>1.24</v>
      </c>
    </row>
    <row r="119" spans="3:24" x14ac:dyDescent="0.2">
      <c r="C119" s="21"/>
      <c r="D119" t="str">
        <f t="shared" si="43"/>
        <v>Batteries</v>
      </c>
      <c r="Q119" s="15">
        <f t="shared" ca="1" si="44"/>
        <v>115</v>
      </c>
      <c r="R119" s="15">
        <f t="shared" ca="1" si="47"/>
        <v>115</v>
      </c>
      <c r="S119" s="15">
        <f t="shared" ref="S119:X119" ca="1" si="52">SUM(S86,S96,S106)</f>
        <v>57.5</v>
      </c>
      <c r="T119" s="15">
        <f t="shared" ca="1" si="52"/>
        <v>115</v>
      </c>
      <c r="U119" s="15">
        <f t="shared" ca="1" si="52"/>
        <v>115</v>
      </c>
      <c r="V119" s="15">
        <f t="shared" ca="1" si="52"/>
        <v>115</v>
      </c>
      <c r="W119" s="15">
        <f t="shared" ca="1" si="52"/>
        <v>115</v>
      </c>
      <c r="X119" s="15">
        <f t="shared" ca="1" si="52"/>
        <v>115</v>
      </c>
    </row>
    <row r="120" spans="3:24" x14ac:dyDescent="0.2">
      <c r="C120" s="21"/>
      <c r="D120" t="str">
        <f t="shared" si="43"/>
        <v>Cellular Modems</v>
      </c>
      <c r="Q120" s="15">
        <f t="shared" si="44"/>
        <v>0</v>
      </c>
      <c r="R120" s="15">
        <f t="shared" si="47"/>
        <v>0</v>
      </c>
      <c r="S120" s="15">
        <f t="shared" ref="S120:X120" si="53">SUM(S87,S97,S107)</f>
        <v>0</v>
      </c>
      <c r="T120" s="15">
        <f t="shared" si="53"/>
        <v>380.5</v>
      </c>
      <c r="U120" s="15">
        <f t="shared" si="53"/>
        <v>380.5</v>
      </c>
      <c r="V120" s="15">
        <f t="shared" si="53"/>
        <v>0</v>
      </c>
      <c r="W120" s="15">
        <f t="shared" si="53"/>
        <v>0</v>
      </c>
      <c r="X120" s="15">
        <f t="shared" si="53"/>
        <v>0</v>
      </c>
    </row>
    <row r="121" spans="3:24" x14ac:dyDescent="0.2">
      <c r="C121" s="21"/>
      <c r="D121" s="11" t="str">
        <f t="shared" ref="D121" si="54">D108</f>
        <v>Relays reaching end of life and need replacement (15 year life)</v>
      </c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23">
        <f t="shared" ref="Q121:R121" si="55">SUM(Q88,Q98,Q108)</f>
        <v>0</v>
      </c>
      <c r="R121" s="23">
        <f t="shared" si="55"/>
        <v>0</v>
      </c>
      <c r="S121" s="23">
        <f t="shared" ref="S121:X121" si="56">SUM(S88,S98,S108)</f>
        <v>0</v>
      </c>
      <c r="T121" s="23">
        <f t="shared" si="56"/>
        <v>0</v>
      </c>
      <c r="U121" s="23">
        <f t="shared" si="56"/>
        <v>0</v>
      </c>
      <c r="V121" s="23">
        <f t="shared" si="56"/>
        <v>0</v>
      </c>
      <c r="W121" s="23">
        <f t="shared" si="56"/>
        <v>3</v>
      </c>
      <c r="X121" s="23">
        <f t="shared" si="56"/>
        <v>80</v>
      </c>
    </row>
    <row r="122" spans="3:24" x14ac:dyDescent="0.2">
      <c r="C122" s="21"/>
      <c r="Q122" s="15"/>
      <c r="R122" s="15"/>
      <c r="S122" s="15"/>
      <c r="T122" s="15"/>
      <c r="U122" s="15"/>
      <c r="V122" s="15"/>
      <c r="W122" s="15"/>
      <c r="X122" s="15"/>
    </row>
    <row r="123" spans="3:24" x14ac:dyDescent="0.2">
      <c r="C123" s="54" t="s">
        <v>59</v>
      </c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">
        <f>Q$2</f>
        <v>2019</v>
      </c>
      <c r="R123" s="3">
        <f t="shared" ref="R123:X123" si="57">R$2</f>
        <v>2020</v>
      </c>
      <c r="S123" s="67">
        <f t="shared" si="57"/>
        <v>2020.51</v>
      </c>
      <c r="T123" s="3">
        <f t="shared" si="57"/>
        <v>2021</v>
      </c>
      <c r="U123" s="3">
        <f t="shared" si="57"/>
        <v>2022</v>
      </c>
      <c r="V123" s="3">
        <f t="shared" si="57"/>
        <v>2023</v>
      </c>
      <c r="W123" s="3">
        <f t="shared" si="57"/>
        <v>2024</v>
      </c>
      <c r="X123" s="3">
        <f t="shared" si="57"/>
        <v>2025</v>
      </c>
    </row>
    <row r="124" spans="3:24" x14ac:dyDescent="0.2">
      <c r="C124" s="54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66" t="str">
        <f>Q$3</f>
        <v>CY2019</v>
      </c>
      <c r="R124" s="66" t="str">
        <f t="shared" ref="R124:X124" si="58">R$3</f>
        <v>CY2020</v>
      </c>
      <c r="S124" s="66" t="str">
        <f t="shared" si="58"/>
        <v>HY2021</v>
      </c>
      <c r="T124" s="66" t="str">
        <f t="shared" si="58"/>
        <v>FY21/22</v>
      </c>
      <c r="U124" s="66" t="str">
        <f t="shared" si="58"/>
        <v>FY22/23</v>
      </c>
      <c r="V124" s="66" t="str">
        <f t="shared" si="58"/>
        <v>FY23/24</v>
      </c>
      <c r="W124" s="66" t="str">
        <f t="shared" si="58"/>
        <v>FY24/25</v>
      </c>
      <c r="X124" s="66" t="str">
        <f t="shared" si="58"/>
        <v>FY25/26</v>
      </c>
    </row>
    <row r="125" spans="3:24" x14ac:dyDescent="0.2">
      <c r="C125" s="21"/>
      <c r="D125" t="str">
        <f t="shared" ref="D125:D131" si="59">D114</f>
        <v>Access points</v>
      </c>
      <c r="Q125" s="15">
        <f t="shared" ref="Q125:R131" si="60">($H$66="Yes")*SUM($H57/$H$65,$I57)
+($H$66="No")*$H57/$H$65</f>
        <v>10589.105481143972</v>
      </c>
      <c r="R125" s="15">
        <f t="shared" si="60"/>
        <v>10589.105481143972</v>
      </c>
      <c r="S125" s="15">
        <f t="shared" ref="S125:X125" si="61">($H$66="Yes")*SUM($H57/$H$65,$I57)
+($H$66="No")*$H57/$H$65</f>
        <v>10589.105481143972</v>
      </c>
      <c r="T125" s="15">
        <f t="shared" si="61"/>
        <v>10589.105481143972</v>
      </c>
      <c r="U125" s="15">
        <f t="shared" si="61"/>
        <v>10589.105481143972</v>
      </c>
      <c r="V125" s="15">
        <f t="shared" si="61"/>
        <v>10589.105481143972</v>
      </c>
      <c r="W125" s="15">
        <f t="shared" si="61"/>
        <v>10589.105481143972</v>
      </c>
      <c r="X125" s="15">
        <f t="shared" si="61"/>
        <v>10589.105481143972</v>
      </c>
    </row>
    <row r="126" spans="3:24" x14ac:dyDescent="0.2">
      <c r="C126" s="21"/>
      <c r="D126" t="str">
        <f t="shared" si="59"/>
        <v>Relays</v>
      </c>
      <c r="Q126" s="15">
        <f t="shared" si="60"/>
        <v>4468.7914285714287</v>
      </c>
      <c r="R126" s="15">
        <f t="shared" si="60"/>
        <v>4468.7914285714287</v>
      </c>
      <c r="S126" s="15">
        <f t="shared" ref="S126:X126" si="62">($H$66="Yes")*SUM($H58/$H$65,$I58)
+($H$66="No")*$H58/$H$65</f>
        <v>4468.7914285714287</v>
      </c>
      <c r="T126" s="15">
        <f t="shared" si="62"/>
        <v>4468.7914285714287</v>
      </c>
      <c r="U126" s="15">
        <f t="shared" si="62"/>
        <v>4468.7914285714287</v>
      </c>
      <c r="V126" s="15">
        <f t="shared" si="62"/>
        <v>4468.7914285714287</v>
      </c>
      <c r="W126" s="15">
        <f t="shared" si="62"/>
        <v>4468.7914285714287</v>
      </c>
      <c r="X126" s="15">
        <f t="shared" si="62"/>
        <v>4468.7914285714287</v>
      </c>
    </row>
    <row r="127" spans="3:24" x14ac:dyDescent="0.2">
      <c r="C127" s="21"/>
      <c r="D127" t="str">
        <f t="shared" si="59"/>
        <v>Micro access points</v>
      </c>
      <c r="Q127" s="15">
        <f t="shared" si="60"/>
        <v>915.00428571428574</v>
      </c>
      <c r="R127" s="15">
        <f t="shared" si="60"/>
        <v>915.00428571428574</v>
      </c>
      <c r="S127" s="15">
        <f t="shared" ref="S127:X127" si="63">($H$66="Yes")*SUM($H59/$H$65,$I59)
+($H$66="No")*$H59/$H$65</f>
        <v>915.00428571428574</v>
      </c>
      <c r="T127" s="15">
        <f t="shared" si="63"/>
        <v>915.00428571428574</v>
      </c>
      <c r="U127" s="15">
        <f t="shared" si="63"/>
        <v>915.00428571428574</v>
      </c>
      <c r="V127" s="15">
        <f t="shared" si="63"/>
        <v>915.00428571428574</v>
      </c>
      <c r="W127" s="15">
        <f t="shared" si="63"/>
        <v>915.00428571428574</v>
      </c>
      <c r="X127" s="15">
        <f t="shared" si="63"/>
        <v>915.00428571428574</v>
      </c>
    </row>
    <row r="128" spans="3:24" x14ac:dyDescent="0.2">
      <c r="C128" s="21"/>
      <c r="D128" t="str">
        <f t="shared" si="59"/>
        <v>Antennas, low profile</v>
      </c>
      <c r="Q128" s="15">
        <f t="shared" si="60"/>
        <v>291.84857142857146</v>
      </c>
      <c r="R128" s="15">
        <f t="shared" si="60"/>
        <v>291.84857142857146</v>
      </c>
      <c r="S128" s="15">
        <f t="shared" ref="S128:X128" si="64">($H$66="Yes")*SUM($H60/$H$65,$I60)
+($H$66="No")*$H60/$H$65</f>
        <v>291.84857142857146</v>
      </c>
      <c r="T128" s="15">
        <f t="shared" si="64"/>
        <v>291.84857142857146</v>
      </c>
      <c r="U128" s="15">
        <f t="shared" si="64"/>
        <v>291.84857142857146</v>
      </c>
      <c r="V128" s="15">
        <f t="shared" si="64"/>
        <v>291.84857142857146</v>
      </c>
      <c r="W128" s="15">
        <f t="shared" si="64"/>
        <v>291.84857142857146</v>
      </c>
      <c r="X128" s="15">
        <f t="shared" si="64"/>
        <v>291.84857142857146</v>
      </c>
    </row>
    <row r="129" spans="3:24" x14ac:dyDescent="0.2">
      <c r="C129" s="21"/>
      <c r="D129" t="str">
        <f t="shared" si="59"/>
        <v>Antennas, high profile</v>
      </c>
      <c r="Q129" s="15">
        <f t="shared" si="60"/>
        <v>444.3314285714286</v>
      </c>
      <c r="R129" s="15">
        <f t="shared" si="60"/>
        <v>444.3314285714286</v>
      </c>
      <c r="S129" s="15">
        <f t="shared" ref="S129:X129" si="65">($H$66="Yes")*SUM($H61/$H$65,$I61)
+($H$66="No")*$H61/$H$65</f>
        <v>444.3314285714286</v>
      </c>
      <c r="T129" s="15">
        <f t="shared" si="65"/>
        <v>444.3314285714286</v>
      </c>
      <c r="U129" s="15">
        <f t="shared" si="65"/>
        <v>444.3314285714286</v>
      </c>
      <c r="V129" s="15">
        <f t="shared" si="65"/>
        <v>444.3314285714286</v>
      </c>
      <c r="W129" s="15">
        <f t="shared" si="65"/>
        <v>444.3314285714286</v>
      </c>
      <c r="X129" s="15">
        <f t="shared" si="65"/>
        <v>444.3314285714286</v>
      </c>
    </row>
    <row r="130" spans="3:24" x14ac:dyDescent="0.2">
      <c r="C130" s="21"/>
      <c r="D130" t="str">
        <f t="shared" si="59"/>
        <v>Batteries</v>
      </c>
      <c r="Q130" s="15">
        <f t="shared" si="60"/>
        <v>1927.5557142857142</v>
      </c>
      <c r="R130" s="15">
        <f t="shared" si="60"/>
        <v>1927.5557142857142</v>
      </c>
      <c r="S130" s="15">
        <f t="shared" ref="S130:X130" si="66">($H$66="Yes")*SUM($H62/$H$65,$I62)
+($H$66="No")*$H62/$H$65</f>
        <v>1927.5557142857142</v>
      </c>
      <c r="T130" s="15">
        <f t="shared" si="66"/>
        <v>1927.5557142857142</v>
      </c>
      <c r="U130" s="15">
        <f t="shared" si="66"/>
        <v>1927.5557142857142</v>
      </c>
      <c r="V130" s="15">
        <f t="shared" si="66"/>
        <v>1927.5557142857142</v>
      </c>
      <c r="W130" s="15">
        <f t="shared" si="66"/>
        <v>1927.5557142857142</v>
      </c>
      <c r="X130" s="15">
        <f t="shared" si="66"/>
        <v>1927.5557142857142</v>
      </c>
    </row>
    <row r="131" spans="3:24" x14ac:dyDescent="0.2">
      <c r="C131" s="21"/>
      <c r="D131" t="str">
        <f t="shared" si="59"/>
        <v>Cellular Modems</v>
      </c>
      <c r="Q131" s="15">
        <f t="shared" si="60"/>
        <v>3211.2384830058159</v>
      </c>
      <c r="R131" s="15">
        <f t="shared" si="60"/>
        <v>3211.2384830058159</v>
      </c>
      <c r="S131" s="15">
        <f t="shared" ref="S131:X131" si="67">($H$66="Yes")*SUM($H63/$H$65,$I63)
+($H$66="No")*$H63/$H$65</f>
        <v>3211.2384830058159</v>
      </c>
      <c r="T131" s="15">
        <f t="shared" si="67"/>
        <v>3211.2384830058159</v>
      </c>
      <c r="U131" s="15">
        <f t="shared" si="67"/>
        <v>3211.2384830058159</v>
      </c>
      <c r="V131" s="15">
        <f t="shared" si="67"/>
        <v>3211.2384830058159</v>
      </c>
      <c r="W131" s="15">
        <f t="shared" si="67"/>
        <v>3211.2384830058159</v>
      </c>
      <c r="X131" s="15">
        <f t="shared" si="67"/>
        <v>3211.2384830058159</v>
      </c>
    </row>
    <row r="132" spans="3:24" x14ac:dyDescent="0.2">
      <c r="C132" s="21"/>
      <c r="D132" s="11" t="str">
        <f t="shared" ref="D132" si="68">D121</f>
        <v>Relays reaching end of life and need replacement (15 year life)</v>
      </c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24">
        <f>Q126</f>
        <v>4468.7914285714287</v>
      </c>
      <c r="R132" s="24">
        <f t="shared" ref="R132" si="69">R126</f>
        <v>4468.7914285714287</v>
      </c>
      <c r="S132" s="24">
        <f t="shared" ref="S132:X132" si="70">S126</f>
        <v>4468.7914285714287</v>
      </c>
      <c r="T132" s="24">
        <f t="shared" si="70"/>
        <v>4468.7914285714287</v>
      </c>
      <c r="U132" s="24">
        <f t="shared" si="70"/>
        <v>4468.7914285714287</v>
      </c>
      <c r="V132" s="24">
        <f t="shared" si="70"/>
        <v>4468.7914285714287</v>
      </c>
      <c r="W132" s="24">
        <f t="shared" si="70"/>
        <v>4468.7914285714287</v>
      </c>
      <c r="X132" s="24">
        <f t="shared" si="70"/>
        <v>4468.7914285714287</v>
      </c>
    </row>
    <row r="133" spans="3:24" x14ac:dyDescent="0.2">
      <c r="C133" s="21"/>
      <c r="Q133" s="15"/>
      <c r="R133" s="15"/>
      <c r="S133" s="15"/>
      <c r="T133" s="15"/>
      <c r="U133" s="15"/>
      <c r="V133" s="15"/>
      <c r="W133" s="15"/>
      <c r="X133" s="15"/>
    </row>
    <row r="134" spans="3:24" x14ac:dyDescent="0.2">
      <c r="C134" s="54" t="s">
        <v>60</v>
      </c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">
        <f>Q$2</f>
        <v>2019</v>
      </c>
      <c r="R134" s="3">
        <f t="shared" ref="R134:X134" si="71">R$2</f>
        <v>2020</v>
      </c>
      <c r="S134" s="67">
        <f t="shared" si="71"/>
        <v>2020.51</v>
      </c>
      <c r="T134" s="3">
        <f t="shared" si="71"/>
        <v>2021</v>
      </c>
      <c r="U134" s="3">
        <f t="shared" si="71"/>
        <v>2022</v>
      </c>
      <c r="V134" s="3">
        <f t="shared" si="71"/>
        <v>2023</v>
      </c>
      <c r="W134" s="3">
        <f t="shared" si="71"/>
        <v>2024</v>
      </c>
      <c r="X134" s="3">
        <f t="shared" si="71"/>
        <v>2025</v>
      </c>
    </row>
    <row r="135" spans="3:24" x14ac:dyDescent="0.2">
      <c r="C135" s="54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66" t="str">
        <f>Q$3</f>
        <v>CY2019</v>
      </c>
      <c r="R135" s="66" t="str">
        <f t="shared" ref="R135:X135" si="72">R$3</f>
        <v>CY2020</v>
      </c>
      <c r="S135" s="66" t="str">
        <f t="shared" si="72"/>
        <v>HY2021</v>
      </c>
      <c r="T135" s="66" t="str">
        <f t="shared" si="72"/>
        <v>FY21/22</v>
      </c>
      <c r="U135" s="66" t="str">
        <f t="shared" si="72"/>
        <v>FY22/23</v>
      </c>
      <c r="V135" s="66" t="str">
        <f t="shared" si="72"/>
        <v>FY23/24</v>
      </c>
      <c r="W135" s="66" t="str">
        <f t="shared" si="72"/>
        <v>FY24/25</v>
      </c>
      <c r="X135" s="66" t="str">
        <f t="shared" si="72"/>
        <v>FY25/26</v>
      </c>
    </row>
    <row r="136" spans="3:24" x14ac:dyDescent="0.2">
      <c r="C136" s="21"/>
      <c r="D136" t="str">
        <f t="shared" ref="D136:D142" si="73">D125</f>
        <v>Access points</v>
      </c>
      <c r="Q136" s="15">
        <f t="shared" ref="Q136:R142" si="74">Q114*Q125</f>
        <v>36532.413909946699</v>
      </c>
      <c r="R136" s="15">
        <f t="shared" si="74"/>
        <v>36532.413909946699</v>
      </c>
      <c r="S136" s="15">
        <f t="shared" ref="S136:X136" si="75">S114*S125</f>
        <v>18266.20695497335</v>
      </c>
      <c r="T136" s="15">
        <f t="shared" si="75"/>
        <v>683613.14286364021</v>
      </c>
      <c r="U136" s="15">
        <f t="shared" si="75"/>
        <v>747399.08141442062</v>
      </c>
      <c r="V136" s="15">
        <f t="shared" si="75"/>
        <v>124597.72084843945</v>
      </c>
      <c r="W136" s="15">
        <f t="shared" si="75"/>
        <v>131037.01547748128</v>
      </c>
      <c r="X136" s="15">
        <f t="shared" si="75"/>
        <v>143482.93303846044</v>
      </c>
    </row>
    <row r="137" spans="3:24" x14ac:dyDescent="0.2">
      <c r="C137" s="21"/>
      <c r="D137" t="str">
        <f t="shared" si="73"/>
        <v>Relays</v>
      </c>
      <c r="Q137" s="15">
        <f t="shared" si="74"/>
        <v>61669.32171428571</v>
      </c>
      <c r="R137" s="15">
        <f t="shared" si="74"/>
        <v>61669.32171428571</v>
      </c>
      <c r="S137" s="15">
        <f t="shared" ref="S137:X137" si="76">S115*S126</f>
        <v>30834.660857142855</v>
      </c>
      <c r="T137" s="15">
        <f t="shared" si="76"/>
        <v>126165.74073645765</v>
      </c>
      <c r="U137" s="15">
        <f t="shared" si="76"/>
        <v>233840.95691659418</v>
      </c>
      <c r="V137" s="15">
        <f t="shared" si="76"/>
        <v>210329.8443626001</v>
      </c>
      <c r="W137" s="15">
        <f t="shared" si="76"/>
        <v>221199.83321880683</v>
      </c>
      <c r="X137" s="15">
        <f t="shared" si="76"/>
        <v>242209.43023009345</v>
      </c>
    </row>
    <row r="138" spans="3:24" x14ac:dyDescent="0.2">
      <c r="C138" s="21"/>
      <c r="D138" t="str">
        <f t="shared" si="73"/>
        <v>Micro access points</v>
      </c>
      <c r="Q138" s="15">
        <f t="shared" si="74"/>
        <v>1098.0051428571428</v>
      </c>
      <c r="R138" s="15">
        <f t="shared" si="74"/>
        <v>1098.0051428571428</v>
      </c>
      <c r="S138" s="15">
        <f t="shared" ref="S138:X138" si="77">S116*S127</f>
        <v>549.0025714285714</v>
      </c>
      <c r="T138" s="15">
        <f t="shared" si="77"/>
        <v>1098.0051428571428</v>
      </c>
      <c r="U138" s="15">
        <f t="shared" si="77"/>
        <v>1098.0051428571428</v>
      </c>
      <c r="V138" s="15">
        <f t="shared" si="77"/>
        <v>1098.0051428571428</v>
      </c>
      <c r="W138" s="15">
        <f t="shared" si="77"/>
        <v>1098.0051428571428</v>
      </c>
      <c r="X138" s="15">
        <f t="shared" si="77"/>
        <v>1098.0051428571428</v>
      </c>
    </row>
    <row r="139" spans="3:24" x14ac:dyDescent="0.2">
      <c r="C139" s="21"/>
      <c r="D139" t="str">
        <f t="shared" si="73"/>
        <v>Antennas, low profile</v>
      </c>
      <c r="Q139" s="15">
        <f t="shared" si="74"/>
        <v>5384.6061428571429</v>
      </c>
      <c r="R139" s="15">
        <f t="shared" si="74"/>
        <v>5384.6061428571429</v>
      </c>
      <c r="S139" s="15">
        <f t="shared" ref="S139:X139" si="78">S117*S128</f>
        <v>2692.3030714285715</v>
      </c>
      <c r="T139" s="15">
        <f t="shared" si="78"/>
        <v>10026.63394422618</v>
      </c>
      <c r="U139" s="15">
        <f t="shared" si="78"/>
        <v>10008.368294642141</v>
      </c>
      <c r="V139" s="15">
        <f t="shared" si="78"/>
        <v>10045.229073763279</v>
      </c>
      <c r="W139" s="15">
        <f t="shared" si="78"/>
        <v>10075.601429033712</v>
      </c>
      <c r="X139" s="15">
        <f t="shared" si="78"/>
        <v>10134.817284202445</v>
      </c>
    </row>
    <row r="140" spans="3:24" x14ac:dyDescent="0.2">
      <c r="C140" s="21"/>
      <c r="D140" t="str">
        <f t="shared" si="73"/>
        <v>Antennas, high profile</v>
      </c>
      <c r="Q140" s="15">
        <f t="shared" si="74"/>
        <v>550.97097142857149</v>
      </c>
      <c r="R140" s="15">
        <f t="shared" si="74"/>
        <v>550.97097142857149</v>
      </c>
      <c r="S140" s="15">
        <f t="shared" ref="S140:X140" si="79">S118*S129</f>
        <v>275.48548571428574</v>
      </c>
      <c r="T140" s="15">
        <f t="shared" si="79"/>
        <v>550.97097142857149</v>
      </c>
      <c r="U140" s="15">
        <f t="shared" si="79"/>
        <v>550.97097142857149</v>
      </c>
      <c r="V140" s="15">
        <f t="shared" si="79"/>
        <v>550.97097142857149</v>
      </c>
      <c r="W140" s="15">
        <f t="shared" si="79"/>
        <v>550.97097142857149</v>
      </c>
      <c r="X140" s="15">
        <f t="shared" si="79"/>
        <v>550.97097142857149</v>
      </c>
    </row>
    <row r="141" spans="3:24" x14ac:dyDescent="0.2">
      <c r="C141" s="21"/>
      <c r="D141" t="str">
        <f t="shared" si="73"/>
        <v>Batteries</v>
      </c>
      <c r="Q141" s="15">
        <f t="shared" ca="1" si="74"/>
        <v>221668.90714285715</v>
      </c>
      <c r="R141" s="15">
        <f t="shared" ca="1" si="74"/>
        <v>221668.90714285715</v>
      </c>
      <c r="S141" s="15">
        <f t="shared" ref="S141:X141" ca="1" si="80">S119*S130</f>
        <v>110834.45357142857</v>
      </c>
      <c r="T141" s="15">
        <f t="shared" ca="1" si="80"/>
        <v>221668.90714285715</v>
      </c>
      <c r="U141" s="15">
        <f t="shared" ca="1" si="80"/>
        <v>221668.90714285715</v>
      </c>
      <c r="V141" s="15">
        <f t="shared" ca="1" si="80"/>
        <v>221668.90714285715</v>
      </c>
      <c r="W141" s="15">
        <f t="shared" ca="1" si="80"/>
        <v>221668.90714285715</v>
      </c>
      <c r="X141" s="15">
        <f t="shared" ca="1" si="80"/>
        <v>221668.90714285715</v>
      </c>
    </row>
    <row r="142" spans="3:24" x14ac:dyDescent="0.2">
      <c r="C142" s="21"/>
      <c r="D142" t="str">
        <f t="shared" si="73"/>
        <v>Cellular Modems</v>
      </c>
      <c r="Q142" s="15">
        <f t="shared" si="74"/>
        <v>0</v>
      </c>
      <c r="R142" s="15">
        <f t="shared" si="74"/>
        <v>0</v>
      </c>
      <c r="S142" s="15">
        <f t="shared" ref="S142:X142" si="81">S120*S131</f>
        <v>0</v>
      </c>
      <c r="T142" s="15">
        <f t="shared" si="81"/>
        <v>1221876.2427837129</v>
      </c>
      <c r="U142" s="15">
        <f t="shared" si="81"/>
        <v>1221876.2427837129</v>
      </c>
      <c r="V142" s="15">
        <f t="shared" si="81"/>
        <v>0</v>
      </c>
      <c r="W142" s="15">
        <f t="shared" si="81"/>
        <v>0</v>
      </c>
      <c r="X142" s="15">
        <f t="shared" si="81"/>
        <v>0</v>
      </c>
    </row>
    <row r="143" spans="3:24" x14ac:dyDescent="0.2">
      <c r="C143" s="21"/>
      <c r="D143" s="11" t="str">
        <f t="shared" ref="D143" si="82">D132</f>
        <v>Relays reaching end of life and need replacement (15 year life)</v>
      </c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23">
        <f t="shared" ref="Q143:R143" si="83">Q121*Q132</f>
        <v>0</v>
      </c>
      <c r="R143" s="23">
        <f t="shared" si="83"/>
        <v>0</v>
      </c>
      <c r="S143" s="23">
        <f t="shared" ref="S143:X143" si="84">S121*S132</f>
        <v>0</v>
      </c>
      <c r="T143" s="23">
        <f t="shared" si="84"/>
        <v>0</v>
      </c>
      <c r="U143" s="23">
        <f t="shared" si="84"/>
        <v>0</v>
      </c>
      <c r="V143" s="23">
        <f t="shared" si="84"/>
        <v>0</v>
      </c>
      <c r="W143" s="23">
        <f t="shared" si="84"/>
        <v>13406.374285714286</v>
      </c>
      <c r="X143" s="23">
        <f t="shared" si="84"/>
        <v>357503.3142857143</v>
      </c>
    </row>
    <row r="144" spans="3:24" x14ac:dyDescent="0.2">
      <c r="C144" s="21"/>
      <c r="D144" s="1" t="s">
        <v>10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60">
        <f ca="1">SUM(Q136:Q143)</f>
        <v>326904.22502423241</v>
      </c>
      <c r="R144" s="60">
        <f t="shared" ref="R144" ca="1" si="85">SUM(R136:R143)</f>
        <v>326904.22502423241</v>
      </c>
      <c r="S144" s="60">
        <f t="shared" ref="S144:X144" ca="1" si="86">SUM(S136:S143)</f>
        <v>163452.1125121162</v>
      </c>
      <c r="T144" s="60">
        <f t="shared" ca="1" si="86"/>
        <v>2264999.6435851799</v>
      </c>
      <c r="U144" s="60">
        <f t="shared" ca="1" si="86"/>
        <v>2436442.5326665128</v>
      </c>
      <c r="V144" s="60">
        <f t="shared" ca="1" si="86"/>
        <v>568290.67754194571</v>
      </c>
      <c r="W144" s="60">
        <f t="shared" ca="1" si="86"/>
        <v>599036.70766817895</v>
      </c>
      <c r="X144" s="60">
        <f t="shared" ca="1" si="86"/>
        <v>976648.37809561344</v>
      </c>
    </row>
    <row r="145" spans="1:25" x14ac:dyDescent="0.2">
      <c r="C145" s="21"/>
      <c r="Q145" s="15"/>
      <c r="R145" s="15"/>
      <c r="S145" s="15"/>
      <c r="T145" s="15"/>
      <c r="U145" s="15"/>
      <c r="V145" s="15"/>
      <c r="W145" s="15"/>
      <c r="X145" s="15"/>
    </row>
    <row r="146" spans="1:25" x14ac:dyDescent="0.2">
      <c r="C146" s="54" t="s">
        <v>60</v>
      </c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">
        <f>Q$2</f>
        <v>2019</v>
      </c>
      <c r="R146" s="3">
        <f t="shared" ref="R146:X146" si="87">R$2</f>
        <v>2020</v>
      </c>
      <c r="S146" s="67">
        <f t="shared" si="87"/>
        <v>2020.51</v>
      </c>
      <c r="T146" s="3">
        <f t="shared" si="87"/>
        <v>2021</v>
      </c>
      <c r="U146" s="3">
        <f t="shared" si="87"/>
        <v>2022</v>
      </c>
      <c r="V146" s="3">
        <f t="shared" si="87"/>
        <v>2023</v>
      </c>
      <c r="W146" s="3">
        <f t="shared" si="87"/>
        <v>2024</v>
      </c>
      <c r="X146" s="3">
        <f t="shared" si="87"/>
        <v>2025</v>
      </c>
    </row>
    <row r="147" spans="1:25" x14ac:dyDescent="0.2">
      <c r="C147" s="54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66" t="str">
        <f>Q$3</f>
        <v>CY2019</v>
      </c>
      <c r="R147" s="66" t="str">
        <f t="shared" ref="R147:X147" si="88">R$3</f>
        <v>CY2020</v>
      </c>
      <c r="S147" s="66" t="str">
        <f t="shared" si="88"/>
        <v>HY2021</v>
      </c>
      <c r="T147" s="66" t="str">
        <f t="shared" si="88"/>
        <v>FY21/22</v>
      </c>
      <c r="U147" s="66" t="str">
        <f t="shared" si="88"/>
        <v>FY22/23</v>
      </c>
      <c r="V147" s="66" t="str">
        <f t="shared" si="88"/>
        <v>FY23/24</v>
      </c>
      <c r="W147" s="66" t="str">
        <f t="shared" si="88"/>
        <v>FY24/25</v>
      </c>
      <c r="X147" s="66" t="str">
        <f t="shared" si="88"/>
        <v>FY25/26</v>
      </c>
    </row>
    <row r="148" spans="1:25" x14ac:dyDescent="0.2">
      <c r="C148" s="21"/>
      <c r="D148" t="str">
        <f>D30</f>
        <v>Communications devices - 5-minute settlement</v>
      </c>
      <c r="Q148" s="15">
        <f t="shared" ref="Q148:X148" ca="1" si="89">SUMPRODUCT(Q$81:Q$88,Q$125:Q$132)</f>
        <v>0</v>
      </c>
      <c r="R148" s="15">
        <f t="shared" ca="1" si="89"/>
        <v>0</v>
      </c>
      <c r="S148" s="15">
        <f t="shared" ca="1" si="89"/>
        <v>0</v>
      </c>
      <c r="T148" s="15">
        <f t="shared" ca="1" si="89"/>
        <v>104219.03942859816</v>
      </c>
      <c r="U148" s="15">
        <f t="shared" ca="1" si="89"/>
        <v>267632.94030090398</v>
      </c>
      <c r="V148" s="15">
        <f t="shared" ca="1" si="89"/>
        <v>223525.13895711477</v>
      </c>
      <c r="W148" s="15">
        <f t="shared" ca="1" si="89"/>
        <v>233849.31533750848</v>
      </c>
      <c r="X148" s="15">
        <f t="shared" ca="1" si="89"/>
        <v>259576.74346110976</v>
      </c>
    </row>
    <row r="149" spans="1:25" x14ac:dyDescent="0.2">
      <c r="C149" s="21"/>
      <c r="D149" t="str">
        <f>D31</f>
        <v>Network Communications - 3G Shutdown</v>
      </c>
      <c r="Q149" s="15">
        <f t="shared" ref="Q149:X149" si="90">SUMPRODUCT(Q$91:Q$98,Q$125:Q$132)</f>
        <v>0</v>
      </c>
      <c r="R149" s="15">
        <f t="shared" si="90"/>
        <v>0</v>
      </c>
      <c r="S149" s="15">
        <f t="shared" si="90"/>
        <v>0</v>
      </c>
      <c r="T149" s="15">
        <f t="shared" si="90"/>
        <v>1830749.8079494913</v>
      </c>
      <c r="U149" s="15">
        <f t="shared" si="90"/>
        <v>1830749.8079494913</v>
      </c>
      <c r="V149" s="15">
        <f t="shared" si="90"/>
        <v>0</v>
      </c>
      <c r="W149" s="15">
        <f t="shared" si="90"/>
        <v>0</v>
      </c>
      <c r="X149" s="15">
        <f t="shared" si="90"/>
        <v>0</v>
      </c>
    </row>
    <row r="150" spans="1:25" x14ac:dyDescent="0.2">
      <c r="C150" s="21"/>
      <c r="D150" s="11" t="str">
        <f>D32</f>
        <v>Communications devices - annual program</v>
      </c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23">
        <f t="shared" ref="Q150:X150" si="91">SUMPRODUCT(Q$101:Q$108,Q$125:Q$132)</f>
        <v>326904.22502423241</v>
      </c>
      <c r="R150" s="23">
        <f t="shared" si="91"/>
        <v>326904.22502423241</v>
      </c>
      <c r="S150" s="23">
        <f t="shared" si="91"/>
        <v>163452.1125121162</v>
      </c>
      <c r="T150" s="23">
        <f t="shared" si="91"/>
        <v>330030.79620709037</v>
      </c>
      <c r="U150" s="23">
        <f t="shared" si="91"/>
        <v>338059.78441611747</v>
      </c>
      <c r="V150" s="23">
        <f t="shared" si="91"/>
        <v>344765.53858483094</v>
      </c>
      <c r="W150" s="23">
        <f t="shared" si="91"/>
        <v>365187.3923306705</v>
      </c>
      <c r="X150" s="23">
        <f t="shared" si="91"/>
        <v>717071.63463450375</v>
      </c>
    </row>
    <row r="151" spans="1:25" x14ac:dyDescent="0.2">
      <c r="C151" s="55"/>
      <c r="D151" s="1" t="s">
        <v>22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60">
        <f ca="1">SUM(Q148:Q150)</f>
        <v>326904.22502423241</v>
      </c>
      <c r="R151" s="60">
        <f t="shared" ref="R151" ca="1" si="92">SUM(R148:R150)</f>
        <v>326904.22502423241</v>
      </c>
      <c r="S151" s="60">
        <f t="shared" ref="S151:X151" ca="1" si="93">SUM(S148:S150)</f>
        <v>163452.1125121162</v>
      </c>
      <c r="T151" s="60">
        <f t="shared" ca="1" si="93"/>
        <v>2264999.6435851799</v>
      </c>
      <c r="U151" s="60">
        <f t="shared" ca="1" si="93"/>
        <v>2436442.5326665128</v>
      </c>
      <c r="V151" s="60">
        <f t="shared" ca="1" si="93"/>
        <v>568290.67754194571</v>
      </c>
      <c r="W151" s="60">
        <f t="shared" ca="1" si="93"/>
        <v>599036.70766817895</v>
      </c>
      <c r="X151" s="60">
        <f t="shared" ca="1" si="93"/>
        <v>976648.37809561356</v>
      </c>
    </row>
    <row r="152" spans="1:25" x14ac:dyDescent="0.2">
      <c r="C152" s="21"/>
      <c r="E152" s="35" t="s">
        <v>23</v>
      </c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6">
        <f ca="1">ROUND(Q144-Q151,2)</f>
        <v>0</v>
      </c>
      <c r="R152" s="36">
        <f t="shared" ref="R152" ca="1" si="94">ROUND(R144-R151,2)</f>
        <v>0</v>
      </c>
      <c r="S152" s="36">
        <f t="shared" ref="S152:X152" ca="1" si="95">ROUND(S144-S151,2)</f>
        <v>0</v>
      </c>
      <c r="T152" s="36">
        <f t="shared" ca="1" si="95"/>
        <v>0</v>
      </c>
      <c r="U152" s="36">
        <f t="shared" ca="1" si="95"/>
        <v>0</v>
      </c>
      <c r="V152" s="36">
        <f t="shared" ca="1" si="95"/>
        <v>0</v>
      </c>
      <c r="W152" s="36">
        <f t="shared" ca="1" si="95"/>
        <v>0</v>
      </c>
      <c r="X152" s="36">
        <f t="shared" ca="1" si="95"/>
        <v>0</v>
      </c>
    </row>
    <row r="153" spans="1:25" x14ac:dyDescent="0.2">
      <c r="C153" s="21"/>
      <c r="Q153" s="15"/>
      <c r="R153" s="15"/>
      <c r="S153" s="15"/>
      <c r="T153" s="15"/>
      <c r="U153" s="15"/>
      <c r="V153" s="15"/>
      <c r="W153" s="15"/>
      <c r="X153" s="15"/>
    </row>
    <row r="154" spans="1:25" x14ac:dyDescent="0.2">
      <c r="A154" s="4"/>
      <c r="B154" s="4" t="s">
        <v>19</v>
      </c>
      <c r="C154" s="53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69"/>
    </row>
    <row r="155" spans="1:25" x14ac:dyDescent="0.2">
      <c r="C155" s="21"/>
    </row>
    <row r="156" spans="1:25" x14ac:dyDescent="0.2">
      <c r="C156" s="54" t="s">
        <v>60</v>
      </c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">
        <f>Q$2</f>
        <v>2019</v>
      </c>
      <c r="R156" s="3">
        <f t="shared" ref="R156:X156" si="96">R$2</f>
        <v>2020</v>
      </c>
      <c r="S156" s="67">
        <f t="shared" si="96"/>
        <v>2020.51</v>
      </c>
      <c r="T156" s="3">
        <f t="shared" si="96"/>
        <v>2021</v>
      </c>
      <c r="U156" s="3">
        <f t="shared" si="96"/>
        <v>2022</v>
      </c>
      <c r="V156" s="3">
        <f t="shared" si="96"/>
        <v>2023</v>
      </c>
      <c r="W156" s="3">
        <f t="shared" si="96"/>
        <v>2024</v>
      </c>
      <c r="X156" s="3">
        <f t="shared" si="96"/>
        <v>2025</v>
      </c>
    </row>
    <row r="157" spans="1:25" x14ac:dyDescent="0.2">
      <c r="C157" s="54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66" t="str">
        <f>Q$3</f>
        <v>CY2019</v>
      </c>
      <c r="R157" s="66" t="str">
        <f t="shared" ref="R157:X157" si="97">R$3</f>
        <v>CY2020</v>
      </c>
      <c r="S157" s="66" t="str">
        <f t="shared" si="97"/>
        <v>HY2021</v>
      </c>
      <c r="T157" s="66" t="str">
        <f t="shared" si="97"/>
        <v>FY21/22</v>
      </c>
      <c r="U157" s="66" t="str">
        <f t="shared" si="97"/>
        <v>FY22/23</v>
      </c>
      <c r="V157" s="66" t="str">
        <f t="shared" si="97"/>
        <v>FY23/24</v>
      </c>
      <c r="W157" s="66" t="str">
        <f t="shared" si="97"/>
        <v>FY24/25</v>
      </c>
      <c r="X157" s="66" t="str">
        <f t="shared" si="97"/>
        <v>FY25/26</v>
      </c>
    </row>
    <row r="158" spans="1:25" x14ac:dyDescent="0.2">
      <c r="C158" s="21"/>
      <c r="D158" t="str">
        <f>D148</f>
        <v>Communications devices - 5-minute settlement</v>
      </c>
      <c r="Q158" s="15">
        <f t="shared" ref="Q158:R160" ca="1" si="98">Q148*Q30</f>
        <v>0</v>
      </c>
      <c r="R158" s="15">
        <f t="shared" ca="1" si="98"/>
        <v>0</v>
      </c>
      <c r="S158" s="15">
        <f t="shared" ref="S158:X158" ca="1" si="99">S148*S30</f>
        <v>0</v>
      </c>
      <c r="T158" s="15">
        <f t="shared" ca="1" si="99"/>
        <v>104219.03942859816</v>
      </c>
      <c r="U158" s="15">
        <f t="shared" ca="1" si="99"/>
        <v>267632.94030090398</v>
      </c>
      <c r="V158" s="15">
        <f t="shared" ca="1" si="99"/>
        <v>223525.13895711477</v>
      </c>
      <c r="W158" s="15">
        <f t="shared" ca="1" si="99"/>
        <v>233849.31533750848</v>
      </c>
      <c r="X158" s="15">
        <f t="shared" ca="1" si="99"/>
        <v>259576.74346110976</v>
      </c>
    </row>
    <row r="159" spans="1:25" x14ac:dyDescent="0.2">
      <c r="C159" s="21"/>
      <c r="D159" t="str">
        <f>D149</f>
        <v>Network Communications - 3G Shutdown</v>
      </c>
      <c r="Q159" s="15">
        <f t="shared" si="98"/>
        <v>0</v>
      </c>
      <c r="R159" s="15">
        <f t="shared" si="98"/>
        <v>0</v>
      </c>
      <c r="S159" s="15">
        <f t="shared" ref="S159:X159" si="100">S149*S31</f>
        <v>0</v>
      </c>
      <c r="T159" s="15">
        <f t="shared" si="100"/>
        <v>1646425.1685825628</v>
      </c>
      <c r="U159" s="15">
        <f t="shared" si="100"/>
        <v>1646425.1685825628</v>
      </c>
      <c r="V159" s="15">
        <f t="shared" si="100"/>
        <v>0</v>
      </c>
      <c r="W159" s="15">
        <f t="shared" si="100"/>
        <v>0</v>
      </c>
      <c r="X159" s="15">
        <f t="shared" si="100"/>
        <v>0</v>
      </c>
    </row>
    <row r="160" spans="1:25" x14ac:dyDescent="0.2">
      <c r="C160" s="21"/>
      <c r="D160" s="11" t="str">
        <f>D150</f>
        <v>Communications devices - annual program</v>
      </c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23">
        <f t="shared" si="98"/>
        <v>0</v>
      </c>
      <c r="R160" s="23">
        <f t="shared" si="98"/>
        <v>0</v>
      </c>
      <c r="S160" s="23">
        <f t="shared" ref="S160:X160" si="101">S150*S32</f>
        <v>0</v>
      </c>
      <c r="T160" s="23">
        <f t="shared" si="101"/>
        <v>82507.699051772594</v>
      </c>
      <c r="U160" s="23">
        <f t="shared" si="101"/>
        <v>84514.946104029368</v>
      </c>
      <c r="V160" s="23">
        <f t="shared" si="101"/>
        <v>86191.384646207734</v>
      </c>
      <c r="W160" s="23">
        <f t="shared" si="101"/>
        <v>91296.848082667624</v>
      </c>
      <c r="X160" s="23">
        <f t="shared" si="101"/>
        <v>179267.90865862594</v>
      </c>
    </row>
    <row r="161" spans="1:25" x14ac:dyDescent="0.2">
      <c r="C161" s="55"/>
      <c r="D161" s="1" t="s">
        <v>54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60">
        <f ca="1">SUM(Q158:Q160)</f>
        <v>0</v>
      </c>
      <c r="R161" s="60">
        <f t="shared" ref="R161" ca="1" si="102">SUM(R158:R160)</f>
        <v>0</v>
      </c>
      <c r="S161" s="60">
        <f t="shared" ref="S161:X161" ca="1" si="103">SUM(S158:S160)</f>
        <v>0</v>
      </c>
      <c r="T161" s="60">
        <f t="shared" ca="1" si="103"/>
        <v>1833151.9070629338</v>
      </c>
      <c r="U161" s="60">
        <f t="shared" ca="1" si="103"/>
        <v>1998573.0549874962</v>
      </c>
      <c r="V161" s="60">
        <f t="shared" ca="1" si="103"/>
        <v>309716.52360332251</v>
      </c>
      <c r="W161" s="60">
        <f t="shared" ca="1" si="103"/>
        <v>325146.16342017613</v>
      </c>
      <c r="X161" s="60">
        <f t="shared" ca="1" si="103"/>
        <v>438844.65211973572</v>
      </c>
    </row>
    <row r="162" spans="1:25" x14ac:dyDescent="0.2">
      <c r="C162" s="21"/>
      <c r="E162" s="35" t="s">
        <v>23</v>
      </c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6">
        <f t="shared" ref="Q162:R162" ca="1" si="104">ROUND(Q151-Q161-Q171,2)</f>
        <v>0</v>
      </c>
      <c r="R162" s="36">
        <f t="shared" ca="1" si="104"/>
        <v>0</v>
      </c>
      <c r="S162" s="36">
        <f t="shared" ref="S162:X162" ca="1" si="105">ROUND(S151-S161-S171,2)</f>
        <v>0</v>
      </c>
      <c r="T162" s="36">
        <f t="shared" ca="1" si="105"/>
        <v>0</v>
      </c>
      <c r="U162" s="36">
        <f t="shared" ca="1" si="105"/>
        <v>0</v>
      </c>
      <c r="V162" s="36">
        <f t="shared" ca="1" si="105"/>
        <v>0</v>
      </c>
      <c r="W162" s="36">
        <f t="shared" ca="1" si="105"/>
        <v>0</v>
      </c>
      <c r="X162" s="36">
        <f t="shared" ca="1" si="105"/>
        <v>0</v>
      </c>
    </row>
    <row r="163" spans="1:25" x14ac:dyDescent="0.2">
      <c r="C163" s="21"/>
      <c r="Q163" s="15"/>
      <c r="R163" s="15"/>
      <c r="S163" s="15"/>
      <c r="T163" s="15"/>
      <c r="U163" s="15"/>
      <c r="V163" s="15"/>
      <c r="W163" s="15"/>
      <c r="X163" s="15"/>
    </row>
    <row r="164" spans="1:25" x14ac:dyDescent="0.2">
      <c r="A164" s="4"/>
      <c r="B164" s="4" t="s">
        <v>18</v>
      </c>
      <c r="C164" s="53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69"/>
    </row>
    <row r="165" spans="1:25" x14ac:dyDescent="0.2">
      <c r="C165" s="21"/>
    </row>
    <row r="166" spans="1:25" x14ac:dyDescent="0.2">
      <c r="C166" s="54" t="s">
        <v>60</v>
      </c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">
        <f>Q$2</f>
        <v>2019</v>
      </c>
      <c r="R166" s="3">
        <f t="shared" ref="R166:X166" si="106">R$2</f>
        <v>2020</v>
      </c>
      <c r="S166" s="67">
        <f t="shared" si="106"/>
        <v>2020.51</v>
      </c>
      <c r="T166" s="3">
        <f t="shared" si="106"/>
        <v>2021</v>
      </c>
      <c r="U166" s="3">
        <f t="shared" si="106"/>
        <v>2022</v>
      </c>
      <c r="V166" s="3">
        <f t="shared" si="106"/>
        <v>2023</v>
      </c>
      <c r="W166" s="3">
        <f t="shared" si="106"/>
        <v>2024</v>
      </c>
      <c r="X166" s="3">
        <f t="shared" si="106"/>
        <v>2025</v>
      </c>
    </row>
    <row r="167" spans="1:25" x14ac:dyDescent="0.2">
      <c r="C167" s="54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66" t="str">
        <f>Q$3</f>
        <v>CY2019</v>
      </c>
      <c r="R167" s="66" t="str">
        <f t="shared" ref="R167:X167" si="107">R$3</f>
        <v>CY2020</v>
      </c>
      <c r="S167" s="66" t="str">
        <f t="shared" si="107"/>
        <v>HY2021</v>
      </c>
      <c r="T167" s="66" t="str">
        <f t="shared" si="107"/>
        <v>FY21/22</v>
      </c>
      <c r="U167" s="66" t="str">
        <f t="shared" si="107"/>
        <v>FY22/23</v>
      </c>
      <c r="V167" s="66" t="str">
        <f t="shared" si="107"/>
        <v>FY23/24</v>
      </c>
      <c r="W167" s="66" t="str">
        <f t="shared" si="107"/>
        <v>FY24/25</v>
      </c>
      <c r="X167" s="66" t="str">
        <f t="shared" si="107"/>
        <v>FY25/26</v>
      </c>
    </row>
    <row r="168" spans="1:25" x14ac:dyDescent="0.2">
      <c r="C168" s="21"/>
      <c r="D168" t="str">
        <f>D158</f>
        <v>Communications devices - 5-minute settlement</v>
      </c>
      <c r="Q168" s="15">
        <f t="shared" ref="Q168:R170" ca="1" si="108">Q148*(1-Q30)</f>
        <v>0</v>
      </c>
      <c r="R168" s="15">
        <f t="shared" ca="1" si="108"/>
        <v>0</v>
      </c>
      <c r="S168" s="15">
        <f t="shared" ref="S168:X168" ca="1" si="109">S148*(1-S30)</f>
        <v>0</v>
      </c>
      <c r="T168" s="15">
        <f t="shared" ca="1" si="109"/>
        <v>0</v>
      </c>
      <c r="U168" s="15">
        <f t="shared" ca="1" si="109"/>
        <v>0</v>
      </c>
      <c r="V168" s="15">
        <f t="shared" ca="1" si="109"/>
        <v>0</v>
      </c>
      <c r="W168" s="15">
        <f t="shared" ca="1" si="109"/>
        <v>0</v>
      </c>
      <c r="X168" s="15">
        <f t="shared" ca="1" si="109"/>
        <v>0</v>
      </c>
    </row>
    <row r="169" spans="1:25" x14ac:dyDescent="0.2">
      <c r="C169" s="21"/>
      <c r="D169" t="str">
        <f>D159</f>
        <v>Network Communications - 3G Shutdown</v>
      </c>
      <c r="Q169" s="15">
        <f t="shared" si="108"/>
        <v>0</v>
      </c>
      <c r="R169" s="15">
        <f t="shared" si="108"/>
        <v>0</v>
      </c>
      <c r="S169" s="15">
        <f t="shared" ref="S169:X169" si="110">S149*(1-S31)</f>
        <v>0</v>
      </c>
      <c r="T169" s="15">
        <f t="shared" si="110"/>
        <v>184324.6393669284</v>
      </c>
      <c r="U169" s="15">
        <f t="shared" si="110"/>
        <v>184324.6393669284</v>
      </c>
      <c r="V169" s="15">
        <f t="shared" si="110"/>
        <v>0</v>
      </c>
      <c r="W169" s="15">
        <f t="shared" si="110"/>
        <v>0</v>
      </c>
      <c r="X169" s="15">
        <f t="shared" si="110"/>
        <v>0</v>
      </c>
    </row>
    <row r="170" spans="1:25" x14ac:dyDescent="0.2">
      <c r="C170" s="21"/>
      <c r="D170" s="11" t="str">
        <f>D160</f>
        <v>Communications devices - annual program</v>
      </c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23">
        <f t="shared" si="108"/>
        <v>326904.22502423241</v>
      </c>
      <c r="R170" s="23">
        <f t="shared" si="108"/>
        <v>326904.22502423241</v>
      </c>
      <c r="S170" s="23">
        <f t="shared" ref="S170:X170" si="111">S150*(1-S32)</f>
        <v>163452.1125121162</v>
      </c>
      <c r="T170" s="23">
        <f t="shared" si="111"/>
        <v>247523.09715531778</v>
      </c>
      <c r="U170" s="23">
        <f t="shared" si="111"/>
        <v>253544.8383120881</v>
      </c>
      <c r="V170" s="23">
        <f t="shared" si="111"/>
        <v>258574.1539386232</v>
      </c>
      <c r="W170" s="23">
        <f t="shared" si="111"/>
        <v>273890.54424800287</v>
      </c>
      <c r="X170" s="23">
        <f t="shared" si="111"/>
        <v>537803.72597587784</v>
      </c>
    </row>
    <row r="171" spans="1:25" x14ac:dyDescent="0.2">
      <c r="C171" s="37"/>
      <c r="D171" s="1" t="s">
        <v>55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60">
        <f ca="1">SUM(Q168:Q170)</f>
        <v>326904.22502423241</v>
      </c>
      <c r="R171" s="60">
        <f t="shared" ref="R171" ca="1" si="112">SUM(R168:R170)</f>
        <v>326904.22502423241</v>
      </c>
      <c r="S171" s="60">
        <f t="shared" ref="S171:X171" ca="1" si="113">SUM(S168:S170)</f>
        <v>163452.1125121162</v>
      </c>
      <c r="T171" s="60">
        <f t="shared" ca="1" si="113"/>
        <v>431847.73652224615</v>
      </c>
      <c r="U171" s="60">
        <f t="shared" ca="1" si="113"/>
        <v>437869.47767901653</v>
      </c>
      <c r="V171" s="60">
        <f t="shared" ca="1" si="113"/>
        <v>258574.1539386232</v>
      </c>
      <c r="W171" s="60">
        <f t="shared" ca="1" si="113"/>
        <v>273890.54424800287</v>
      </c>
      <c r="X171" s="60">
        <f t="shared" ca="1" si="113"/>
        <v>537803.72597587784</v>
      </c>
    </row>
    <row r="172" spans="1:25" x14ac:dyDescent="0.2">
      <c r="E172" s="35" t="s">
        <v>23</v>
      </c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6">
        <f t="shared" ref="Q172:R172" ca="1" si="114">ROUND(Q151-Q171-Q161,2)</f>
        <v>0</v>
      </c>
      <c r="R172" s="36">
        <f t="shared" ca="1" si="114"/>
        <v>0</v>
      </c>
      <c r="S172" s="36">
        <f t="shared" ref="S172:X172" ca="1" si="115">ROUND(S151-S171-S161,2)</f>
        <v>0</v>
      </c>
      <c r="T172" s="36">
        <f t="shared" ca="1" si="115"/>
        <v>0</v>
      </c>
      <c r="U172" s="36">
        <f t="shared" ca="1" si="115"/>
        <v>0</v>
      </c>
      <c r="V172" s="36">
        <f t="shared" ca="1" si="115"/>
        <v>0</v>
      </c>
      <c r="W172" s="36">
        <f t="shared" ca="1" si="115"/>
        <v>0</v>
      </c>
      <c r="X172" s="36">
        <f t="shared" ca="1" si="115"/>
        <v>0</v>
      </c>
    </row>
    <row r="173" spans="1:25" x14ac:dyDescent="0.2">
      <c r="Q173" s="15"/>
      <c r="R173" s="15"/>
      <c r="S173" s="15"/>
      <c r="T173" s="15"/>
      <c r="U173" s="15"/>
      <c r="V173" s="15"/>
      <c r="W173" s="15"/>
      <c r="X173" s="15"/>
    </row>
    <row r="174" spans="1:25" x14ac:dyDescent="0.2">
      <c r="A174" s="3" t="s">
        <v>12</v>
      </c>
      <c r="B174" s="3"/>
      <c r="C174" s="5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69"/>
    </row>
    <row r="175" spans="1:25" x14ac:dyDescent="0.2"/>
    <row r="176" spans="1:25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</sheetData>
  <dataValidations count="1">
    <dataValidation type="list" allowBlank="1" showInputMessage="1" showErrorMessage="1" sqref="H66">
      <formula1>"Yes,No"</formula1>
    </dataValidation>
  </dataValidations>
  <pageMargins left="0.25" right="0.25" top="0.75" bottom="0.75" header="0.3" footer="0.3"/>
  <pageSetup paperSize="9" scale="63" orientation="landscape" r:id="rId1"/>
  <ignoredErrors>
    <ignoredError sqref="P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Citipower</vt:lpstr>
      <vt:lpstr>Citipower!Print_Area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2019-10-04T04:51:13Z</dcterms:created>
  <dcterms:modified xsi:type="dcterms:W3CDTF">2021-03-23T23:46:37Z</dcterms:modified>
</cp:coreProperties>
</file>