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EBSS\11. SAPN, Ergon, Energex, Directlink 2020-25\Energex\"/>
    </mc:Choice>
  </mc:AlternateContent>
  <bookViews>
    <workbookView xWindow="0" yWindow="0" windowWidth="19200" windowHeight="7050"/>
  </bookViews>
  <sheets>
    <sheet name="Final decision" sheetId="1" r:id="rId1"/>
  </sheets>
  <definedNames>
    <definedName name="anscount" hidden="1">1</definedName>
    <definedName name="dms_PRCP_BaseYear" localSheetId="0">'Final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U48" i="1" l="1"/>
  <c r="E47" i="1"/>
  <c r="D47" i="1"/>
  <c r="C47" i="1"/>
  <c r="F47" i="1"/>
  <c r="B40" i="1"/>
  <c r="B38" i="1"/>
  <c r="B37" i="1"/>
  <c r="K47" i="1"/>
  <c r="J47" i="1"/>
  <c r="I47" i="1"/>
  <c r="H47" i="1"/>
  <c r="G47" i="1"/>
  <c r="N34" i="1"/>
  <c r="I29" i="1"/>
  <c r="E29" i="1"/>
  <c r="D29" i="1"/>
  <c r="C29" i="1"/>
  <c r="L29" i="1"/>
  <c r="K29" i="1"/>
  <c r="H29" i="1"/>
  <c r="G29" i="1"/>
  <c r="F29" i="1"/>
  <c r="N18" i="1"/>
  <c r="N7" i="1"/>
  <c r="M8" i="1" s="1"/>
  <c r="M7" i="1"/>
  <c r="L7" i="1"/>
  <c r="K7" i="1"/>
  <c r="J7" i="1"/>
  <c r="I7" i="1"/>
  <c r="H7" i="1"/>
  <c r="G7" i="1"/>
  <c r="F7" i="1"/>
  <c r="E7" i="1"/>
  <c r="S45" i="1" l="1"/>
  <c r="S41" i="1"/>
  <c r="S43" i="1"/>
  <c r="S39" i="1"/>
  <c r="S38" i="1"/>
  <c r="S46" i="1"/>
  <c r="S40" i="1"/>
  <c r="S37" i="1"/>
  <c r="L8" i="1"/>
  <c r="R45" i="1" s="1"/>
  <c r="S44" i="1"/>
  <c r="J29" i="1"/>
  <c r="R35" i="1"/>
  <c r="S35" i="1"/>
  <c r="S47" i="1" l="1"/>
  <c r="R46" i="1"/>
  <c r="R40" i="1"/>
  <c r="R44" i="1"/>
  <c r="R38" i="1"/>
  <c r="R41" i="1"/>
  <c r="R37" i="1"/>
  <c r="R43" i="1"/>
  <c r="R39" i="1"/>
  <c r="K8" i="1"/>
  <c r="R47" i="1" l="1"/>
  <c r="Q46" i="1"/>
  <c r="Q40" i="1"/>
  <c r="J8" i="1"/>
  <c r="Q39" i="1"/>
  <c r="Q35" i="1"/>
  <c r="Q44" i="1"/>
  <c r="Q38" i="1"/>
  <c r="Q43" i="1"/>
  <c r="Q41" i="1"/>
  <c r="Q45" i="1"/>
  <c r="Q37" i="1"/>
  <c r="P45" i="1" l="1"/>
  <c r="P41" i="1"/>
  <c r="P43" i="1"/>
  <c r="P39" i="1"/>
  <c r="P35" i="1"/>
  <c r="P46" i="1"/>
  <c r="P40" i="1"/>
  <c r="P37" i="1"/>
  <c r="I8" i="1"/>
  <c r="P44" i="1"/>
  <c r="P38" i="1"/>
  <c r="Q47" i="1"/>
  <c r="P47" i="1" l="1"/>
  <c r="S28" i="1"/>
  <c r="Q26" i="1"/>
  <c r="S24" i="1"/>
  <c r="Q21" i="1"/>
  <c r="R28" i="1"/>
  <c r="Q27" i="1"/>
  <c r="T26" i="1"/>
  <c r="P26" i="1"/>
  <c r="S25" i="1"/>
  <c r="R24" i="1"/>
  <c r="Q22" i="1"/>
  <c r="T25" i="1"/>
  <c r="O39" i="1"/>
  <c r="Q28" i="1"/>
  <c r="T27" i="1"/>
  <c r="P27" i="1"/>
  <c r="S26" i="1"/>
  <c r="R25" i="1"/>
  <c r="Q24" i="1"/>
  <c r="T22" i="1"/>
  <c r="P22" i="1"/>
  <c r="O44" i="1"/>
  <c r="R22" i="1"/>
  <c r="O46" i="1"/>
  <c r="O40" i="1"/>
  <c r="T28" i="1"/>
  <c r="P28" i="1"/>
  <c r="S27" i="1"/>
  <c r="R26" i="1"/>
  <c r="Q25" i="1"/>
  <c r="T24" i="1"/>
  <c r="P24" i="1"/>
  <c r="S22" i="1"/>
  <c r="H8" i="1"/>
  <c r="O38" i="1"/>
  <c r="R27" i="1"/>
  <c r="P25" i="1"/>
  <c r="S19" i="1"/>
  <c r="T21" i="1"/>
  <c r="O41" i="1"/>
  <c r="R19" i="1"/>
  <c r="P19" i="1"/>
  <c r="O35" i="1"/>
  <c r="O37" i="1"/>
  <c r="O43" i="1"/>
  <c r="T19" i="1"/>
  <c r="R21" i="1"/>
  <c r="S21" i="1"/>
  <c r="P21" i="1"/>
  <c r="O45" i="1"/>
  <c r="Q19" i="1"/>
  <c r="Q29" i="1" s="1"/>
  <c r="T29" i="1" l="1"/>
  <c r="S29" i="1"/>
  <c r="P29" i="1"/>
  <c r="Q52" i="1" s="1"/>
  <c r="O47" i="1"/>
  <c r="N46" i="1"/>
  <c r="N40" i="1"/>
  <c r="G8" i="1"/>
  <c r="F8" i="1" s="1"/>
  <c r="E8" i="1" s="1"/>
  <c r="D8" i="1" s="1"/>
  <c r="N44" i="1"/>
  <c r="N38" i="1"/>
  <c r="N45" i="1"/>
  <c r="N41" i="1"/>
  <c r="N43" i="1"/>
  <c r="N39" i="1"/>
  <c r="N35" i="1"/>
  <c r="N37" i="1"/>
  <c r="T47" i="1"/>
  <c r="T52" i="1" s="1"/>
  <c r="R29" i="1"/>
  <c r="R52" i="1" s="1"/>
  <c r="U59" i="1" l="1"/>
  <c r="R59" i="1"/>
  <c r="T59" i="1"/>
  <c r="S59" i="1"/>
  <c r="V59" i="1"/>
  <c r="N47" i="1"/>
  <c r="Y62" i="1"/>
  <c r="Y63" i="1" s="1"/>
  <c r="Y65" i="1" s="1"/>
  <c r="U62" i="1"/>
  <c r="X62" i="1"/>
  <c r="W62" i="1"/>
  <c r="V62" i="1"/>
  <c r="S52" i="1"/>
  <c r="U60" i="1"/>
  <c r="T60" i="1"/>
  <c r="W60" i="1"/>
  <c r="S60" i="1"/>
  <c r="V60" i="1"/>
  <c r="O19" i="1"/>
  <c r="N28" i="1"/>
  <c r="O25" i="1"/>
  <c r="N24" i="1"/>
  <c r="N19" i="1"/>
  <c r="O28" i="1"/>
  <c r="O24" i="1"/>
  <c r="O26" i="1"/>
  <c r="N25" i="1"/>
  <c r="N27" i="1"/>
  <c r="O27" i="1"/>
  <c r="N26" i="1"/>
  <c r="O22" i="1"/>
  <c r="N21" i="1"/>
  <c r="N22" i="1"/>
  <c r="O21" i="1"/>
  <c r="N29" i="1" l="1"/>
  <c r="O29" i="1"/>
  <c r="P52" i="1" s="1"/>
  <c r="U61" i="1"/>
  <c r="X61" i="1"/>
  <c r="X63" i="1" s="1"/>
  <c r="X65" i="1" s="1"/>
  <c r="T61" i="1"/>
  <c r="W61" i="1"/>
  <c r="W63" i="1" s="1"/>
  <c r="W65" i="1" s="1"/>
  <c r="V61" i="1"/>
  <c r="V63" i="1" s="1"/>
  <c r="V65" i="1" s="1"/>
  <c r="U58" i="1" l="1"/>
  <c r="U63" i="1" s="1"/>
  <c r="Q58" i="1"/>
  <c r="T58" i="1"/>
  <c r="S58" i="1"/>
  <c r="R58" i="1"/>
  <c r="U65" i="1" l="1"/>
  <c r="Z65" i="1" s="1"/>
  <c r="Z63" i="1"/>
</calcChain>
</file>

<file path=xl/sharedStrings.xml><?xml version="1.0" encoding="utf-8"?>
<sst xmlns="http://schemas.openxmlformats.org/spreadsheetml/2006/main" count="115" uniqueCount="62">
  <si>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</si>
  <si>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</si>
  <si>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</si>
  <si>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</si>
  <si>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</si>
  <si>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</si>
  <si>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</si>
  <si>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</si>
  <si>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</si>
  <si>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</si>
  <si>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</si>
  <si>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</si>
  <si>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</si>
  <si>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</si>
  <si>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</si>
  <si>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</si>
  <si>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</si>
  <si>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</si>
  <si>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</si>
  <si>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</si>
  <si>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</si>
  <si>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</si>
  <si>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</si>
  <si>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</si>
  <si>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</si>
  <si>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</si>
  <si>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</si>
  <si>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</si>
  <si>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</si>
  <si>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</si>
  <si>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</si>
  <si>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</si>
  <si>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Superannuation</t>
  </si>
  <si>
    <t>Non-network alternatives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</si>
  <si>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</si>
  <si>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</si>
  <si>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</si>
  <si>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</si>
  <si>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</si>
  <si>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</si>
  <si>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</si>
  <si>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</si>
  <si>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Defined benefit superannuation</t>
  </si>
  <si>
    <t>Ergon Energy to nominate base year used to forecast opex 
(drop down menu)</t>
  </si>
  <si>
    <t>DMIA</t>
  </si>
  <si>
    <t>GSL payments</t>
  </si>
  <si>
    <t>Movements in provisions related to opex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</si>
  <si>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</si>
  <si>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</si>
  <si>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</si>
  <si>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</si>
  <si>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</si>
  <si>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</si>
  <si>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</si>
  <si>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</si>
  <si>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</si>
  <si>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</si>
  <si>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</si>
  <si>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</si>
  <si>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</si>
  <si>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</si>
  <si>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Trimmed mean, May 2020, Appendix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</si>
</sst>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"/>
    <numFmt numFmtId="166" formatCode="#,##0.0;\–#,##0.0;&quot;–&quot;"/>
    <numFmt numFmtId="167" formatCode="#,##0;\(#,##0\)"/>
    <numFmt numFmtId="168" formatCode="#,##0.0_ ;\-#,##0.0\ "/>
    <numFmt numFmtId="169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268">
    <xf numFmtId="0" fontId="0" fillId="0" borderId="0" xfId="0"/>
    <xf numFmtId="0" fontId="4" fillId="2" borderId="0" xfId="2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5" fontId="6" fillId="3" borderId="12" xfId="0" applyNumberFormat="1" applyFont="1" applyFill="1" applyBorder="1" applyAlignment="1" applyProtection="1">
      <alignment vertical="center"/>
    </xf>
    <xf numFmtId="165" fontId="3" fillId="0" borderId="13" xfId="0" applyNumberFormat="1" applyFont="1" applyBorder="1" applyAlignment="1">
      <alignment horizontal="right" vertical="top" wrapText="1"/>
    </xf>
    <xf numFmtId="165" fontId="3" fillId="2" borderId="13" xfId="0" applyNumberFormat="1" applyFont="1" applyFill="1" applyBorder="1" applyAlignment="1" applyProtection="1">
      <alignment vertical="center" wrapText="1"/>
    </xf>
    <xf numFmtId="165" fontId="3" fillId="0" borderId="13" xfId="0" applyNumberFormat="1" applyFont="1" applyFill="1" applyBorder="1" applyAlignment="1" applyProtection="1">
      <alignment vertical="center" wrapText="1"/>
    </xf>
    <xf numFmtId="165" fontId="3" fillId="3" borderId="13" xfId="0" applyNumberFormat="1" applyFont="1" applyFill="1" applyBorder="1" applyAlignment="1" applyProtection="1">
      <alignment vertical="center" wrapText="1"/>
    </xf>
    <xf numFmtId="165" fontId="3" fillId="3" borderId="14" xfId="0" applyNumberFormat="1" applyFont="1" applyFill="1" applyBorder="1" applyAlignment="1" applyProtection="1"/>
    <xf numFmtId="165" fontId="6" fillId="3" borderId="14" xfId="0" applyNumberFormat="1" applyFont="1" applyFill="1" applyBorder="1" applyAlignment="1" applyProtection="1"/>
    <xf numFmtId="165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5" fontId="6" fillId="3" borderId="17" xfId="0" applyNumberFormat="1" applyFont="1" applyFill="1" applyBorder="1" applyAlignment="1" applyProtection="1">
      <alignment vertical="center"/>
    </xf>
    <xf numFmtId="165" fontId="6" fillId="3" borderId="18" xfId="0" applyNumberFormat="1" applyFont="1" applyFill="1" applyBorder="1" applyAlignment="1" applyProtection="1">
      <alignment vertical="center"/>
    </xf>
    <xf numFmtId="165" fontId="3" fillId="2" borderId="19" xfId="0" applyNumberFormat="1" applyFont="1" applyFill="1" applyBorder="1" applyAlignment="1" applyProtection="1">
      <alignment vertical="center" wrapText="1"/>
    </xf>
    <xf numFmtId="165" fontId="3" fillId="2" borderId="20" xfId="0" applyNumberFormat="1" applyFont="1" applyFill="1" applyBorder="1" applyAlignment="1" applyProtection="1">
      <alignment vertical="center" wrapText="1"/>
    </xf>
    <xf numFmtId="165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5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5" fontId="6" fillId="3" borderId="27" xfId="0" applyNumberFormat="1" applyFont="1" applyFill="1" applyBorder="1" applyAlignment="1" applyProtection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6" fontId="3" fillId="9" borderId="52" xfId="0" applyNumberFormat="1" applyFont="1" applyFill="1" applyBorder="1" applyAlignment="1" applyProtection="1">
      <alignment vertical="center" wrapText="1"/>
      <protection locked="0"/>
    </xf>
    <xf numFmtId="166" fontId="3" fillId="9" borderId="53" xfId="0" applyNumberFormat="1" applyFont="1" applyFill="1" applyBorder="1" applyAlignment="1" applyProtection="1">
      <alignment vertical="center" wrapText="1"/>
      <protection locked="0"/>
    </xf>
    <xf numFmtId="166" fontId="3" fillId="6" borderId="54" xfId="0" applyNumberFormat="1" applyFont="1" applyFill="1" applyBorder="1" applyAlignment="1" applyProtection="1">
      <alignment vertical="center" wrapText="1"/>
      <protection locked="0"/>
    </xf>
    <xf numFmtId="166" fontId="3" fillId="6" borderId="55" xfId="0" applyNumberFormat="1" applyFont="1" applyFill="1" applyBorder="1" applyAlignment="1" applyProtection="1">
      <alignment vertical="center" wrapText="1"/>
      <protection locked="0"/>
    </xf>
    <xf numFmtId="166" fontId="3" fillId="6" borderId="53" xfId="0" applyNumberFormat="1" applyFont="1" applyFill="1" applyBorder="1" applyAlignment="1" applyProtection="1">
      <alignment vertical="center" wrapText="1"/>
      <protection locked="0"/>
    </xf>
    <xf numFmtId="166" fontId="3" fillId="6" borderId="56" xfId="0" applyNumberFormat="1" applyFont="1" applyFill="1" applyBorder="1" applyAlignment="1" applyProtection="1">
      <alignment vertical="center" wrapText="1"/>
      <protection locked="0"/>
    </xf>
    <xf numFmtId="166" fontId="3" fillId="2" borderId="57" xfId="1" applyNumberFormat="1" applyFont="1" applyFill="1" applyBorder="1" applyAlignment="1" applyProtection="1">
      <alignment horizontal="right" vertical="center" wrapText="1"/>
    </xf>
    <xf numFmtId="166" fontId="3" fillId="2" borderId="58" xfId="1" applyNumberFormat="1" applyFont="1" applyFill="1" applyBorder="1" applyAlignment="1" applyProtection="1">
      <alignment horizontal="right" vertical="center" wrapText="1"/>
    </xf>
    <xf numFmtId="166" fontId="3" fillId="2" borderId="23" xfId="1" applyNumberFormat="1" applyFont="1" applyFill="1" applyBorder="1" applyAlignment="1" applyProtection="1">
      <alignment horizontal="right" vertical="center" wrapText="1"/>
    </xf>
    <xf numFmtId="166" fontId="3" fillId="2" borderId="24" xfId="1" applyNumberFormat="1" applyFont="1" applyFill="1" applyBorder="1" applyAlignment="1" applyProtection="1">
      <alignment horizontal="right" vertical="center" wrapText="1"/>
    </xf>
    <xf numFmtId="166" fontId="3" fillId="2" borderId="25" xfId="1" applyNumberFormat="1" applyFont="1" applyFill="1" applyBorder="1" applyAlignment="1" applyProtection="1">
      <alignment horizontal="right" vertical="center" wrapText="1"/>
    </xf>
    <xf numFmtId="0" fontId="17" fillId="9" borderId="59" xfId="0" applyFont="1" applyFill="1" applyBorder="1" applyAlignment="1" applyProtection="1">
      <alignment horizontal="left" vertical="center" wrapText="1" indent="1"/>
    </xf>
    <xf numFmtId="166" fontId="6" fillId="3" borderId="60" xfId="0" applyNumberFormat="1" applyFont="1" applyFill="1" applyBorder="1" applyAlignment="1" applyProtection="1"/>
    <xf numFmtId="166" fontId="6" fillId="3" borderId="61" xfId="0" applyNumberFormat="1" applyFont="1" applyFill="1" applyBorder="1" applyAlignment="1" applyProtection="1"/>
    <xf numFmtId="166" fontId="6" fillId="3" borderId="62" xfId="0" applyNumberFormat="1" applyFont="1" applyFill="1" applyBorder="1" applyAlignment="1" applyProtection="1">
      <alignment vertical="center"/>
    </xf>
    <xf numFmtId="166" fontId="6" fillId="3" borderId="63" xfId="0" applyNumberFormat="1" applyFont="1" applyFill="1" applyBorder="1" applyAlignment="1" applyProtection="1">
      <alignment vertical="center"/>
    </xf>
    <xf numFmtId="166" fontId="6" fillId="3" borderId="61" xfId="0" applyNumberFormat="1" applyFont="1" applyFill="1" applyBorder="1" applyAlignment="1" applyProtection="1">
      <alignment vertical="center"/>
    </xf>
    <xf numFmtId="166" fontId="6" fillId="3" borderId="64" xfId="0" applyNumberFormat="1" applyFont="1" applyFill="1" applyBorder="1" applyAlignment="1" applyProtection="1">
      <alignment vertical="center"/>
    </xf>
    <xf numFmtId="166" fontId="6" fillId="3" borderId="65" xfId="0" applyNumberFormat="1" applyFont="1" applyFill="1" applyBorder="1" applyAlignment="1" applyProtection="1">
      <alignment horizontal="left"/>
    </xf>
    <xf numFmtId="166" fontId="6" fillId="3" borderId="66" xfId="0" applyNumberFormat="1" applyFont="1" applyFill="1" applyBorder="1" applyAlignment="1" applyProtection="1">
      <alignment horizontal="left"/>
    </xf>
    <xf numFmtId="166" fontId="6" fillId="3" borderId="67" xfId="0" applyNumberFormat="1" applyFont="1" applyFill="1" applyBorder="1" applyAlignment="1" applyProtection="1">
      <alignment horizontal="left"/>
    </xf>
    <xf numFmtId="166" fontId="6" fillId="3" borderId="68" xfId="0" applyNumberFormat="1" applyFont="1" applyFill="1" applyBorder="1" applyAlignment="1" applyProtection="1">
      <alignment horizontal="left"/>
    </xf>
    <xf numFmtId="166" fontId="6" fillId="3" borderId="69" xfId="0" applyNumberFormat="1" applyFont="1" applyFill="1" applyBorder="1" applyAlignment="1" applyProtection="1">
      <alignment horizontal="left"/>
    </xf>
    <xf numFmtId="0" fontId="3" fillId="0" borderId="59" xfId="0" applyFont="1" applyBorder="1" applyAlignment="1" applyProtection="1">
      <alignment horizontal="left" vertical="center" indent="4"/>
    </xf>
    <xf numFmtId="166" fontId="3" fillId="9" borderId="60" xfId="0" applyNumberFormat="1" applyFont="1" applyFill="1" applyBorder="1" applyAlignment="1" applyProtection="1">
      <alignment vertical="center" wrapText="1"/>
      <protection locked="0"/>
    </xf>
    <xf numFmtId="166" fontId="3" fillId="9" borderId="61" xfId="0" applyNumberFormat="1" applyFont="1" applyFill="1" applyBorder="1" applyAlignment="1" applyProtection="1">
      <alignment vertical="center" wrapText="1"/>
      <protection locked="0"/>
    </xf>
    <xf numFmtId="166" fontId="3" fillId="6" borderId="62" xfId="0" applyNumberFormat="1" applyFont="1" applyFill="1" applyBorder="1" applyAlignment="1" applyProtection="1">
      <alignment vertical="center" wrapText="1"/>
      <protection locked="0"/>
    </xf>
    <xf numFmtId="166" fontId="3" fillId="6" borderId="63" xfId="0" applyNumberFormat="1" applyFont="1" applyFill="1" applyBorder="1" applyAlignment="1" applyProtection="1">
      <alignment vertical="center" wrapText="1"/>
      <protection locked="0"/>
    </xf>
    <xf numFmtId="166" fontId="3" fillId="6" borderId="61" xfId="0" applyNumberFormat="1" applyFont="1" applyFill="1" applyBorder="1" applyAlignment="1" applyProtection="1">
      <alignment vertical="center" wrapText="1"/>
      <protection locked="0"/>
    </xf>
    <xf numFmtId="166" fontId="3" fillId="6" borderId="64" xfId="0" applyNumberFormat="1" applyFont="1" applyFill="1" applyBorder="1" applyAlignment="1" applyProtection="1">
      <alignment vertical="center" wrapText="1"/>
      <protection locked="0"/>
    </xf>
    <xf numFmtId="166" fontId="3" fillId="2" borderId="65" xfId="1" applyNumberFormat="1" applyFont="1" applyFill="1" applyBorder="1" applyAlignment="1" applyProtection="1">
      <alignment horizontal="right" wrapText="1"/>
    </xf>
    <xf numFmtId="166" fontId="3" fillId="2" borderId="70" xfId="1" applyNumberFormat="1" applyFont="1" applyFill="1" applyBorder="1" applyAlignment="1" applyProtection="1">
      <alignment horizontal="right" wrapText="1"/>
    </xf>
    <xf numFmtId="166" fontId="3" fillId="2" borderId="67" xfId="1" applyNumberFormat="1" applyFont="1" applyFill="1" applyBorder="1" applyAlignment="1" applyProtection="1">
      <alignment horizontal="right" wrapText="1"/>
    </xf>
    <xf numFmtId="166" fontId="3" fillId="2" borderId="71" xfId="1" applyNumberFormat="1" applyFont="1" applyFill="1" applyBorder="1" applyAlignment="1" applyProtection="1">
      <alignment horizontal="right" wrapText="1"/>
    </xf>
    <xf numFmtId="0" fontId="18" fillId="0" borderId="59" xfId="0" applyFont="1" applyBorder="1" applyAlignment="1" applyProtection="1">
      <alignment horizontal="left" vertical="center" indent="4"/>
    </xf>
    <xf numFmtId="0" fontId="3" fillId="0" borderId="59" xfId="0" applyFont="1" applyBorder="1" applyAlignment="1" applyProtection="1">
      <alignment horizontal="left" vertical="center" indent="1"/>
    </xf>
    <xf numFmtId="0" fontId="3" fillId="0" borderId="59" xfId="4" applyFont="1" applyFill="1" applyBorder="1" applyAlignment="1" applyProtection="1">
      <alignment horizontal="left" vertical="center" indent="1"/>
    </xf>
    <xf numFmtId="0" fontId="3" fillId="0" borderId="72" xfId="0" applyFont="1" applyBorder="1" applyAlignment="1" applyProtection="1">
      <alignment horizontal="left" vertical="center" wrapText="1" indent="1"/>
    </xf>
    <xf numFmtId="166" fontId="3" fillId="9" borderId="73" xfId="0" applyNumberFormat="1" applyFont="1" applyFill="1" applyBorder="1" applyAlignment="1" applyProtection="1">
      <alignment vertical="center" wrapText="1"/>
      <protection locked="0"/>
    </xf>
    <xf numFmtId="166" fontId="3" fillId="9" borderId="74" xfId="0" applyNumberFormat="1" applyFont="1" applyFill="1" applyBorder="1" applyAlignment="1" applyProtection="1">
      <alignment vertical="center" wrapText="1"/>
      <protection locked="0"/>
    </xf>
    <xf numFmtId="166" fontId="3" fillId="6" borderId="75" xfId="0" applyNumberFormat="1" applyFont="1" applyFill="1" applyBorder="1" applyAlignment="1" applyProtection="1">
      <alignment vertical="center" wrapText="1"/>
      <protection locked="0"/>
    </xf>
    <xf numFmtId="166" fontId="3" fillId="6" borderId="76" xfId="0" applyNumberFormat="1" applyFont="1" applyFill="1" applyBorder="1" applyAlignment="1" applyProtection="1">
      <alignment vertical="center" wrapText="1"/>
      <protection locked="0"/>
    </xf>
    <xf numFmtId="166" fontId="3" fillId="6" borderId="74" xfId="0" applyNumberFormat="1" applyFont="1" applyFill="1" applyBorder="1" applyAlignment="1" applyProtection="1">
      <alignment vertical="center" wrapText="1"/>
      <protection locked="0"/>
    </xf>
    <xf numFmtId="166" fontId="3" fillId="6" borderId="77" xfId="0" applyNumberFormat="1" applyFont="1" applyFill="1" applyBorder="1" applyAlignment="1" applyProtection="1">
      <alignment vertical="center" wrapText="1"/>
      <protection locked="0"/>
    </xf>
    <xf numFmtId="166" fontId="3" fillId="2" borderId="42" xfId="1" applyNumberFormat="1" applyFont="1" applyFill="1" applyBorder="1" applyAlignment="1" applyProtection="1">
      <alignment horizontal="right" wrapText="1"/>
    </xf>
    <xf numFmtId="166" fontId="3" fillId="2" borderId="78" xfId="1" applyNumberFormat="1" applyFont="1" applyFill="1" applyBorder="1" applyAlignment="1" applyProtection="1">
      <alignment horizontal="right" wrapText="1"/>
    </xf>
    <xf numFmtId="166" fontId="3" fillId="2" borderId="28" xfId="1" applyNumberFormat="1" applyFont="1" applyFill="1" applyBorder="1" applyAlignment="1" applyProtection="1">
      <alignment horizontal="right" wrapText="1"/>
    </xf>
    <xf numFmtId="166" fontId="3" fillId="2" borderId="79" xfId="1" applyNumberFormat="1" applyFont="1" applyFill="1" applyBorder="1" applyAlignment="1" applyProtection="1">
      <alignment horizontal="right" wrapText="1"/>
    </xf>
    <xf numFmtId="0" fontId="6" fillId="10" borderId="2" xfId="0" applyFont="1" applyFill="1" applyBorder="1" applyAlignment="1" applyProtection="1">
      <alignment horizontal="right" vertical="center" wrapText="1" indent="1"/>
    </xf>
    <xf numFmtId="166" fontId="6" fillId="10" borderId="80" xfId="1" applyNumberFormat="1" applyFont="1" applyFill="1" applyBorder="1" applyAlignment="1" applyProtection="1">
      <alignment horizontal="right" wrapText="1"/>
    </xf>
    <xf numFmtId="166" fontId="6" fillId="10" borderId="49" xfId="1" applyNumberFormat="1" applyFont="1" applyFill="1" applyBorder="1" applyAlignment="1" applyProtection="1">
      <alignment horizontal="right" wrapText="1"/>
    </xf>
    <xf numFmtId="166" fontId="6" fillId="10" borderId="50" xfId="1" applyNumberFormat="1" applyFont="1" applyFill="1" applyBorder="1" applyAlignment="1" applyProtection="1">
      <alignment horizontal="right" wrapText="1"/>
    </xf>
    <xf numFmtId="166" fontId="6" fillId="10" borderId="27" xfId="1" applyNumberFormat="1" applyFont="1" applyFill="1" applyBorder="1" applyAlignment="1" applyProtection="1">
      <alignment horizontal="right" wrapText="1"/>
    </xf>
    <xf numFmtId="166" fontId="6" fillId="10" borderId="81" xfId="1" applyNumberFormat="1" applyFont="1" applyFill="1" applyBorder="1" applyAlignment="1" applyProtection="1">
      <alignment horizontal="right" wrapText="1"/>
    </xf>
    <xf numFmtId="166" fontId="6" fillId="10" borderId="82" xfId="1" applyNumberFormat="1" applyFont="1" applyFill="1" applyBorder="1" applyAlignment="1" applyProtection="1">
      <alignment horizontal="right" wrapText="1"/>
    </xf>
    <xf numFmtId="0" fontId="19" fillId="2" borderId="83" xfId="0" applyFont="1" applyFill="1" applyBorder="1" applyAlignment="1" applyProtection="1">
      <alignment vertical="center" wrapText="1"/>
    </xf>
    <xf numFmtId="0" fontId="3" fillId="0" borderId="84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6" fontId="3" fillId="9" borderId="55" xfId="0" applyNumberFormat="1" applyFont="1" applyFill="1" applyBorder="1" applyAlignment="1" applyProtection="1">
      <alignment vertical="center" wrapText="1"/>
      <protection locked="0"/>
    </xf>
    <xf numFmtId="166" fontId="3" fillId="6" borderId="85" xfId="0" applyNumberFormat="1" applyFont="1" applyFill="1" applyBorder="1" applyAlignment="1" applyProtection="1">
      <alignment vertical="center" wrapText="1"/>
      <protection locked="0"/>
    </xf>
    <xf numFmtId="2" fontId="6" fillId="3" borderId="83" xfId="0" applyNumberFormat="1" applyFont="1" applyFill="1" applyBorder="1" applyAlignment="1" applyProtection="1"/>
    <xf numFmtId="166" fontId="3" fillId="2" borderId="86" xfId="0" applyNumberFormat="1" applyFont="1" applyFill="1" applyBorder="1" applyAlignment="1" applyProtection="1">
      <alignment horizontal="right" vertical="center"/>
    </xf>
    <xf numFmtId="166" fontId="3" fillId="2" borderId="58" xfId="0" applyNumberFormat="1" applyFont="1" applyFill="1" applyBorder="1" applyAlignment="1" applyProtection="1">
      <alignment horizontal="right" vertical="center"/>
    </xf>
    <xf numFmtId="166" fontId="3" fillId="2" borderId="23" xfId="0" applyNumberFormat="1" applyFont="1" applyFill="1" applyBorder="1" applyAlignment="1" applyProtection="1">
      <alignment horizontal="right" vertical="center"/>
    </xf>
    <xf numFmtId="166" fontId="3" fillId="2" borderId="24" xfId="0" applyNumberFormat="1" applyFont="1" applyFill="1" applyBorder="1" applyAlignment="1" applyProtection="1">
      <alignment horizontal="right" vertical="center"/>
    </xf>
    <xf numFmtId="166" fontId="3" fillId="2" borderId="87" xfId="0" applyNumberFormat="1" applyFont="1" applyFill="1" applyBorder="1" applyAlignment="1" applyProtection="1">
      <alignment horizontal="right" vertical="center"/>
    </xf>
    <xf numFmtId="166" fontId="6" fillId="3" borderId="83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6" fontId="6" fillId="3" borderId="63" xfId="0" applyNumberFormat="1" applyFont="1" applyFill="1" applyBorder="1" applyAlignment="1" applyProtection="1"/>
    <xf numFmtId="166" fontId="6" fillId="3" borderId="62" xfId="0" applyNumberFormat="1" applyFont="1" applyFill="1" applyBorder="1" applyAlignment="1" applyProtection="1"/>
    <xf numFmtId="166" fontId="6" fillId="3" borderId="88" xfId="0" applyNumberFormat="1" applyFont="1" applyFill="1" applyBorder="1" applyAlignment="1" applyProtection="1"/>
    <xf numFmtId="166" fontId="6" fillId="3" borderId="83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6" fontId="3" fillId="9" borderId="63" xfId="0" applyNumberFormat="1" applyFont="1" applyFill="1" applyBorder="1" applyAlignment="1" applyProtection="1">
      <alignment vertical="center" wrapText="1"/>
      <protection locked="0"/>
    </xf>
    <xf numFmtId="166" fontId="3" fillId="6" borderId="88" xfId="0" applyNumberFormat="1" applyFont="1" applyFill="1" applyBorder="1" applyAlignment="1" applyProtection="1">
      <alignment vertical="center" wrapText="1"/>
      <protection locked="0"/>
    </xf>
    <xf numFmtId="166" fontId="3" fillId="2" borderId="65" xfId="0" applyNumberFormat="1" applyFont="1" applyFill="1" applyBorder="1" applyAlignment="1" applyProtection="1">
      <alignment horizontal="right" vertical="center"/>
    </xf>
    <xf numFmtId="166" fontId="3" fillId="2" borderId="70" xfId="0" applyNumberFormat="1" applyFont="1" applyFill="1" applyBorder="1" applyAlignment="1" applyProtection="1">
      <alignment horizontal="right" vertical="center"/>
    </xf>
    <xf numFmtId="166" fontId="3" fillId="2" borderId="67" xfId="0" applyNumberFormat="1" applyFont="1" applyFill="1" applyBorder="1" applyAlignment="1" applyProtection="1">
      <alignment horizontal="right" vertical="center"/>
    </xf>
    <xf numFmtId="166" fontId="3" fillId="2" borderId="66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3" fillId="0" borderId="16" xfId="0" applyFont="1" applyBorder="1" applyAlignment="1" applyProtection="1">
      <alignment horizontal="left" vertical="center" wrapText="1" indent="1"/>
    </xf>
    <xf numFmtId="166" fontId="4" fillId="3" borderId="83" xfId="0" applyNumberFormat="1" applyFont="1" applyFill="1" applyBorder="1" applyProtection="1"/>
    <xf numFmtId="0" fontId="3" fillId="0" borderId="26" xfId="0" applyFont="1" applyBorder="1" applyAlignment="1" applyProtection="1">
      <alignment horizontal="left" vertical="center" wrapText="1" indent="1"/>
    </xf>
    <xf numFmtId="166" fontId="3" fillId="9" borderId="76" xfId="0" applyNumberFormat="1" applyFont="1" applyFill="1" applyBorder="1" applyAlignment="1" applyProtection="1">
      <alignment vertical="center" wrapText="1"/>
      <protection locked="0"/>
    </xf>
    <xf numFmtId="166" fontId="3" fillId="6" borderId="93" xfId="0" applyNumberFormat="1" applyFont="1" applyFill="1" applyBorder="1" applyAlignment="1" applyProtection="1">
      <alignment vertical="center" wrapText="1"/>
      <protection locked="0"/>
    </xf>
    <xf numFmtId="166" fontId="3" fillId="2" borderId="42" xfId="0" applyNumberFormat="1" applyFont="1" applyFill="1" applyBorder="1" applyAlignment="1" applyProtection="1">
      <alignment horizontal="right" vertical="center"/>
    </xf>
    <xf numFmtId="166" fontId="3" fillId="2" borderId="78" xfId="0" applyNumberFormat="1" applyFont="1" applyFill="1" applyBorder="1" applyAlignment="1" applyProtection="1">
      <alignment horizontal="right" vertical="center"/>
    </xf>
    <xf numFmtId="166" fontId="3" fillId="2" borderId="28" xfId="0" applyNumberFormat="1" applyFont="1" applyFill="1" applyBorder="1" applyAlignment="1" applyProtection="1">
      <alignment horizontal="right" vertical="center"/>
    </xf>
    <xf numFmtId="166" fontId="3" fillId="2" borderId="44" xfId="0" applyNumberFormat="1" applyFont="1" applyFill="1" applyBorder="1" applyAlignment="1" applyProtection="1">
      <alignment horizontal="right" vertical="center"/>
    </xf>
    <xf numFmtId="166" fontId="4" fillId="3" borderId="84" xfId="0" applyNumberFormat="1" applyFont="1" applyFill="1" applyBorder="1" applyProtection="1"/>
    <xf numFmtId="0" fontId="6" fillId="10" borderId="94" xfId="0" applyFont="1" applyFill="1" applyBorder="1" applyAlignment="1" applyProtection="1">
      <alignment horizontal="right" wrapText="1"/>
    </xf>
    <xf numFmtId="165" fontId="6" fillId="10" borderId="82" xfId="1" applyNumberFormat="1" applyFont="1" applyFill="1" applyBorder="1" applyAlignment="1" applyProtection="1">
      <alignment horizontal="right" wrapText="1"/>
    </xf>
    <xf numFmtId="166" fontId="6" fillId="10" borderId="95" xfId="1" applyNumberFormat="1" applyFont="1" applyFill="1" applyBorder="1" applyAlignment="1" applyProtection="1">
      <alignment horizontal="right" wrapText="1"/>
    </xf>
    <xf numFmtId="167" fontId="7" fillId="6" borderId="96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2" fontId="4" fillId="6" borderId="99" xfId="0" applyNumberFormat="1" applyFont="1" applyFill="1" applyBorder="1"/>
    <xf numFmtId="0" fontId="7" fillId="0" borderId="0" xfId="0" applyFont="1"/>
    <xf numFmtId="0" fontId="21" fillId="3" borderId="10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1" xfId="0" applyFill="1" applyBorder="1"/>
    <xf numFmtId="0" fontId="0" fillId="3" borderId="84" xfId="0" applyFill="1" applyBorder="1"/>
    <xf numFmtId="168" fontId="3" fillId="9" borderId="94" xfId="0" applyNumberFormat="1" applyFont="1" applyFill="1" applyBorder="1" applyAlignment="1" applyProtection="1">
      <alignment horizontal="right" vertical="center"/>
    </xf>
    <xf numFmtId="168" fontId="3" fillId="9" borderId="81" xfId="0" applyNumberFormat="1" applyFont="1" applyFill="1" applyBorder="1" applyAlignment="1" applyProtection="1">
      <alignment horizontal="right" vertical="center"/>
    </xf>
    <xf numFmtId="168" fontId="3" fillId="9" borderId="82" xfId="0" applyNumberFormat="1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9" fontId="0" fillId="0" borderId="0" xfId="0" applyNumberFormat="1" applyAlignment="1">
      <alignment vertical="center"/>
    </xf>
    <xf numFmtId="0" fontId="6" fillId="2" borderId="10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9" borderId="106" xfId="0" applyFont="1" applyFill="1" applyBorder="1" applyAlignment="1" applyProtection="1"/>
    <xf numFmtId="0" fontId="6" fillId="2" borderId="107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8" xfId="0" applyFont="1" applyFill="1" applyBorder="1" applyAlignment="1" applyProtection="1">
      <alignment horizontal="centerContinuous" vertical="center"/>
    </xf>
    <xf numFmtId="0" fontId="6" fillId="13" borderId="74" xfId="0" applyFont="1" applyFill="1" applyBorder="1" applyAlignment="1" applyProtection="1">
      <alignment horizontal="centerContinuous" vertical="center"/>
    </xf>
    <xf numFmtId="0" fontId="6" fillId="13" borderId="75" xfId="0" applyFont="1" applyFill="1" applyBorder="1" applyAlignment="1" applyProtection="1">
      <alignment horizontal="centerContinuous" vertical="center"/>
    </xf>
    <xf numFmtId="0" fontId="6" fillId="13" borderId="109" xfId="0" applyFont="1" applyFill="1" applyBorder="1" applyAlignment="1" applyProtection="1">
      <alignment horizontal="centerContinuous" vertical="center"/>
    </xf>
    <xf numFmtId="0" fontId="6" fillId="13" borderId="73" xfId="0" applyFont="1" applyFill="1" applyBorder="1" applyAlignment="1" applyProtection="1">
      <alignment horizontal="centerContinuous" vertical="center"/>
    </xf>
    <xf numFmtId="0" fontId="0" fillId="13" borderId="77" xfId="0" applyFill="1" applyBorder="1" applyAlignment="1">
      <alignment horizontal="centerContinuous"/>
    </xf>
    <xf numFmtId="0" fontId="6" fillId="8" borderId="110" xfId="0" applyFont="1" applyFill="1" applyBorder="1" applyAlignment="1" applyProtection="1">
      <alignment horizontal="right" vertical="center"/>
    </xf>
    <xf numFmtId="0" fontId="6" fillId="8" borderId="111" xfId="0" applyFont="1" applyFill="1" applyBorder="1" applyAlignment="1" applyProtection="1">
      <alignment horizontal="right" vertical="center"/>
    </xf>
    <xf numFmtId="0" fontId="6" fillId="12" borderId="111" xfId="0" applyFont="1" applyFill="1" applyBorder="1" applyAlignment="1" applyProtection="1">
      <alignment horizontal="right" vertical="center"/>
    </xf>
    <xf numFmtId="0" fontId="2" fillId="9" borderId="112" xfId="0" applyFont="1" applyFill="1" applyBorder="1" applyAlignment="1">
      <alignment horizontal="right"/>
    </xf>
    <xf numFmtId="168" fontId="3" fillId="14" borderId="0" xfId="0" applyNumberFormat="1" applyFont="1" applyFill="1" applyBorder="1" applyAlignment="1" applyProtection="1">
      <alignment horizontal="left" vertical="center"/>
    </xf>
    <xf numFmtId="168" fontId="3" fillId="2" borderId="94" xfId="0" applyNumberFormat="1" applyFont="1" applyFill="1" applyBorder="1" applyAlignment="1" applyProtection="1">
      <alignment horizontal="right" vertical="center"/>
    </xf>
    <xf numFmtId="168" fontId="3" fillId="2" borderId="24" xfId="0" applyNumberFormat="1" applyFont="1" applyFill="1" applyBorder="1" applyAlignment="1" applyProtection="1">
      <alignment horizontal="right" vertical="center"/>
    </xf>
    <xf numFmtId="168" fontId="3" fillId="2" borderId="114" xfId="0" applyNumberFormat="1" applyFont="1" applyFill="1" applyBorder="1" applyAlignment="1" applyProtection="1">
      <alignment horizontal="right" vertical="center"/>
    </xf>
    <xf numFmtId="168" fontId="3" fillId="2" borderId="115" xfId="0" applyNumberFormat="1" applyFont="1" applyFill="1" applyBorder="1" applyAlignment="1" applyProtection="1">
      <alignment horizontal="right" vertical="center"/>
    </xf>
    <xf numFmtId="168" fontId="3" fillId="14" borderId="0" xfId="0" applyNumberFormat="1" applyFont="1" applyFill="1" applyBorder="1" applyAlignment="1" applyProtection="1">
      <alignment horizontal="right" vertical="center"/>
    </xf>
    <xf numFmtId="0" fontId="0" fillId="9" borderId="83" xfId="0" applyFill="1" applyBorder="1"/>
    <xf numFmtId="168" fontId="3" fillId="2" borderId="42" xfId="0" applyNumberFormat="1" applyFont="1" applyFill="1" applyBorder="1" applyAlignment="1" applyProtection="1">
      <alignment horizontal="right" vertical="center"/>
    </xf>
    <xf numFmtId="168" fontId="3" fillId="2" borderId="116" xfId="0" applyNumberFormat="1" applyFont="1" applyFill="1" applyBorder="1" applyAlignment="1" applyProtection="1">
      <alignment horizontal="right" vertical="center"/>
    </xf>
    <xf numFmtId="168" fontId="3" fillId="2" borderId="68" xfId="0" applyNumberFormat="1" applyFont="1" applyFill="1" applyBorder="1" applyAlignment="1" applyProtection="1">
      <alignment horizontal="right" vertical="center"/>
    </xf>
    <xf numFmtId="168" fontId="3" fillId="2" borderId="26" xfId="0" applyNumberFormat="1" applyFont="1" applyFill="1" applyBorder="1" applyAlignment="1" applyProtection="1">
      <alignment horizontal="right" vertical="center"/>
    </xf>
    <xf numFmtId="168" fontId="3" fillId="2" borderId="117" xfId="0" applyNumberFormat="1" applyFont="1" applyFill="1" applyBorder="1" applyAlignment="1" applyProtection="1">
      <alignment horizontal="right" vertical="center"/>
    </xf>
    <xf numFmtId="168" fontId="3" fillId="14" borderId="101" xfId="0" applyNumberFormat="1" applyFont="1" applyFill="1" applyBorder="1" applyAlignment="1" applyProtection="1">
      <alignment horizontal="right" vertical="center"/>
    </xf>
    <xf numFmtId="168" fontId="3" fillId="2" borderId="118" xfId="0" applyNumberFormat="1" applyFont="1" applyFill="1" applyBorder="1" applyAlignment="1" applyProtection="1">
      <alignment horizontal="right" vertical="center"/>
    </xf>
    <xf numFmtId="168" fontId="3" fillId="2" borderId="119" xfId="0" applyNumberFormat="1" applyFont="1" applyFill="1" applyBorder="1" applyAlignment="1" applyProtection="1">
      <alignment horizontal="right" vertical="center"/>
    </xf>
    <xf numFmtId="168" fontId="3" fillId="14" borderId="120" xfId="0" applyNumberFormat="1" applyFont="1" applyFill="1" applyBorder="1" applyAlignment="1" applyProtection="1">
      <alignment horizontal="right" vertical="center"/>
    </xf>
    <xf numFmtId="168" fontId="3" fillId="2" borderId="29" xfId="0" applyNumberFormat="1" applyFont="1" applyFill="1" applyBorder="1" applyAlignment="1" applyProtection="1">
      <alignment horizontal="right" vertical="center"/>
    </xf>
    <xf numFmtId="168" fontId="3" fillId="2" borderId="43" xfId="0" applyNumberFormat="1" applyFont="1" applyFill="1" applyBorder="1" applyAlignment="1" applyProtection="1">
      <alignment horizontal="right" vertical="center"/>
    </xf>
    <xf numFmtId="168" fontId="3" fillId="2" borderId="121" xfId="0" applyNumberFormat="1" applyFont="1" applyFill="1" applyBorder="1" applyAlignment="1" applyProtection="1">
      <alignment horizontal="right" vertical="center"/>
    </xf>
    <xf numFmtId="168" fontId="3" fillId="2" borderId="82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8" fontId="22" fillId="15" borderId="3" xfId="0" applyNumberFormat="1" applyFont="1" applyFill="1" applyBorder="1" applyAlignment="1" applyProtection="1">
      <alignment horizontal="right"/>
    </xf>
    <xf numFmtId="168" fontId="22" fillId="15" borderId="4" xfId="0" applyNumberFormat="1" applyFont="1" applyFill="1" applyBorder="1" applyAlignment="1" applyProtection="1">
      <alignment horizontal="right"/>
    </xf>
    <xf numFmtId="168" fontId="22" fillId="15" borderId="122" xfId="0" applyNumberFormat="1" applyFont="1" applyFill="1" applyBorder="1" applyAlignment="1" applyProtection="1">
      <alignment horizontal="right"/>
    </xf>
    <xf numFmtId="168" fontId="22" fillId="15" borderId="123" xfId="0" applyNumberFormat="1" applyFont="1" applyFill="1" applyBorder="1" applyAlignment="1" applyProtection="1">
      <alignment horizontal="right"/>
    </xf>
    <xf numFmtId="168" fontId="22" fillId="15" borderId="124" xfId="0" applyNumberFormat="1" applyFont="1" applyFill="1" applyBorder="1" applyAlignment="1" applyProtection="1">
      <alignment horizontal="right"/>
    </xf>
    <xf numFmtId="168" fontId="22" fillId="15" borderId="2" xfId="0" applyNumberFormat="1" applyFont="1" applyFill="1" applyBorder="1" applyAlignment="1" applyProtection="1">
      <alignment horizontal="right"/>
    </xf>
    <xf numFmtId="168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8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8" fontId="22" fillId="15" borderId="125" xfId="0" applyNumberFormat="1" applyFont="1" applyFill="1" applyBorder="1" applyAlignment="1" applyProtection="1">
      <alignment horizontal="right" vertical="center"/>
    </xf>
    <xf numFmtId="168" fontId="22" fillId="15" borderId="3" xfId="0" applyNumberFormat="1" applyFont="1" applyFill="1" applyBorder="1" applyAlignment="1" applyProtection="1">
      <alignment horizontal="right" vertical="center"/>
    </xf>
    <xf numFmtId="164" fontId="0" fillId="2" borderId="0" xfId="5" applyFont="1" applyFill="1" applyProtection="1"/>
    <xf numFmtId="0" fontId="3" fillId="2" borderId="65" xfId="0" applyFont="1" applyFill="1" applyBorder="1" applyAlignment="1" applyProtection="1">
      <alignment horizontal="center"/>
    </xf>
    <xf numFmtId="0" fontId="3" fillId="2" borderId="66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1" xfId="0" applyFont="1" applyFill="1" applyBorder="1" applyAlignment="1">
      <alignment horizontal="center" vertical="center" wrapText="1"/>
    </xf>
    <xf numFmtId="0" fontId="20" fillId="11" borderId="92" xfId="0" applyFont="1" applyFill="1" applyBorder="1" applyAlignment="1">
      <alignment horizontal="center" vertical="center" wrapText="1"/>
    </xf>
    <xf numFmtId="0" fontId="20" fillId="11" borderId="97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7" fillId="8" borderId="102" xfId="0" applyFont="1" applyFill="1" applyBorder="1" applyAlignment="1" applyProtection="1">
      <alignment horizontal="center" vertical="center"/>
    </xf>
    <xf numFmtId="0" fontId="7" fillId="8" borderId="103" xfId="0" applyFont="1" applyFill="1" applyBorder="1" applyAlignment="1" applyProtection="1">
      <alignment horizontal="center" vertical="center"/>
    </xf>
    <xf numFmtId="0" fontId="7" fillId="12" borderId="104" xfId="0" applyFont="1" applyFill="1" applyBorder="1" applyAlignment="1" applyProtection="1">
      <alignment horizontal="center" vertical="center" wrapText="1"/>
    </xf>
    <xf numFmtId="0" fontId="7" fillId="12" borderId="105" xfId="0" applyFont="1" applyFill="1" applyBorder="1" applyAlignment="1" applyProtection="1">
      <alignment horizontal="center" vertical="center" wrapText="1"/>
    </xf>
    <xf numFmtId="0" fontId="3" fillId="2" borderId="86" xfId="0" applyFont="1" applyFill="1" applyBorder="1" applyAlignment="1" applyProtection="1">
      <alignment horizontal="center"/>
    </xf>
    <xf numFmtId="0" fontId="3" fillId="2" borderId="113" xfId="0" applyFont="1" applyFill="1" applyBorder="1" applyAlignment="1" applyProtection="1">
      <alignment horizont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4" borderId="7" xfId="0" applyNumberFormat="1" applyFont="1" applyFill="1" applyBorder="1" applyAlignment="1" applyProtection="1">
      <alignment horizontal="center" vertical="center"/>
    </xf>
    <xf numFmtId="165" fontId="6" fillId="4" borderId="8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</cellXfs>
  <cellStyles count="6">
    <cellStyle name="Comma" xfId="5" builtinId="3"/>
    <cellStyle name="Normal" xfId="0" builtinId="0"/>
    <cellStyle name="Normal 10" xfId="2"/>
    <cellStyle name="Normal 3 5" xfId="4"/>
    <cellStyle name="Percent" xfId="1" builtinId="5"/>
    <cellStyle name="TableLvl3" xf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71"/>
  <sheetViews>
    <sheetView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3" width="12.28515625" style="3" customWidth="1"/>
    <col min="24" max="16384" width="9.140625" style="3"/>
  </cols>
  <sheetData>
    <row r="1" spans="1:286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.5" thickBot="1" x14ac:dyDescent="0.3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9" customFormat="1" ht="15.75" x14ac:dyDescent="0.25">
      <c r="A3" s="1"/>
      <c r="B3" s="8"/>
      <c r="C3" s="260" t="s">
        <v>1</v>
      </c>
      <c r="D3" s="261"/>
      <c r="E3" s="261"/>
      <c r="F3" s="261"/>
      <c r="G3" s="261"/>
      <c r="H3" s="261"/>
      <c r="I3" s="261"/>
      <c r="J3" s="261"/>
      <c r="K3" s="261"/>
      <c r="L3" s="261"/>
      <c r="M3" s="261" t="s">
        <v>2</v>
      </c>
      <c r="N3" s="26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286" x14ac:dyDescent="0.25">
      <c r="B5" s="13" t="s">
        <v>15</v>
      </c>
      <c r="C5" s="14"/>
      <c r="D5" s="15">
        <v>172.1</v>
      </c>
      <c r="E5" s="16">
        <v>178.3</v>
      </c>
      <c r="F5" s="17">
        <v>180.4</v>
      </c>
      <c r="G5" s="18"/>
      <c r="H5" s="18"/>
      <c r="I5" s="18"/>
      <c r="J5" s="19"/>
      <c r="K5" s="19"/>
      <c r="L5" s="19"/>
      <c r="M5" s="20"/>
      <c r="N5" s="21"/>
    </row>
    <row r="6" spans="1:286" x14ac:dyDescent="0.25">
      <c r="B6" s="22" t="s">
        <v>16</v>
      </c>
      <c r="C6" s="23"/>
      <c r="D6" s="24"/>
      <c r="E6" s="25">
        <v>99.2</v>
      </c>
      <c r="F6" s="25">
        <v>100.4</v>
      </c>
      <c r="G6" s="25">
        <v>102.8</v>
      </c>
      <c r="H6" s="25">
        <v>105.9</v>
      </c>
      <c r="I6" s="25">
        <v>107.5</v>
      </c>
      <c r="J6" s="25">
        <v>108.6</v>
      </c>
      <c r="K6" s="26">
        <v>110.7</v>
      </c>
      <c r="L6" s="26">
        <v>113</v>
      </c>
      <c r="M6" s="26">
        <v>114.8</v>
      </c>
      <c r="N6" s="27">
        <f>M6*1.015</f>
        <v>116.52199999999999</v>
      </c>
      <c r="P6" s="3" t="s">
        <v>61</v>
      </c>
    </row>
    <row r="7" spans="1:286" x14ac:dyDescent="0.25">
      <c r="B7" s="28" t="s">
        <v>17</v>
      </c>
      <c r="C7" s="29"/>
      <c r="D7" s="30"/>
      <c r="E7" s="31">
        <f t="shared" ref="E7:F7" si="0">E5/D5-1</f>
        <v>3.6025566531086683E-2</v>
      </c>
      <c r="F7" s="31">
        <f t="shared" si="0"/>
        <v>1.1777902411665764E-2</v>
      </c>
      <c r="G7" s="31">
        <f t="shared" ref="G7:N7" si="1">+G6/F6-1</f>
        <v>2.3904382470119501E-2</v>
      </c>
      <c r="H7" s="31">
        <f t="shared" si="1"/>
        <v>3.0155642023346418E-2</v>
      </c>
      <c r="I7" s="31">
        <f t="shared" si="1"/>
        <v>1.5108593012275628E-2</v>
      </c>
      <c r="J7" s="31">
        <f t="shared" si="1"/>
        <v>1.0232558139534831E-2</v>
      </c>
      <c r="K7" s="31">
        <f t="shared" si="1"/>
        <v>1.9337016574585641E-2</v>
      </c>
      <c r="L7" s="31">
        <f t="shared" si="1"/>
        <v>2.0776874435411097E-2</v>
      </c>
      <c r="M7" s="31">
        <f t="shared" si="1"/>
        <v>1.5929203539823078E-2</v>
      </c>
      <c r="N7" s="32">
        <f t="shared" si="1"/>
        <v>1.4999999999999902E-2</v>
      </c>
    </row>
    <row r="8" spans="1:286" ht="15.75" thickBot="1" x14ac:dyDescent="0.3">
      <c r="B8" s="33" t="s">
        <v>18</v>
      </c>
      <c r="C8" s="34"/>
      <c r="D8" s="35">
        <f>E8/(1+E7)</f>
        <v>0.82199678630960737</v>
      </c>
      <c r="E8" s="36">
        <f t="shared" ref="E8:M8" si="2">F8/(1+F7)</f>
        <v>0.85160968622314359</v>
      </c>
      <c r="F8" s="36">
        <f t="shared" si="2"/>
        <v>0.86163986200030906</v>
      </c>
      <c r="G8" s="36">
        <f t="shared" si="2"/>
        <v>0.88223683081306548</v>
      </c>
      <c r="H8" s="36">
        <f t="shared" si="2"/>
        <v>0.90884124886287587</v>
      </c>
      <c r="I8" s="36">
        <f t="shared" si="2"/>
        <v>0.92257256140471333</v>
      </c>
      <c r="J8" s="36">
        <f t="shared" si="2"/>
        <v>0.93201283877722663</v>
      </c>
      <c r="K8" s="36">
        <f t="shared" si="2"/>
        <v>0.95003518648838847</v>
      </c>
      <c r="L8" s="36">
        <f t="shared" si="2"/>
        <v>0.96977394826728003</v>
      </c>
      <c r="M8" s="36">
        <f t="shared" si="2"/>
        <v>0.98522167487684742</v>
      </c>
      <c r="N8" s="37">
        <v>1</v>
      </c>
    </row>
    <row r="9" spans="1:28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0" customFormat="1" ht="18.75" x14ac:dyDescent="0.3">
      <c r="A12" s="1"/>
      <c r="B12" s="38" t="s">
        <v>19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86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.75" thickBot="1" x14ac:dyDescent="0.3">
      <c r="A14" s="1"/>
      <c r="B14" s="41" t="s">
        <v>20</v>
      </c>
      <c r="C14" s="42" t="s">
        <v>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47" customFormat="1" ht="16.5" thickBot="1" x14ac:dyDescent="0.3">
      <c r="A15" s="1"/>
      <c r="B15" s="43" t="s">
        <v>21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5"/>
      <c r="R15" s="45"/>
      <c r="S15" s="45"/>
      <c r="T15" s="46"/>
      <c r="U15" s="3"/>
      <c r="V15" s="3"/>
      <c r="W15" s="3"/>
      <c r="X15" s="3"/>
      <c r="Y15" s="3"/>
      <c r="Z15" s="3"/>
    </row>
    <row r="16" spans="1:286" x14ac:dyDescent="0.25">
      <c r="B16" s="2"/>
      <c r="C16" s="263" t="s">
        <v>22</v>
      </c>
      <c r="D16" s="264"/>
      <c r="E16" s="264"/>
      <c r="F16" s="264"/>
      <c r="G16" s="265"/>
      <c r="H16" s="266" t="s">
        <v>23</v>
      </c>
      <c r="I16" s="264"/>
      <c r="J16" s="264"/>
      <c r="K16" s="264"/>
      <c r="L16" s="267"/>
      <c r="M16" s="48"/>
      <c r="N16" s="246" t="s">
        <v>24</v>
      </c>
      <c r="O16" s="247"/>
      <c r="P16" s="247"/>
      <c r="Q16" s="247"/>
      <c r="R16" s="247"/>
      <c r="S16" s="247"/>
      <c r="T16" s="248"/>
    </row>
    <row r="17" spans="1:29" ht="15.75" thickBot="1" x14ac:dyDescent="0.3">
      <c r="B17" s="2"/>
      <c r="C17" s="249" t="s">
        <v>25</v>
      </c>
      <c r="D17" s="250"/>
      <c r="E17" s="250"/>
      <c r="F17" s="250"/>
      <c r="G17" s="251"/>
      <c r="H17" s="252" t="s">
        <v>26</v>
      </c>
      <c r="I17" s="253"/>
      <c r="J17" s="253"/>
      <c r="K17" s="253"/>
      <c r="L17" s="254"/>
      <c r="M17" s="48"/>
      <c r="N17" s="255" t="s">
        <v>25</v>
      </c>
      <c r="O17" s="256"/>
      <c r="P17" s="257" t="s">
        <v>26</v>
      </c>
      <c r="Q17" s="258"/>
      <c r="R17" s="258"/>
      <c r="S17" s="258"/>
      <c r="T17" s="259"/>
    </row>
    <row r="18" spans="1:29" ht="15.75" thickBot="1" x14ac:dyDescent="0.3">
      <c r="B18" s="2"/>
      <c r="C18" s="49" t="s">
        <v>5</v>
      </c>
      <c r="D18" s="50" t="s">
        <v>6</v>
      </c>
      <c r="E18" s="50" t="s">
        <v>7</v>
      </c>
      <c r="F18" s="50" t="s">
        <v>8</v>
      </c>
      <c r="G18" s="51" t="s">
        <v>9</v>
      </c>
      <c r="H18" s="52" t="s">
        <v>10</v>
      </c>
      <c r="I18" s="53" t="s">
        <v>11</v>
      </c>
      <c r="J18" s="53" t="s">
        <v>12</v>
      </c>
      <c r="K18" s="53" t="s">
        <v>13</v>
      </c>
      <c r="L18" s="54" t="s">
        <v>14</v>
      </c>
      <c r="M18" s="2"/>
      <c r="N18" s="55" t="str">
        <f>dms_PRCP_BaseYear</f>
        <v>2012-13</v>
      </c>
      <c r="O18" s="56" t="s">
        <v>9</v>
      </c>
      <c r="P18" s="57" t="s">
        <v>10</v>
      </c>
      <c r="Q18" s="57" t="s">
        <v>11</v>
      </c>
      <c r="R18" s="57" t="s">
        <v>12</v>
      </c>
      <c r="S18" s="57" t="s">
        <v>13</v>
      </c>
      <c r="T18" s="58" t="s">
        <v>14</v>
      </c>
    </row>
    <row r="19" spans="1:29" x14ac:dyDescent="0.25">
      <c r="B19" s="59" t="s">
        <v>27</v>
      </c>
      <c r="C19" s="60"/>
      <c r="D19" s="61"/>
      <c r="E19" s="61">
        <v>328.30390184451772</v>
      </c>
      <c r="F19" s="61">
        <v>336.32106030458186</v>
      </c>
      <c r="G19" s="62">
        <v>332.49457941542443</v>
      </c>
      <c r="H19" s="63">
        <v>342.54118021556735</v>
      </c>
      <c r="I19" s="64">
        <v>339.34408681520932</v>
      </c>
      <c r="J19" s="64">
        <v>344.09258204281139</v>
      </c>
      <c r="K19" s="64">
        <v>355.00227054753572</v>
      </c>
      <c r="L19" s="65">
        <v>357.17743063607014</v>
      </c>
      <c r="M19" s="2"/>
      <c r="N19" s="66">
        <f>+LOOKUP(dms_PRCP_BaseYear,C$18:G$18,C19:G19)/$D$8</f>
        <v>399.39803574957182</v>
      </c>
      <c r="O19" s="67">
        <f t="shared" ref="O19:O28" si="3">+G19/$D$8</f>
        <v>404.49620357784391</v>
      </c>
      <c r="P19" s="68">
        <f>+H19/$I$8</f>
        <v>371.28914791700777</v>
      </c>
      <c r="Q19" s="69">
        <f>+I19/$I$8</f>
        <v>367.82373659424945</v>
      </c>
      <c r="R19" s="69">
        <f>+J19/$I$8</f>
        <v>372.9707520445811</v>
      </c>
      <c r="S19" s="69">
        <f>+K19/$I$8</f>
        <v>384.79604249990655</v>
      </c>
      <c r="T19" s="70">
        <f>+L19/$I$8</f>
        <v>387.15375416349917</v>
      </c>
    </row>
    <row r="20" spans="1:29" x14ac:dyDescent="0.25">
      <c r="B20" s="71" t="s">
        <v>28</v>
      </c>
      <c r="C20" s="72"/>
      <c r="D20" s="73"/>
      <c r="E20" s="73"/>
      <c r="F20" s="73"/>
      <c r="G20" s="74"/>
      <c r="H20" s="75"/>
      <c r="I20" s="76"/>
      <c r="J20" s="76"/>
      <c r="K20" s="76"/>
      <c r="L20" s="77"/>
      <c r="M20" s="2"/>
      <c r="N20" s="78"/>
      <c r="O20" s="79"/>
      <c r="P20" s="80"/>
      <c r="Q20" s="81"/>
      <c r="R20" s="81"/>
      <c r="S20" s="81"/>
      <c r="T20" s="82"/>
    </row>
    <row r="21" spans="1:29" x14ac:dyDescent="0.25">
      <c r="B21" s="83" t="s">
        <v>29</v>
      </c>
      <c r="C21" s="84"/>
      <c r="D21" s="85"/>
      <c r="E21" s="85">
        <v>-5.0409934704565451</v>
      </c>
      <c r="F21" s="85">
        <v>-5.4836934343267476</v>
      </c>
      <c r="G21" s="86">
        <v>-5.8954602448499864</v>
      </c>
      <c r="H21" s="87">
        <v>-6.5481802155673687</v>
      </c>
      <c r="I21" s="88">
        <v>-6.7320868152092892</v>
      </c>
      <c r="J21" s="88">
        <v>-6.907582042811363</v>
      </c>
      <c r="K21" s="88">
        <v>-7.0382705475357392</v>
      </c>
      <c r="L21" s="89">
        <v>-7.1554306360701716</v>
      </c>
      <c r="M21" s="2"/>
      <c r="N21" s="90">
        <f t="shared" ref="N21:N28" si="4">+LOOKUP(dms_PRCP_BaseYear,C$18:G$18,C21:G21)/$D$8</f>
        <v>-6.1326194389254471</v>
      </c>
      <c r="O21" s="91">
        <f t="shared" si="3"/>
        <v>-7.1721207954083717</v>
      </c>
      <c r="P21" s="92">
        <f>H21/$I$8</f>
        <v>-7.0977400472403804</v>
      </c>
      <c r="Q21" s="92">
        <f t="shared" ref="Q21:T28" si="5">I21/$I$8</f>
        <v>-7.297081115179691</v>
      </c>
      <c r="R21" s="92">
        <f t="shared" si="5"/>
        <v>-7.4873048817903776</v>
      </c>
      <c r="S21" s="92">
        <f t="shared" si="5"/>
        <v>-7.6289614952554361</v>
      </c>
      <c r="T21" s="93">
        <f t="shared" si="5"/>
        <v>-7.7559543123364509</v>
      </c>
    </row>
    <row r="22" spans="1:29" x14ac:dyDescent="0.25">
      <c r="B22" s="94" t="s">
        <v>30</v>
      </c>
      <c r="C22" s="84"/>
      <c r="D22" s="85"/>
      <c r="E22" s="85"/>
      <c r="F22" s="85"/>
      <c r="G22" s="86"/>
      <c r="H22" s="87"/>
      <c r="I22" s="88"/>
      <c r="J22" s="88"/>
      <c r="K22" s="88"/>
      <c r="L22" s="89"/>
      <c r="M22" s="2"/>
      <c r="N22" s="90">
        <f t="shared" si="4"/>
        <v>0</v>
      </c>
      <c r="O22" s="91">
        <f t="shared" si="3"/>
        <v>0</v>
      </c>
      <c r="P22" s="92">
        <f t="shared" ref="P22:P28" si="6">H22/$I$8</f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3">
        <f t="shared" si="5"/>
        <v>0</v>
      </c>
    </row>
    <row r="23" spans="1:29" x14ac:dyDescent="0.25">
      <c r="B23" s="94" t="s">
        <v>31</v>
      </c>
      <c r="C23" s="84"/>
      <c r="D23" s="85"/>
      <c r="E23" s="85"/>
      <c r="F23" s="85"/>
      <c r="G23" s="86"/>
      <c r="H23" s="87"/>
      <c r="I23" s="88"/>
      <c r="J23" s="88"/>
      <c r="K23" s="88"/>
      <c r="L23" s="89"/>
      <c r="M23" s="2"/>
      <c r="N23" s="90"/>
      <c r="O23" s="91"/>
      <c r="P23" s="92"/>
      <c r="Q23" s="92"/>
      <c r="R23" s="92"/>
      <c r="S23" s="92"/>
      <c r="T23" s="93"/>
    </row>
    <row r="24" spans="1:29" x14ac:dyDescent="0.25">
      <c r="B24" s="94" t="s">
        <v>32</v>
      </c>
      <c r="C24" s="84"/>
      <c r="D24" s="85"/>
      <c r="E24" s="85"/>
      <c r="F24" s="85"/>
      <c r="G24" s="86"/>
      <c r="H24" s="87"/>
      <c r="I24" s="88"/>
      <c r="J24" s="88"/>
      <c r="K24" s="88"/>
      <c r="L24" s="89"/>
      <c r="M24" s="2"/>
      <c r="N24" s="90">
        <f t="shared" si="4"/>
        <v>0</v>
      </c>
      <c r="O24" s="91">
        <f t="shared" si="3"/>
        <v>0</v>
      </c>
      <c r="P24" s="92">
        <f t="shared" si="6"/>
        <v>0</v>
      </c>
      <c r="Q24" s="92">
        <f t="shared" si="5"/>
        <v>0</v>
      </c>
      <c r="R24" s="92">
        <f t="shared" si="5"/>
        <v>0</v>
      </c>
      <c r="S24" s="92">
        <f t="shared" si="5"/>
        <v>0</v>
      </c>
      <c r="T24" s="93">
        <f>L24/$I$8</f>
        <v>0</v>
      </c>
    </row>
    <row r="25" spans="1:29" x14ac:dyDescent="0.25">
      <c r="B25" s="94" t="s">
        <v>33</v>
      </c>
      <c r="C25" s="84"/>
      <c r="D25" s="85"/>
      <c r="E25" s="85"/>
      <c r="F25" s="85"/>
      <c r="G25" s="86"/>
      <c r="H25" s="87"/>
      <c r="I25" s="88"/>
      <c r="J25" s="88"/>
      <c r="K25" s="88"/>
      <c r="L25" s="89"/>
      <c r="M25" s="2"/>
      <c r="N25" s="90">
        <f t="shared" ref="N25" si="7">+LOOKUP(dms_PRCP_BaseYear,C$18:G$18,C25:G25)/$D$8</f>
        <v>0</v>
      </c>
      <c r="O25" s="91">
        <f t="shared" si="3"/>
        <v>0</v>
      </c>
      <c r="P25" s="92">
        <f t="shared" si="6"/>
        <v>0</v>
      </c>
      <c r="Q25" s="92">
        <f t="shared" si="5"/>
        <v>0</v>
      </c>
      <c r="R25" s="92">
        <f t="shared" si="5"/>
        <v>0</v>
      </c>
      <c r="S25" s="92">
        <f t="shared" si="5"/>
        <v>0</v>
      </c>
      <c r="T25" s="93">
        <f>L25/$I$8</f>
        <v>0</v>
      </c>
    </row>
    <row r="26" spans="1:29" x14ac:dyDescent="0.25">
      <c r="B26" s="95" t="s">
        <v>34</v>
      </c>
      <c r="C26" s="84"/>
      <c r="D26" s="85"/>
      <c r="E26" s="85">
        <v>150.30804656210125</v>
      </c>
      <c r="F26" s="85">
        <v>200.33256117726162</v>
      </c>
      <c r="G26" s="86">
        <v>173.25107529806019</v>
      </c>
      <c r="H26" s="87"/>
      <c r="I26" s="88"/>
      <c r="J26" s="88"/>
      <c r="K26" s="88"/>
      <c r="L26" s="89"/>
      <c r="M26" s="2"/>
      <c r="N26" s="90">
        <f t="shared" si="4"/>
        <v>182.85721923186122</v>
      </c>
      <c r="O26" s="91">
        <f t="shared" si="3"/>
        <v>210.7685555266936</v>
      </c>
      <c r="P26" s="92">
        <f t="shared" si="6"/>
        <v>0</v>
      </c>
      <c r="Q26" s="92">
        <f t="shared" si="5"/>
        <v>0</v>
      </c>
      <c r="R26" s="92">
        <f t="shared" si="5"/>
        <v>0</v>
      </c>
      <c r="S26" s="92">
        <f t="shared" si="5"/>
        <v>0</v>
      </c>
      <c r="T26" s="93">
        <f t="shared" si="5"/>
        <v>0</v>
      </c>
    </row>
    <row r="27" spans="1:29" x14ac:dyDescent="0.25">
      <c r="B27" s="96" t="s">
        <v>35</v>
      </c>
      <c r="C27" s="84"/>
      <c r="D27" s="85"/>
      <c r="E27" s="85"/>
      <c r="F27" s="85"/>
      <c r="G27" s="86"/>
      <c r="H27" s="87"/>
      <c r="I27" s="88"/>
      <c r="J27" s="88"/>
      <c r="K27" s="88"/>
      <c r="L27" s="89"/>
      <c r="M27" s="2"/>
      <c r="N27" s="90">
        <f t="shared" si="4"/>
        <v>0</v>
      </c>
      <c r="O27" s="91">
        <f t="shared" si="3"/>
        <v>0</v>
      </c>
      <c r="P27" s="92">
        <f t="shared" si="6"/>
        <v>0</v>
      </c>
      <c r="Q27" s="92">
        <f t="shared" si="5"/>
        <v>0</v>
      </c>
      <c r="R27" s="92">
        <f t="shared" si="5"/>
        <v>0</v>
      </c>
      <c r="S27" s="92">
        <f t="shared" si="5"/>
        <v>0</v>
      </c>
      <c r="T27" s="93">
        <f t="shared" si="5"/>
        <v>0</v>
      </c>
    </row>
    <row r="28" spans="1:29" ht="15.75" thickBot="1" x14ac:dyDescent="0.3">
      <c r="B28" s="97" t="s">
        <v>36</v>
      </c>
      <c r="C28" s="98"/>
      <c r="D28" s="99"/>
      <c r="E28" s="99"/>
      <c r="F28" s="99"/>
      <c r="G28" s="100"/>
      <c r="H28" s="101"/>
      <c r="I28" s="102"/>
      <c r="J28" s="102"/>
      <c r="K28" s="102"/>
      <c r="L28" s="103"/>
      <c r="M28" s="2"/>
      <c r="N28" s="104">
        <f t="shared" si="4"/>
        <v>0</v>
      </c>
      <c r="O28" s="105">
        <f t="shared" si="3"/>
        <v>0</v>
      </c>
      <c r="P28" s="106">
        <f t="shared" si="6"/>
        <v>0</v>
      </c>
      <c r="Q28" s="106">
        <f t="shared" si="5"/>
        <v>0</v>
      </c>
      <c r="R28" s="106">
        <f t="shared" si="5"/>
        <v>0</v>
      </c>
      <c r="S28" s="106">
        <f t="shared" si="5"/>
        <v>0</v>
      </c>
      <c r="T28" s="107">
        <f t="shared" si="5"/>
        <v>0</v>
      </c>
    </row>
    <row r="29" spans="1:29" ht="15.75" thickBot="1" x14ac:dyDescent="0.3">
      <c r="B29" s="108" t="s">
        <v>37</v>
      </c>
      <c r="C29" s="109">
        <f t="shared" ref="C29:G29" si="8">SUM(C19:C28)</f>
        <v>0</v>
      </c>
      <c r="D29" s="110">
        <f t="shared" si="8"/>
        <v>0</v>
      </c>
      <c r="E29" s="110">
        <f t="shared" si="8"/>
        <v>473.57095493616242</v>
      </c>
      <c r="F29" s="110">
        <f t="shared" si="8"/>
        <v>531.16992804751669</v>
      </c>
      <c r="G29" s="110">
        <f t="shared" si="8"/>
        <v>499.85019446863464</v>
      </c>
      <c r="H29" s="110">
        <f>SUM(H19:H28)</f>
        <v>335.99299999999999</v>
      </c>
      <c r="I29" s="110">
        <f>SUM(I19:I28)</f>
        <v>332.61200000000002</v>
      </c>
      <c r="J29" s="110">
        <f>SUM(J19:J28)</f>
        <v>337.185</v>
      </c>
      <c r="K29" s="110">
        <f>SUM(K19:K28)</f>
        <v>347.964</v>
      </c>
      <c r="L29" s="111">
        <f>SUM(L19:L28)</f>
        <v>350.02199999999999</v>
      </c>
      <c r="M29" s="2"/>
      <c r="N29" s="112">
        <f t="shared" ref="N29" si="9">+SUM(N19:N28)</f>
        <v>576.12263554250762</v>
      </c>
      <c r="O29" s="113">
        <f t="shared" ref="O29" si="10">+SUM(O19:O28)</f>
        <v>608.09263830912914</v>
      </c>
      <c r="P29" s="113">
        <f t="shared" ref="P29:T29" si="11">+SUM(P19:P28)</f>
        <v>364.19140786976737</v>
      </c>
      <c r="Q29" s="113">
        <f t="shared" si="11"/>
        <v>360.52665547906975</v>
      </c>
      <c r="R29" s="113">
        <f t="shared" si="11"/>
        <v>365.48344716279075</v>
      </c>
      <c r="S29" s="113">
        <f t="shared" si="11"/>
        <v>377.1670810046511</v>
      </c>
      <c r="T29" s="114">
        <f t="shared" si="11"/>
        <v>379.39779985116274</v>
      </c>
    </row>
    <row r="30" spans="1:29" ht="15.75" thickBo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AA30" s="2"/>
      <c r="AB30" s="2"/>
      <c r="AC30" s="2"/>
    </row>
    <row r="31" spans="1:29" s="47" customFormat="1" ht="16.5" thickBot="1" x14ac:dyDescent="0.3">
      <c r="A31" s="1"/>
      <c r="B31" s="43" t="s">
        <v>38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  <c r="U31" s="3"/>
      <c r="V31" s="3"/>
      <c r="W31" s="3"/>
      <c r="X31" s="3"/>
      <c r="Y31" s="3"/>
      <c r="Z31" s="3"/>
    </row>
    <row r="32" spans="1:29" x14ac:dyDescent="0.25">
      <c r="B32" s="115"/>
      <c r="C32" s="243" t="s">
        <v>39</v>
      </c>
      <c r="D32" s="244"/>
      <c r="E32" s="244"/>
      <c r="F32" s="244"/>
      <c r="G32" s="244"/>
      <c r="H32" s="244"/>
      <c r="I32" s="244"/>
      <c r="J32" s="244"/>
      <c r="K32" s="244"/>
      <c r="L32" s="245"/>
      <c r="M32" s="2"/>
      <c r="N32" s="246" t="s">
        <v>24</v>
      </c>
      <c r="O32" s="247"/>
      <c r="P32" s="247"/>
      <c r="Q32" s="247"/>
      <c r="R32" s="247"/>
      <c r="S32" s="247"/>
      <c r="T32" s="248"/>
    </row>
    <row r="33" spans="1:286" ht="15.75" thickBot="1" x14ac:dyDescent="0.3">
      <c r="B33" s="115"/>
      <c r="C33" s="249" t="s">
        <v>25</v>
      </c>
      <c r="D33" s="250"/>
      <c r="E33" s="250"/>
      <c r="F33" s="250"/>
      <c r="G33" s="251"/>
      <c r="H33" s="252" t="s">
        <v>26</v>
      </c>
      <c r="I33" s="253"/>
      <c r="J33" s="253"/>
      <c r="K33" s="253"/>
      <c r="L33" s="254"/>
      <c r="M33" s="2"/>
      <c r="N33" s="255" t="s">
        <v>25</v>
      </c>
      <c r="O33" s="256"/>
      <c r="P33" s="257" t="s">
        <v>26</v>
      </c>
      <c r="Q33" s="258"/>
      <c r="R33" s="258"/>
      <c r="S33" s="258"/>
      <c r="T33" s="259"/>
    </row>
    <row r="34" spans="1:286" ht="15.75" thickBot="1" x14ac:dyDescent="0.3">
      <c r="B34" s="116"/>
      <c r="C34" s="49" t="s">
        <v>5</v>
      </c>
      <c r="D34" s="50" t="s">
        <v>6</v>
      </c>
      <c r="E34" s="50" t="s">
        <v>7</v>
      </c>
      <c r="F34" s="50" t="s">
        <v>8</v>
      </c>
      <c r="G34" s="51" t="s">
        <v>9</v>
      </c>
      <c r="H34" s="52" t="s">
        <v>10</v>
      </c>
      <c r="I34" s="53" t="s">
        <v>11</v>
      </c>
      <c r="J34" s="53" t="s">
        <v>12</v>
      </c>
      <c r="K34" s="53" t="s">
        <v>13</v>
      </c>
      <c r="L34" s="54" t="s">
        <v>14</v>
      </c>
      <c r="M34" s="2"/>
      <c r="N34" s="55" t="str">
        <f>dms_PRCP_BaseYear</f>
        <v>2012-13</v>
      </c>
      <c r="O34" s="56" t="s">
        <v>9</v>
      </c>
      <c r="P34" s="57" t="s">
        <v>10</v>
      </c>
      <c r="Q34" s="57" t="s">
        <v>11</v>
      </c>
      <c r="R34" s="57" t="s">
        <v>12</v>
      </c>
      <c r="S34" s="57" t="s">
        <v>13</v>
      </c>
      <c r="T34" s="58" t="s">
        <v>14</v>
      </c>
    </row>
    <row r="35" spans="1:286" x14ac:dyDescent="0.25">
      <c r="B35" s="117" t="s">
        <v>40</v>
      </c>
      <c r="C35" s="118"/>
      <c r="D35" s="61"/>
      <c r="E35" s="61">
        <v>572.02560000000005</v>
      </c>
      <c r="F35" s="61">
        <v>606.78139999999996</v>
      </c>
      <c r="G35" s="62">
        <v>598.59585795999999</v>
      </c>
      <c r="H35" s="63">
        <v>348.63534177298664</v>
      </c>
      <c r="I35" s="64">
        <v>356.07981861999968</v>
      </c>
      <c r="J35" s="64">
        <v>364.05069212000018</v>
      </c>
      <c r="K35" s="119">
        <v>350.66307999999998</v>
      </c>
      <c r="L35" s="120"/>
      <c r="M35" s="2"/>
      <c r="N35" s="121">
        <f>+LOOKUP(dms_PRCP_BaseYear,C$34:G$34,C35:G35)/LOOKUP(dms_PRCP_BaseYear,C$4:N$4,C$8:N$8)*(1+LOOKUP(dms_PRCP_BaseYear,C$4:N$4,C$7:N$7))^0.5</f>
        <v>656.0848085163683</v>
      </c>
      <c r="O35" s="122">
        <f>+G35/I$8*(1+I$7)^0.5</f>
        <v>653.71646790538614</v>
      </c>
      <c r="P35" s="123">
        <f>+H35/J$8*(1+J$7)^0.5</f>
        <v>375.97606288177889</v>
      </c>
      <c r="Q35" s="124">
        <f>+I35/K$8*(1+K$7)^0.5</f>
        <v>378.41345270794864</v>
      </c>
      <c r="R35" s="124">
        <f>+J35/L$8*(1+L$7)^0.5</f>
        <v>379.27722010709601</v>
      </c>
      <c r="S35" s="125">
        <f>+K35/M$8*(1+M$7)^0.5</f>
        <v>358.7466114238066</v>
      </c>
      <c r="T35" s="126"/>
    </row>
    <row r="36" spans="1:286" x14ac:dyDescent="0.25">
      <c r="B36" s="127" t="s">
        <v>41</v>
      </c>
      <c r="C36" s="128"/>
      <c r="D36" s="73"/>
      <c r="E36" s="73"/>
      <c r="F36" s="73"/>
      <c r="G36" s="129"/>
      <c r="H36" s="128"/>
      <c r="I36" s="73"/>
      <c r="J36" s="73"/>
      <c r="K36" s="130"/>
      <c r="L36" s="120"/>
      <c r="M36" s="2"/>
      <c r="N36" s="78"/>
      <c r="O36" s="79"/>
      <c r="P36" s="80"/>
      <c r="Q36" s="81"/>
      <c r="R36" s="81"/>
      <c r="S36" s="79"/>
      <c r="T36" s="131"/>
    </row>
    <row r="37" spans="1:286" x14ac:dyDescent="0.25">
      <c r="B37" s="132" t="str">
        <f>B21</f>
        <v>Debt raising costs</v>
      </c>
      <c r="C37" s="133"/>
      <c r="D37" s="85"/>
      <c r="E37" s="85">
        <v>-4.4810999999999996</v>
      </c>
      <c r="F37" s="85">
        <v>-4.5151000000000003</v>
      </c>
      <c r="G37" s="86">
        <v>-4.7797777000000004</v>
      </c>
      <c r="H37" s="87">
        <v>-4.7187846929867945</v>
      </c>
      <c r="I37" s="88">
        <v>0</v>
      </c>
      <c r="J37" s="88">
        <v>0</v>
      </c>
      <c r="K37" s="134">
        <v>0</v>
      </c>
      <c r="L37" s="120"/>
      <c r="M37" s="2"/>
      <c r="N37" s="135">
        <f>+LOOKUP(dms_PRCP_BaseYear,C$34:G$34,C37:G37)/LOOKUP(dms_PRCP_BaseYear,C$4:N$4,C$8:N$8)*(1+LOOKUP(dms_PRCP_BaseYear,C$4:N$4,C$7:N$7))^0.5</f>
        <v>-5.1395980100238479</v>
      </c>
      <c r="O37" s="136">
        <f t="shared" ref="O37:S46" si="12">G37/I$8*(1+I$7)^0.5</f>
        <v>-5.2199148287887533</v>
      </c>
      <c r="P37" s="137">
        <f t="shared" si="12"/>
        <v>-5.0888417721322519</v>
      </c>
      <c r="Q37" s="137">
        <f t="shared" si="12"/>
        <v>0</v>
      </c>
      <c r="R37" s="137">
        <f t="shared" si="12"/>
        <v>0</v>
      </c>
      <c r="S37" s="138">
        <f t="shared" si="12"/>
        <v>0</v>
      </c>
      <c r="T37" s="131"/>
    </row>
    <row r="38" spans="1:286" x14ac:dyDescent="0.25">
      <c r="B38" s="139" t="str">
        <f>B22</f>
        <v>Self insurance</v>
      </c>
      <c r="C38" s="133"/>
      <c r="D38" s="85"/>
      <c r="E38" s="85"/>
      <c r="F38" s="85"/>
      <c r="G38" s="86"/>
      <c r="H38" s="87"/>
      <c r="I38" s="88"/>
      <c r="J38" s="88"/>
      <c r="K38" s="134"/>
      <c r="L38" s="120"/>
      <c r="M38" s="2"/>
      <c r="N38" s="135">
        <f>+LOOKUP(dms_PRCP_BaseYear,C$34:G$34,C38:G38)/LOOKUP(dms_PRCP_BaseYear,C$4:N$4,C$8:N$8)*(1+LOOKUP(dms_PRCP_BaseYear,C$4:N$4,C$7:N$7))^0.5</f>
        <v>0</v>
      </c>
      <c r="O38" s="136">
        <f t="shared" si="12"/>
        <v>0</v>
      </c>
      <c r="P38" s="137">
        <f t="shared" si="12"/>
        <v>0</v>
      </c>
      <c r="Q38" s="137">
        <f t="shared" si="12"/>
        <v>0</v>
      </c>
      <c r="R38" s="137">
        <f t="shared" si="12"/>
        <v>0</v>
      </c>
      <c r="S38" s="138">
        <f t="shared" si="12"/>
        <v>0</v>
      </c>
      <c r="T38" s="131"/>
    </row>
    <row r="39" spans="1:286" x14ac:dyDescent="0.25">
      <c r="B39" s="139" t="s">
        <v>42</v>
      </c>
      <c r="C39" s="133"/>
      <c r="D39" s="85"/>
      <c r="E39" s="85"/>
      <c r="F39" s="85"/>
      <c r="G39" s="86"/>
      <c r="H39" s="87"/>
      <c r="I39" s="88"/>
      <c r="J39" s="88"/>
      <c r="K39" s="134"/>
      <c r="L39" s="120"/>
      <c r="M39" s="2"/>
      <c r="N39" s="135">
        <f>+LOOKUP(dms_PRCP_BaseYear,C$34:G$34,C39:G39)/LOOKUP(dms_PRCP_BaseYear,C$4:N$4,C$8:N$8)*(1+LOOKUP(dms_PRCP_BaseYear,C$4:N$4,C$7:N$7))^0.5</f>
        <v>0</v>
      </c>
      <c r="O39" s="136">
        <f t="shared" si="12"/>
        <v>0</v>
      </c>
      <c r="P39" s="137">
        <f t="shared" si="12"/>
        <v>0</v>
      </c>
      <c r="Q39" s="137">
        <f t="shared" si="12"/>
        <v>0</v>
      </c>
      <c r="R39" s="137">
        <f t="shared" si="12"/>
        <v>0</v>
      </c>
      <c r="S39" s="138">
        <f t="shared" si="12"/>
        <v>0</v>
      </c>
      <c r="T39" s="131"/>
      <c r="V39" s="231" t="s">
        <v>43</v>
      </c>
      <c r="W39" s="232"/>
    </row>
    <row r="40" spans="1:286" x14ac:dyDescent="0.25">
      <c r="B40" s="139" t="str">
        <f>B25</f>
        <v>Non-network alternatives</v>
      </c>
      <c r="C40" s="133"/>
      <c r="D40" s="85"/>
      <c r="E40" s="85"/>
      <c r="F40" s="85"/>
      <c r="G40" s="86"/>
      <c r="H40" s="87"/>
      <c r="I40" s="88"/>
      <c r="J40" s="88"/>
      <c r="K40" s="134"/>
      <c r="L40" s="120"/>
      <c r="M40" s="2"/>
      <c r="N40" s="135">
        <f>+LOOKUP(dms_PRCP_BaseYear,C$34:G$34,C40:G40)/LOOKUP(dms_PRCP_BaseYear,C$4:N$4,C$8:N$8)*(1+LOOKUP(dms_PRCP_BaseYear,C$4:N$4,C$7:N$7))^0.5</f>
        <v>0</v>
      </c>
      <c r="O40" s="136">
        <f t="shared" si="12"/>
        <v>0</v>
      </c>
      <c r="P40" s="137">
        <f t="shared" si="12"/>
        <v>0</v>
      </c>
      <c r="Q40" s="137">
        <f t="shared" si="12"/>
        <v>0</v>
      </c>
      <c r="R40" s="137">
        <f t="shared" si="12"/>
        <v>0</v>
      </c>
      <c r="S40" s="138">
        <f t="shared" si="12"/>
        <v>0</v>
      </c>
      <c r="T40" s="131"/>
      <c r="V40" s="233"/>
      <c r="W40" s="234"/>
    </row>
    <row r="41" spans="1:286" x14ac:dyDescent="0.25">
      <c r="B41" s="132" t="s">
        <v>44</v>
      </c>
      <c r="C41" s="133"/>
      <c r="D41" s="85"/>
      <c r="E41" s="85">
        <v>0</v>
      </c>
      <c r="F41" s="85">
        <v>0</v>
      </c>
      <c r="G41" s="86">
        <v>-1.2394932900000002</v>
      </c>
      <c r="H41" s="87">
        <v>-0.31803482999999994</v>
      </c>
      <c r="I41" s="88">
        <v>-0.40414925000000002</v>
      </c>
      <c r="J41" s="88">
        <v>-0.48344681999999983</v>
      </c>
      <c r="K41" s="134">
        <v>-0.37400597000000002</v>
      </c>
      <c r="L41" s="120"/>
      <c r="M41" s="2"/>
      <c r="N41" s="135">
        <f>+LOOKUP(dms_PRCP_BaseYear,C$34:G$34,C41:G41)/LOOKUP(dms_PRCP_BaseYear,C$4:N$4,C$8:N$8)*(1+LOOKUP(dms_PRCP_BaseYear,C$4:N$4,C$7:N$7))^0.5</f>
        <v>0</v>
      </c>
      <c r="O41" s="136">
        <f t="shared" si="12"/>
        <v>-1.3536297733376095</v>
      </c>
      <c r="P41" s="137">
        <f t="shared" si="12"/>
        <v>-0.34297579423412533</v>
      </c>
      <c r="Q41" s="137">
        <f t="shared" si="12"/>
        <v>-0.42949784038459432</v>
      </c>
      <c r="R41" s="137">
        <f t="shared" si="12"/>
        <v>-0.50366712638682598</v>
      </c>
      <c r="S41" s="138">
        <f t="shared" si="12"/>
        <v>-0.38262760479310765</v>
      </c>
      <c r="T41" s="131"/>
      <c r="V41" s="233"/>
      <c r="W41" s="234"/>
    </row>
    <row r="42" spans="1:286" x14ac:dyDescent="0.25">
      <c r="B42" s="139" t="s">
        <v>45</v>
      </c>
      <c r="C42" s="133"/>
      <c r="D42" s="85"/>
      <c r="E42" s="85"/>
      <c r="F42" s="85"/>
      <c r="G42" s="86"/>
      <c r="H42" s="87"/>
      <c r="I42" s="88"/>
      <c r="J42" s="88"/>
      <c r="K42" s="134"/>
      <c r="L42" s="120"/>
      <c r="M42" s="2"/>
      <c r="N42" s="135"/>
      <c r="O42" s="136"/>
      <c r="P42" s="137"/>
      <c r="Q42" s="137"/>
      <c r="R42" s="137"/>
      <c r="S42" s="138"/>
      <c r="T42" s="131"/>
      <c r="V42" s="233"/>
      <c r="W42" s="234"/>
    </row>
    <row r="43" spans="1:286" x14ac:dyDescent="0.25">
      <c r="B43" s="140" t="s">
        <v>35</v>
      </c>
      <c r="C43" s="133"/>
      <c r="D43" s="85"/>
      <c r="E43" s="85"/>
      <c r="F43" s="85"/>
      <c r="G43" s="86"/>
      <c r="H43" s="87"/>
      <c r="I43" s="88"/>
      <c r="J43" s="88"/>
      <c r="K43" s="134"/>
      <c r="L43" s="120"/>
      <c r="M43" s="2"/>
      <c r="N43" s="135">
        <f>+LOOKUP(dms_PRCP_BaseYear,C$34:G$34,C43:G43)/LOOKUP(dms_PRCP_BaseYear,C$4:N$4,C$8:N$8)*(1+LOOKUP(dms_PRCP_BaseYear,C$4:N$4,C$7:N$7))^0.5</f>
        <v>0</v>
      </c>
      <c r="O43" s="136">
        <f t="shared" si="12"/>
        <v>0</v>
      </c>
      <c r="P43" s="137">
        <f t="shared" si="12"/>
        <v>0</v>
      </c>
      <c r="Q43" s="137">
        <f t="shared" si="12"/>
        <v>0</v>
      </c>
      <c r="R43" s="137">
        <f t="shared" si="12"/>
        <v>0</v>
      </c>
      <c r="S43" s="138">
        <f t="shared" si="12"/>
        <v>0</v>
      </c>
      <c r="T43" s="131"/>
      <c r="V43" s="233"/>
      <c r="W43" s="234"/>
    </row>
    <row r="44" spans="1:286" ht="15" customHeight="1" x14ac:dyDescent="0.25">
      <c r="B44" s="140" t="s">
        <v>46</v>
      </c>
      <c r="C44" s="133"/>
      <c r="D44" s="85"/>
      <c r="E44" s="85">
        <v>3.6229305201470221</v>
      </c>
      <c r="F44" s="85">
        <v>15.841517635297789</v>
      </c>
      <c r="G44" s="86">
        <v>-10.952402520846643</v>
      </c>
      <c r="H44" s="87">
        <v>12.199943806078219</v>
      </c>
      <c r="I44" s="88">
        <v>-4.8317418209311846E-2</v>
      </c>
      <c r="J44" s="88">
        <v>1.0743056732744947</v>
      </c>
      <c r="K44" s="134">
        <v>1.6033200000000001</v>
      </c>
      <c r="L44" s="120"/>
      <c r="M44" s="2"/>
      <c r="N44" s="135">
        <f>+LOOKUP(dms_PRCP_BaseYear,C$34:G$34,C44:G44)/LOOKUP(dms_PRCP_BaseYear,C$4:N$4,C$8:N$8)*(1+LOOKUP(dms_PRCP_BaseYear,C$4:N$4,C$7:N$7))^0.5</f>
        <v>4.1553204552012462</v>
      </c>
      <c r="O44" s="136">
        <f t="shared" si="12"/>
        <v>-11.960934570122522</v>
      </c>
      <c r="P44" s="137">
        <f t="shared" si="12"/>
        <v>13.156689210742659</v>
      </c>
      <c r="Q44" s="137">
        <f t="shared" si="12"/>
        <v>-5.1347928454299266E-2</v>
      </c>
      <c r="R44" s="137">
        <f t="shared" si="12"/>
        <v>1.1192388261427164</v>
      </c>
      <c r="S44" s="138">
        <f t="shared" si="12"/>
        <v>1.6402799434374946</v>
      </c>
      <c r="T44" s="141"/>
      <c r="V44" s="233"/>
      <c r="W44" s="234"/>
    </row>
    <row r="45" spans="1:286" ht="15" customHeight="1" x14ac:dyDescent="0.25">
      <c r="B45" s="140"/>
      <c r="C45" s="133"/>
      <c r="D45" s="85"/>
      <c r="E45" s="85"/>
      <c r="F45" s="85"/>
      <c r="G45" s="86"/>
      <c r="H45" s="87"/>
      <c r="I45" s="88"/>
      <c r="J45" s="88"/>
      <c r="K45" s="134"/>
      <c r="L45" s="120"/>
      <c r="M45" s="2"/>
      <c r="N45" s="135">
        <f>+LOOKUP(dms_PRCP_BaseYear,C$34:G$34,C45:G45)/LOOKUP(dms_PRCP_BaseYear,C$4:N$4,C$8:N$8)*(1+LOOKUP(dms_PRCP_BaseYear,C$4:N$4,C$7:N$7))^0.5</f>
        <v>0</v>
      </c>
      <c r="O45" s="136">
        <f t="shared" si="12"/>
        <v>0</v>
      </c>
      <c r="P45" s="137">
        <f t="shared" si="12"/>
        <v>0</v>
      </c>
      <c r="Q45" s="137">
        <f t="shared" si="12"/>
        <v>0</v>
      </c>
      <c r="R45" s="137">
        <f t="shared" si="12"/>
        <v>0</v>
      </c>
      <c r="S45" s="138">
        <f t="shared" si="12"/>
        <v>0</v>
      </c>
      <c r="T45" s="141"/>
      <c r="V45" s="233"/>
      <c r="W45" s="234"/>
    </row>
    <row r="46" spans="1:286" ht="15.75" customHeight="1" thickBot="1" x14ac:dyDescent="0.3">
      <c r="B46" s="142"/>
      <c r="C46" s="143"/>
      <c r="D46" s="99"/>
      <c r="E46" s="99"/>
      <c r="F46" s="99"/>
      <c r="G46" s="100"/>
      <c r="H46" s="101"/>
      <c r="I46" s="102"/>
      <c r="J46" s="102"/>
      <c r="K46" s="144"/>
      <c r="L46" s="120"/>
      <c r="M46" s="2"/>
      <c r="N46" s="145">
        <f>+LOOKUP(dms_PRCP_BaseYear,C$34:G$34,C46:G46)/LOOKUP(dms_PRCP_BaseYear,C$4:N$4,C$8:N$8)*(1+LOOKUP(dms_PRCP_BaseYear,C$4:N$4,C$7:N$7))^0.5</f>
        <v>0</v>
      </c>
      <c r="O46" s="146">
        <f t="shared" si="12"/>
        <v>0</v>
      </c>
      <c r="P46" s="147">
        <f t="shared" si="12"/>
        <v>0</v>
      </c>
      <c r="Q46" s="147">
        <f t="shared" si="12"/>
        <v>0</v>
      </c>
      <c r="R46" s="147">
        <f t="shared" si="12"/>
        <v>0</v>
      </c>
      <c r="S46" s="148">
        <f t="shared" si="12"/>
        <v>0</v>
      </c>
      <c r="T46" s="149"/>
      <c r="V46" s="233"/>
      <c r="W46" s="234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54" customFormat="1" ht="15.75" customHeight="1" thickBot="1" x14ac:dyDescent="0.3">
      <c r="A47" s="1"/>
      <c r="B47" s="150" t="s">
        <v>47</v>
      </c>
      <c r="C47" s="110">
        <f t="shared" ref="C47:G47" si="13">SUM(C35:C46)</f>
        <v>0</v>
      </c>
      <c r="D47" s="110">
        <f t="shared" si="13"/>
        <v>0</v>
      </c>
      <c r="E47" s="110">
        <f t="shared" si="13"/>
        <v>571.16743052014715</v>
      </c>
      <c r="F47" s="110">
        <f t="shared" si="13"/>
        <v>618.10781763529781</v>
      </c>
      <c r="G47" s="110">
        <f t="shared" si="13"/>
        <v>581.6241844491534</v>
      </c>
      <c r="H47" s="113">
        <f>SUM(H35:H46)</f>
        <v>355.7984660560781</v>
      </c>
      <c r="I47" s="113">
        <f>SUM(I35:I46)</f>
        <v>355.62735195179039</v>
      </c>
      <c r="J47" s="113">
        <f>SUM(J35:J46)</f>
        <v>364.64155097327466</v>
      </c>
      <c r="K47" s="113">
        <f>SUM(K35:K46)</f>
        <v>351.89239402999999</v>
      </c>
      <c r="L47" s="151"/>
      <c r="M47" s="2"/>
      <c r="N47" s="112">
        <f t="shared" ref="N47" si="14">N35+SUM(N37:N46)</f>
        <v>655.1005309615457</v>
      </c>
      <c r="O47" s="113">
        <f t="shared" ref="O47" si="15">O35+SUM(O37:O46)</f>
        <v>635.18198873313725</v>
      </c>
      <c r="P47" s="113">
        <f t="shared" ref="P47:R47" si="16">P35+SUM(P37:P46)</f>
        <v>383.70093452615515</v>
      </c>
      <c r="Q47" s="113">
        <f t="shared" si="16"/>
        <v>377.93260693910975</v>
      </c>
      <c r="R47" s="113">
        <f t="shared" si="16"/>
        <v>379.8927918068519</v>
      </c>
      <c r="S47" s="113">
        <f>S35+SUM(S37:S46)</f>
        <v>360.00426376245099</v>
      </c>
      <c r="T47" s="152">
        <f>(T29-(LOOKUP(U47,P18:T18,P29:T29)-LOOKUP(U47,P34:T34,P47:T47)))+U48</f>
        <v>362.23498260896264</v>
      </c>
      <c r="U47" s="153" t="s">
        <v>13</v>
      </c>
      <c r="V47" s="235"/>
      <c r="W47" s="236"/>
      <c r="X47" s="3"/>
      <c r="Y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customFormat="1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55">
        <f>-25.0848855829998*0</f>
        <v>0</v>
      </c>
      <c r="V48" s="156" t="s">
        <v>48</v>
      </c>
      <c r="X48" s="3"/>
      <c r="Y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</row>
    <row r="50" spans="1:286" customFormat="1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s="161" customFormat="1" ht="18.75" thickBo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57" t="s">
        <v>49</v>
      </c>
      <c r="O51" s="158"/>
      <c r="P51" s="159"/>
      <c r="Q51" s="158"/>
      <c r="R51" s="158"/>
      <c r="S51" s="158"/>
      <c r="T51" s="160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</row>
    <row r="52" spans="1:286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2"/>
      <c r="O52" s="163"/>
      <c r="P52" s="164">
        <f>(P29-P47)-(O29-O47)+IF(N18=O18,O29-O47,N29-N47)</f>
        <v>-71.398071651417752</v>
      </c>
      <c r="Q52" s="165">
        <f>(Q29-Q47)-(P29-P47)</f>
        <v>2.1035751963477765</v>
      </c>
      <c r="R52" s="165">
        <f>(R29-R47)-(Q29-Q47)</f>
        <v>2.9966068159788506</v>
      </c>
      <c r="S52" s="165">
        <f>(S29-S47)-(R29-R47)</f>
        <v>31.572161886261256</v>
      </c>
      <c r="T52" s="166">
        <f>(T29-T47)-(S29-S47)</f>
        <v>0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</row>
    <row r="53" spans="1:286" ht="23.25" customHeight="1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86" s="161" customFormat="1" ht="18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67" t="s">
        <v>50</v>
      </c>
      <c r="O54" s="168"/>
      <c r="P54" s="158"/>
      <c r="Q54" s="158"/>
      <c r="R54" s="158"/>
      <c r="S54" s="158"/>
      <c r="T54" s="158"/>
      <c r="U54" s="158"/>
      <c r="V54" s="158"/>
      <c r="W54" s="158"/>
      <c r="X54" s="158"/>
      <c r="Y54" s="169"/>
      <c r="Z54" s="170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</row>
    <row r="55" spans="1:286" ht="30" customHeight="1" x14ac:dyDescent="0.25">
      <c r="C55" s="171"/>
      <c r="D55" s="171"/>
      <c r="E55" s="171"/>
      <c r="F55" s="171"/>
      <c r="G55" s="48"/>
      <c r="H55" s="48"/>
      <c r="I55" s="48"/>
      <c r="J55" s="172"/>
      <c r="K55" s="48"/>
      <c r="L55" s="48"/>
      <c r="M55" s="2"/>
      <c r="N55" s="173"/>
      <c r="O55" s="174"/>
      <c r="P55" s="237" t="s">
        <v>26</v>
      </c>
      <c r="Q55" s="238"/>
      <c r="R55" s="238"/>
      <c r="S55" s="238"/>
      <c r="T55" s="238"/>
      <c r="U55" s="239" t="s">
        <v>51</v>
      </c>
      <c r="V55" s="240"/>
      <c r="W55" s="240"/>
      <c r="X55" s="240"/>
      <c r="Y55" s="240"/>
      <c r="Z55" s="175"/>
    </row>
    <row r="56" spans="1:286" x14ac:dyDescent="0.25">
      <c r="C56" s="171"/>
      <c r="D56" s="171"/>
      <c r="E56" s="171"/>
      <c r="F56" s="171"/>
      <c r="G56" s="48"/>
      <c r="H56" s="48"/>
      <c r="I56" s="48"/>
      <c r="J56" s="48"/>
      <c r="K56" s="48"/>
      <c r="L56" s="48"/>
      <c r="M56" s="2"/>
      <c r="N56" s="176"/>
      <c r="O56" s="177"/>
      <c r="P56" s="178" t="s">
        <v>52</v>
      </c>
      <c r="Q56" s="179"/>
      <c r="R56" s="179"/>
      <c r="S56" s="179"/>
      <c r="T56" s="179"/>
      <c r="U56" s="179"/>
      <c r="V56" s="179"/>
      <c r="W56" s="180"/>
      <c r="X56" s="181"/>
      <c r="Y56" s="182"/>
      <c r="Z56" s="183"/>
    </row>
    <row r="57" spans="1:286" ht="15.75" thickBot="1" x14ac:dyDescent="0.3">
      <c r="C57" s="171"/>
      <c r="D57" s="171"/>
      <c r="E57" s="171"/>
      <c r="F57" s="171"/>
      <c r="G57" s="48"/>
      <c r="H57" s="48"/>
      <c r="I57" s="48"/>
      <c r="J57" s="48"/>
      <c r="K57" s="48"/>
      <c r="L57" s="48"/>
      <c r="M57" s="2"/>
      <c r="N57" s="176"/>
      <c r="O57" s="177"/>
      <c r="P57" s="184" t="s">
        <v>10</v>
      </c>
      <c r="Q57" s="185" t="s">
        <v>11</v>
      </c>
      <c r="R57" s="185" t="s">
        <v>12</v>
      </c>
      <c r="S57" s="185" t="s">
        <v>13</v>
      </c>
      <c r="T57" s="185" t="s">
        <v>14</v>
      </c>
      <c r="U57" s="186" t="s">
        <v>53</v>
      </c>
      <c r="V57" s="186" t="s">
        <v>54</v>
      </c>
      <c r="W57" s="186" t="s">
        <v>55</v>
      </c>
      <c r="X57" s="186" t="s">
        <v>56</v>
      </c>
      <c r="Y57" s="186" t="s">
        <v>57</v>
      </c>
      <c r="Z57" s="187" t="s">
        <v>58</v>
      </c>
    </row>
    <row r="58" spans="1:286" ht="15.75" thickBot="1" x14ac:dyDescent="0.3">
      <c r="B58" s="48"/>
      <c r="C58" s="2"/>
      <c r="D58" s="2"/>
      <c r="E58" s="2"/>
      <c r="F58" s="2"/>
      <c r="G58" s="2"/>
      <c r="H58" s="48"/>
      <c r="I58" s="48"/>
      <c r="J58" s="48"/>
      <c r="K58" s="48"/>
      <c r="L58" s="48"/>
      <c r="M58" s="48"/>
      <c r="N58" s="241" t="s">
        <v>10</v>
      </c>
      <c r="O58" s="242"/>
      <c r="P58" s="188"/>
      <c r="Q58" s="189">
        <f>$P$52</f>
        <v>-71.398071651417752</v>
      </c>
      <c r="R58" s="190">
        <f>$P$52</f>
        <v>-71.398071651417752</v>
      </c>
      <c r="S58" s="191">
        <f>$P$52</f>
        <v>-71.398071651417752</v>
      </c>
      <c r="T58" s="190">
        <f>$P$52</f>
        <v>-71.398071651417752</v>
      </c>
      <c r="U58" s="192">
        <f>$P$52</f>
        <v>-71.398071651417752</v>
      </c>
      <c r="V58" s="193"/>
      <c r="W58" s="193"/>
      <c r="X58" s="193"/>
      <c r="Y58" s="193"/>
      <c r="Z58" s="194"/>
    </row>
    <row r="59" spans="1:28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27" t="s">
        <v>11</v>
      </c>
      <c r="O59" s="228"/>
      <c r="P59" s="188"/>
      <c r="Q59" s="188"/>
      <c r="R59" s="195">
        <f>$Q$52</f>
        <v>2.1035751963477765</v>
      </c>
      <c r="S59" s="196">
        <f>$Q$52</f>
        <v>2.1035751963477765</v>
      </c>
      <c r="T59" s="197">
        <f>$Q$52</f>
        <v>2.1035751963477765</v>
      </c>
      <c r="U59" s="196">
        <f>$Q$52</f>
        <v>2.1035751963477765</v>
      </c>
      <c r="V59" s="192">
        <f>$Q$52</f>
        <v>2.1035751963477765</v>
      </c>
      <c r="W59" s="193"/>
      <c r="X59" s="193"/>
      <c r="Y59" s="193"/>
      <c r="Z59" s="194"/>
    </row>
    <row r="60" spans="1:28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27" t="s">
        <v>12</v>
      </c>
      <c r="O60" s="228"/>
      <c r="P60" s="193"/>
      <c r="Q60" s="193"/>
      <c r="R60" s="188"/>
      <c r="S60" s="198">
        <f>$R$52</f>
        <v>2.9966068159788506</v>
      </c>
      <c r="T60" s="197">
        <f>$R$52</f>
        <v>2.9966068159788506</v>
      </c>
      <c r="U60" s="196">
        <f>$R$52</f>
        <v>2.9966068159788506</v>
      </c>
      <c r="V60" s="197">
        <f>$R$52</f>
        <v>2.9966068159788506</v>
      </c>
      <c r="W60" s="199">
        <f>$R$52</f>
        <v>2.9966068159788506</v>
      </c>
      <c r="X60" s="200"/>
      <c r="Y60" s="193"/>
      <c r="Z60" s="194"/>
    </row>
    <row r="61" spans="1:28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27" t="s">
        <v>13</v>
      </c>
      <c r="O61" s="228"/>
      <c r="P61" s="193"/>
      <c r="Q61" s="193"/>
      <c r="R61" s="193"/>
      <c r="S61" s="188"/>
      <c r="T61" s="195">
        <f>$S$52</f>
        <v>31.572161886261256</v>
      </c>
      <c r="U61" s="197">
        <f>$S$52</f>
        <v>31.572161886261256</v>
      </c>
      <c r="V61" s="201">
        <f>$S$52</f>
        <v>31.572161886261256</v>
      </c>
      <c r="W61" s="196">
        <f>$S$52</f>
        <v>31.572161886261256</v>
      </c>
      <c r="X61" s="202">
        <f>$S$52</f>
        <v>31.572161886261256</v>
      </c>
      <c r="Y61" s="200"/>
      <c r="Z61" s="194"/>
    </row>
    <row r="62" spans="1:28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29" t="s">
        <v>14</v>
      </c>
      <c r="O62" s="230"/>
      <c r="P62" s="203"/>
      <c r="Q62" s="203"/>
      <c r="R62" s="193"/>
      <c r="S62" s="203"/>
      <c r="T62" s="188"/>
      <c r="U62" s="198">
        <f>+$T$52</f>
        <v>0</v>
      </c>
      <c r="V62" s="204">
        <f>+$T$52</f>
        <v>0</v>
      </c>
      <c r="W62" s="205">
        <f>+$T$52</f>
        <v>0</v>
      </c>
      <c r="X62" s="206">
        <f>+$T$52</f>
        <v>0</v>
      </c>
      <c r="Y62" s="207">
        <f>+$T$52</f>
        <v>0</v>
      </c>
      <c r="Z62" s="194"/>
    </row>
    <row r="63" spans="1:286" s="154" customFormat="1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08" t="s">
        <v>59</v>
      </c>
      <c r="O63" s="209"/>
      <c r="P63" s="210"/>
      <c r="Q63" s="210"/>
      <c r="R63" s="210"/>
      <c r="S63" s="210"/>
      <c r="T63" s="211"/>
      <c r="U63" s="212">
        <f>+SUM(U58:U62)</f>
        <v>-34.725727752829869</v>
      </c>
      <c r="V63" s="213">
        <f>+SUM(V59:V62)</f>
        <v>36.672343898587883</v>
      </c>
      <c r="W63" s="214">
        <f>+SUM(W60:W62)</f>
        <v>34.568768702240106</v>
      </c>
      <c r="X63" s="215">
        <f>+SUM(X61:X62)</f>
        <v>31.572161886261256</v>
      </c>
      <c r="Y63" s="215">
        <f>+SUM(Y62)</f>
        <v>0</v>
      </c>
      <c r="Z63" s="216">
        <f>+SUM(U63:Y63)</f>
        <v>68.087546734259377</v>
      </c>
    </row>
    <row r="64" spans="1:286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17"/>
      <c r="O64" s="217"/>
      <c r="P64" s="217"/>
      <c r="Q64" s="217"/>
      <c r="R64" s="217"/>
      <c r="S64" s="217"/>
      <c r="T64" s="217"/>
      <c r="U64" s="218"/>
      <c r="V64" s="218"/>
      <c r="W64" s="218"/>
      <c r="X64" s="218"/>
      <c r="Y64" s="218"/>
      <c r="Z64" s="219"/>
    </row>
    <row r="65" spans="1:26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20" t="s">
        <v>60</v>
      </c>
      <c r="O65" s="221"/>
      <c r="P65" s="222"/>
      <c r="Q65" s="222"/>
      <c r="R65" s="222"/>
      <c r="S65" s="222"/>
      <c r="T65" s="223"/>
      <c r="U65" s="224">
        <f>U63</f>
        <v>-34.725727752829869</v>
      </c>
      <c r="V65" s="224">
        <f>V63</f>
        <v>36.672343898587883</v>
      </c>
      <c r="W65" s="224">
        <f>W63</f>
        <v>34.568768702240106</v>
      </c>
      <c r="X65" s="225">
        <f>X63</f>
        <v>31.572161886261256</v>
      </c>
      <c r="Y65" s="225">
        <f>Y63</f>
        <v>0</v>
      </c>
      <c r="Z65" s="216">
        <f>+SUM(U65:Y65)</f>
        <v>68.087546734259377</v>
      </c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U67" s="226"/>
      <c r="V67" s="226"/>
      <c r="W67" s="226"/>
      <c r="X67" s="226"/>
      <c r="Y67" s="226"/>
      <c r="Z67" s="226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23">
    <mergeCell ref="C17:G17"/>
    <mergeCell ref="H17:L17"/>
    <mergeCell ref="N17:O17"/>
    <mergeCell ref="P17:T17"/>
    <mergeCell ref="C3:L3"/>
    <mergeCell ref="M3:N3"/>
    <mergeCell ref="C16:G16"/>
    <mergeCell ref="H16:L16"/>
    <mergeCell ref="N16:T16"/>
    <mergeCell ref="C32:L32"/>
    <mergeCell ref="N32:T32"/>
    <mergeCell ref="C33:G33"/>
    <mergeCell ref="H33:L33"/>
    <mergeCell ref="N33:O33"/>
    <mergeCell ref="P33:T33"/>
    <mergeCell ref="N61:O61"/>
    <mergeCell ref="N62:O62"/>
    <mergeCell ref="V39:W47"/>
    <mergeCell ref="P55:T55"/>
    <mergeCell ref="U55:Y55"/>
    <mergeCell ref="N58:O58"/>
    <mergeCell ref="N59:O59"/>
    <mergeCell ref="N60:O60"/>
  </mergeCells>
  <conditionalFormatting sqref="F19 F35 F37:F46 F21:F28">
    <cfRule type="expression" dxfId="3" priority="4">
      <formula>dms_PRCP_BaseYear=PRCP_y4</formula>
    </cfRule>
  </conditionalFormatting>
  <conditionalFormatting sqref="E19 E21:E28 E35 E37:E46">
    <cfRule type="expression" dxfId="2" priority="3">
      <formula>dms_PRCP_BaseYear=PRCP_y3</formula>
    </cfRule>
  </conditionalFormatting>
  <conditionalFormatting sqref="D19 D21:D28 D35 D37:D46">
    <cfRule type="expression" dxfId="1" priority="2">
      <formula>dms_PRCP_BaseYear=PRCP_y2</formula>
    </cfRule>
  </conditionalFormatting>
  <conditionalFormatting sqref="C19 C21:C28 C35 C37:C46">
    <cfRule type="expression" dxfId="0" priority="1">
      <formula>dms_PRCP_BaseYear=PRCP_y1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decision</vt:lpstr>
      <vt:lpstr>'Final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2020-05-18T00:29:21Z</dcterms:created>
  <dcterms:modified xsi:type="dcterms:W3CDTF">2020-05-27T07:28:02Z</dcterms:modified>
</cp:coreProperties>
</file>