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EQ SAPN 2020-25\EQ Opex models\"/>
    </mc:Choice>
  </mc:AlternateContent>
  <bookViews>
    <workbookView xWindow="2130" yWindow="1560" windowWidth="8670" windowHeight="4785" tabRatio="807" activeTab="1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62" i="55" l="1"/>
  <c r="C95" i="2" l="1" a="1"/>
  <c r="C99" i="2" s="1"/>
  <c r="N91" i="2" a="1"/>
  <c r="N91" i="2" s="1"/>
  <c r="C98" i="2" l="1"/>
  <c r="C96" i="2"/>
  <c r="C97" i="2"/>
  <c r="C95" i="2"/>
  <c r="J91" i="2" l="1" a="1"/>
  <c r="J91" i="2" s="1"/>
  <c r="K91" i="2" a="1"/>
  <c r="K91" i="2" s="1"/>
  <c r="L91" i="2" a="1"/>
  <c r="L91" i="2" s="1"/>
  <c r="M91" i="2" a="1"/>
  <c r="M91" i="2" s="1"/>
  <c r="T105" i="2" l="1"/>
  <c r="S105" i="2"/>
  <c r="R105" i="2"/>
  <c r="Q105" i="2"/>
  <c r="T65" i="55" l="1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G70" i="4"/>
  <c r="G69" i="4"/>
  <c r="G68" i="4"/>
  <c r="G67" i="4"/>
  <c r="G75" i="4"/>
  <c r="G74" i="4"/>
  <c r="G73" i="4"/>
  <c r="G72" i="4"/>
  <c r="G65" i="4"/>
  <c r="H65" i="4"/>
  <c r="Q38" i="2" l="1"/>
  <c r="R38" i="2"/>
  <c r="S38" i="2"/>
  <c r="T38" i="2"/>
  <c r="P38" i="2"/>
  <c r="F47" i="58" l="1"/>
  <c r="F42" i="58"/>
  <c r="F43" i="58"/>
  <c r="F44" i="58"/>
  <c r="F45" i="58"/>
  <c r="F41" i="58"/>
  <c r="C79" i="4" l="1"/>
  <c r="K47" i="58" l="1"/>
  <c r="L47" i="58"/>
  <c r="M47" i="58"/>
  <c r="N47" i="58"/>
  <c r="O47" i="58"/>
  <c r="P47" i="58"/>
  <c r="Q47" i="58"/>
  <c r="R47" i="58"/>
  <c r="S47" i="58"/>
  <c r="J47" i="58"/>
  <c r="W56" i="58"/>
  <c r="W29" i="58"/>
  <c r="T91" i="2" l="1" a="1"/>
  <c r="T91" i="2" s="1"/>
  <c r="S91" i="2" a="1"/>
  <c r="S91" i="2" s="1"/>
  <c r="R91" i="2" a="1"/>
  <c r="R91" i="2" s="1"/>
  <c r="Q91" i="2"/>
  <c r="Q91" i="2" a="1"/>
  <c r="P91" i="2" a="1"/>
  <c r="P91" i="2" s="1"/>
  <c r="O91" i="2" a="1"/>
  <c r="O91" i="2" s="1"/>
  <c r="C89" i="2"/>
  <c r="C88" i="2"/>
  <c r="C87" i="2"/>
  <c r="C86" i="2"/>
  <c r="C85" i="2"/>
  <c r="C84" i="2"/>
  <c r="W91" i="2" l="1"/>
  <c r="S1" i="58" l="1"/>
  <c r="F38" i="53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1" i="4"/>
  <c r="G66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H69" i="4"/>
  <c r="H68" i="4"/>
  <c r="H67" i="4"/>
  <c r="H75" i="4"/>
  <c r="H74" i="4"/>
  <c r="H73" i="4"/>
  <c r="H72" i="4"/>
  <c r="H71" i="4"/>
  <c r="H66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O35" i="42" s="1"/>
  <c r="N4" i="42"/>
  <c r="M4" i="42"/>
  <c r="L4" i="42"/>
  <c r="K4" i="42"/>
  <c r="K35" i="42" s="1"/>
  <c r="J4" i="42"/>
  <c r="J35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T93" i="2" s="1"/>
  <c r="S4" i="2"/>
  <c r="S93" i="2" s="1"/>
  <c r="R4" i="2"/>
  <c r="R93" i="2" s="1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P99" i="2" l="1"/>
  <c r="P98" i="2"/>
  <c r="T99" i="2"/>
  <c r="T98" i="2"/>
  <c r="R98" i="2"/>
  <c r="R99" i="2"/>
  <c r="S98" i="2"/>
  <c r="S99" i="2"/>
  <c r="Q99" i="2"/>
  <c r="Q98" i="2"/>
  <c r="N34" i="58"/>
  <c r="R34" i="58"/>
  <c r="R96" i="2"/>
  <c r="R95" i="2"/>
  <c r="R97" i="2"/>
  <c r="K97" i="2"/>
  <c r="K96" i="2"/>
  <c r="K95" i="2"/>
  <c r="K99" i="2"/>
  <c r="O97" i="2"/>
  <c r="O96" i="2"/>
  <c r="O95" i="2"/>
  <c r="O99" i="2"/>
  <c r="S97" i="2"/>
  <c r="S96" i="2"/>
  <c r="S95" i="2"/>
  <c r="L99" i="2"/>
  <c r="L97" i="2"/>
  <c r="L96" i="2"/>
  <c r="L95" i="2"/>
  <c r="P97" i="2"/>
  <c r="P96" i="2"/>
  <c r="P95" i="2"/>
  <c r="T97" i="2"/>
  <c r="T95" i="2"/>
  <c r="T96" i="2"/>
  <c r="N96" i="2"/>
  <c r="N97" i="2"/>
  <c r="N99" i="2"/>
  <c r="N95" i="2"/>
  <c r="M95" i="2"/>
  <c r="M99" i="2"/>
  <c r="M97" i="2"/>
  <c r="M96" i="2"/>
  <c r="Q95" i="2"/>
  <c r="Q97" i="2"/>
  <c r="Q96" i="2"/>
  <c r="J96" i="2"/>
  <c r="J97" i="2"/>
  <c r="J95" i="2"/>
  <c r="J99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S12" i="2" s="1"/>
  <c r="O10" i="2"/>
  <c r="K10" i="2"/>
  <c r="K12" i="2" s="1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J12" i="2" s="1"/>
  <c r="Q10" i="2"/>
  <c r="Q12" i="2" s="1"/>
  <c r="M10" i="2"/>
  <c r="M12" i="2" s="1"/>
  <c r="K14" i="2"/>
  <c r="O14" i="2"/>
  <c r="S14" i="2"/>
  <c r="J47" i="2"/>
  <c r="M73" i="2"/>
  <c r="Q73" i="2"/>
  <c r="J103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L12" i="2" s="1"/>
  <c r="P62" i="2"/>
  <c r="P73" i="2"/>
  <c r="P14" i="2"/>
  <c r="P10" i="2"/>
  <c r="P12" i="2" s="1"/>
  <c r="R62" i="2"/>
  <c r="R73" i="2"/>
  <c r="R14" i="2"/>
  <c r="R10" i="2"/>
  <c r="R12" i="2" s="1"/>
  <c r="T62" i="2"/>
  <c r="T73" i="2"/>
  <c r="T14" i="2"/>
  <c r="T10" i="2"/>
  <c r="T12" i="2" s="1"/>
  <c r="J26" i="53"/>
  <c r="J10" i="53"/>
  <c r="R26" i="53"/>
  <c r="R10" i="53"/>
  <c r="L49" i="42"/>
  <c r="L23" i="2"/>
  <c r="P23" i="2"/>
  <c r="T23" i="2"/>
  <c r="R34" i="2"/>
  <c r="N34" i="2"/>
  <c r="N47" i="2"/>
  <c r="R47" i="2"/>
  <c r="L103" i="2"/>
  <c r="P103" i="2"/>
  <c r="T103" i="2"/>
  <c r="L10" i="53"/>
  <c r="P26" i="53"/>
  <c r="K34" i="58"/>
  <c r="K10" i="58"/>
  <c r="Q34" i="58"/>
  <c r="Q10" i="58"/>
  <c r="N62" i="2"/>
  <c r="N73" i="2"/>
  <c r="N14" i="2"/>
  <c r="N10" i="2"/>
  <c r="N12" i="2" s="1"/>
  <c r="N26" i="53"/>
  <c r="N10" i="53"/>
  <c r="J49" i="42"/>
  <c r="N23" i="2"/>
  <c r="R23" i="2"/>
  <c r="T34" i="2"/>
  <c r="P34" i="2"/>
  <c r="L34" i="2"/>
  <c r="L47" i="2"/>
  <c r="P47" i="2"/>
  <c r="T47" i="2"/>
  <c r="N103" i="2"/>
  <c r="R10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3" i="2"/>
  <c r="M103" i="2"/>
  <c r="O103" i="2"/>
  <c r="Q103" i="2"/>
  <c r="S103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7" i="2"/>
  <c r="S107" i="2"/>
  <c r="Q107" i="2"/>
  <c r="O107" i="2"/>
  <c r="M107" i="2"/>
  <c r="C24" i="4"/>
  <c r="S9" i="54"/>
  <c r="O12" i="2" l="1"/>
  <c r="K14" i="42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 s="1"/>
  <c r="L88" i="42"/>
  <c r="L72" i="42"/>
  <c r="L58" i="42"/>
  <c r="L61" i="42" s="1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K61" i="42" s="1"/>
  <c r="M58" i="42"/>
  <c r="M61" i="42" s="1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7" i="2"/>
  <c r="L71" i="2"/>
  <c r="N58" i="2"/>
  <c r="N45" i="2"/>
  <c r="N107" i="2"/>
  <c r="N71" i="2"/>
  <c r="P58" i="2"/>
  <c r="P107" i="2"/>
  <c r="P71" i="2"/>
  <c r="R58" i="2"/>
  <c r="R107" i="2"/>
  <c r="R71" i="2"/>
  <c r="T58" i="2"/>
  <c r="T107" i="2"/>
  <c r="T71" i="2"/>
  <c r="J58" i="2"/>
  <c r="J107" i="2"/>
  <c r="J71" i="2"/>
  <c r="J45" i="2"/>
  <c r="S71" i="2"/>
  <c r="Q71" i="2"/>
  <c r="O71" i="2"/>
  <c r="M71" i="2"/>
  <c r="K71" i="2"/>
  <c r="J68" i="42" l="1" a="1"/>
  <c r="J68" i="42" s="1"/>
  <c r="L68" i="42" a="1"/>
  <c r="L68" i="42" s="1"/>
  <c r="K68" i="42" a="1"/>
  <c r="K68" i="42" s="1"/>
  <c r="K100" i="42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22" i="53"/>
  <c r="W40" i="53"/>
  <c r="W32" i="53"/>
  <c r="W58" i="2"/>
  <c r="W107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S1" i="53"/>
  <c r="G14" i="16" s="1"/>
  <c r="D12" i="16"/>
  <c r="D13" i="16"/>
  <c r="D14" i="16"/>
  <c r="D15" i="16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5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s="1" a="1"/>
  <c r="M68" i="42" s="1"/>
  <c r="N68" i="42" l="1" a="1"/>
  <c r="N68" i="42" s="1"/>
  <c r="S1" i="16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W1" i="55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P13" i="42" s="1"/>
  <c r="P26" i="42" s="1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R13" i="42" l="1"/>
  <c r="R26" i="42" s="1"/>
  <c r="S13" i="42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N19" i="2"/>
  <c r="N28" i="2" s="1"/>
  <c r="Q13" i="42"/>
  <c r="Q26" i="42" s="1"/>
  <c r="J25" i="2"/>
  <c r="N29" i="2"/>
  <c r="M20" i="42" l="1"/>
  <c r="M16" i="2"/>
  <c r="M25" i="2" s="1"/>
  <c r="L21" i="2"/>
  <c r="L20" i="2"/>
  <c r="L29" i="2" s="1"/>
  <c r="M17" i="2"/>
  <c r="K19" i="2"/>
  <c r="K28" i="2" s="1"/>
  <c r="O19" i="2"/>
  <c r="O28" i="2" s="1"/>
  <c r="N20" i="42" s="1"/>
  <c r="N18" i="2"/>
  <c r="N27" i="2" s="1"/>
  <c r="J18" i="2"/>
  <c r="J27" i="2" s="1"/>
  <c r="N16" i="2"/>
  <c r="P28" i="2"/>
  <c r="O20" i="42" s="1"/>
  <c r="P26" i="2"/>
  <c r="P27" i="2"/>
  <c r="M30" i="2"/>
  <c r="M13" i="42"/>
  <c r="M26" i="42" s="1"/>
  <c r="M27" i="2"/>
  <c r="N13" i="42" l="1"/>
  <c r="N26" i="42" s="1"/>
  <c r="O13" i="42"/>
  <c r="O26" i="42" s="1"/>
  <c r="L20" i="42"/>
  <c r="L13" i="42"/>
  <c r="L26" i="42" s="1"/>
  <c r="K21" i="2"/>
  <c r="O18" i="2"/>
  <c r="J19" i="2"/>
  <c r="J28" i="2" s="1"/>
  <c r="N17" i="2"/>
  <c r="M26" i="2"/>
  <c r="K20" i="2"/>
  <c r="K29" i="2" s="1"/>
  <c r="O16" i="2"/>
  <c r="L24" i="42" s="1"/>
  <c r="N25" i="2"/>
  <c r="L30" i="2"/>
  <c r="N24" i="42" l="1"/>
  <c r="J24" i="42"/>
  <c r="Q22" i="42"/>
  <c r="N22" i="42"/>
  <c r="M24" i="42"/>
  <c r="K17" i="42"/>
  <c r="J22" i="42"/>
  <c r="L22" i="42"/>
  <c r="P22" i="42"/>
  <c r="S17" i="42"/>
  <c r="S22" i="42"/>
  <c r="Q24" i="42"/>
  <c r="S15" i="42"/>
  <c r="O15" i="42"/>
  <c r="O74" i="42"/>
  <c r="M38" i="42"/>
  <c r="O38" i="42"/>
  <c r="S38" i="42"/>
  <c r="Q38" i="42"/>
  <c r="L38" i="42"/>
  <c r="K74" i="42"/>
  <c r="R38" i="42"/>
  <c r="R74" i="42"/>
  <c r="P74" i="42"/>
  <c r="P38" i="42"/>
  <c r="J74" i="42"/>
  <c r="M74" i="42"/>
  <c r="L74" i="42"/>
  <c r="J38" i="42"/>
  <c r="S74" i="42"/>
  <c r="N38" i="42"/>
  <c r="Q74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O17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O29" i="42" s="1"/>
  <c r="N26" i="2"/>
  <c r="O27" i="2"/>
  <c r="P25" i="2"/>
  <c r="O25" i="2"/>
  <c r="K30" i="2"/>
  <c r="M50" i="42" l="1"/>
  <c r="J41" i="42"/>
  <c r="O82" i="42"/>
  <c r="Q41" i="42"/>
  <c r="J92" i="42"/>
  <c r="N41" i="42"/>
  <c r="L29" i="42"/>
  <c r="O76" i="42"/>
  <c r="L50" i="42"/>
  <c r="O75" i="42"/>
  <c r="K50" i="42"/>
  <c r="R76" i="42"/>
  <c r="J50" i="42"/>
  <c r="R90" i="42"/>
  <c r="R14" i="44" s="1"/>
  <c r="P76" i="42"/>
  <c r="L44" i="42"/>
  <c r="L47" i="42"/>
  <c r="R75" i="42"/>
  <c r="S41" i="42"/>
  <c r="O79" i="42"/>
  <c r="Q78" i="42"/>
  <c r="N91" i="42"/>
  <c r="N15" i="44" s="1"/>
  <c r="O91" i="42"/>
  <c r="O15" i="44" s="1"/>
  <c r="R44" i="42"/>
  <c r="R91" i="42"/>
  <c r="R15" i="44" s="1"/>
  <c r="R50" i="42"/>
  <c r="K82" i="42"/>
  <c r="O81" i="42"/>
  <c r="S77" i="42"/>
  <c r="O92" i="42"/>
  <c r="O16" i="44" s="1"/>
  <c r="R92" i="42"/>
  <c r="R16" i="44" s="1"/>
  <c r="N77" i="42"/>
  <c r="N81" i="42"/>
  <c r="K78" i="42"/>
  <c r="L79" i="42"/>
  <c r="M41" i="42"/>
  <c r="M78" i="42"/>
  <c r="L91" i="42"/>
  <c r="N90" i="42"/>
  <c r="P47" i="42"/>
  <c r="R81" i="42"/>
  <c r="Q81" i="42"/>
  <c r="M47" i="42"/>
  <c r="S76" i="42"/>
  <c r="P81" i="42"/>
  <c r="R41" i="42"/>
  <c r="S79" i="42"/>
  <c r="L41" i="42"/>
  <c r="J29" i="42"/>
  <c r="P41" i="42"/>
  <c r="J90" i="42"/>
  <c r="L78" i="42"/>
  <c r="K81" i="42"/>
  <c r="Q75" i="42"/>
  <c r="O77" i="42"/>
  <c r="P44" i="42"/>
  <c r="N78" i="42"/>
  <c r="M90" i="42"/>
  <c r="P82" i="42"/>
  <c r="J81" i="42"/>
  <c r="S91" i="42"/>
  <c r="S15" i="44" s="1"/>
  <c r="N44" i="42"/>
  <c r="Q77" i="42"/>
  <c r="J77" i="42"/>
  <c r="N29" i="42"/>
  <c r="O78" i="42"/>
  <c r="J91" i="42"/>
  <c r="P78" i="42"/>
  <c r="Q47" i="42"/>
  <c r="O47" i="42"/>
  <c r="K92" i="42"/>
  <c r="S82" i="42"/>
  <c r="L75" i="42"/>
  <c r="R78" i="42"/>
  <c r="S50" i="42"/>
  <c r="M82" i="42"/>
  <c r="O50" i="42"/>
  <c r="O44" i="42"/>
  <c r="L81" i="42"/>
  <c r="O41" i="42"/>
  <c r="P92" i="42"/>
  <c r="P16" i="44" s="1"/>
  <c r="N80" i="42"/>
  <c r="K75" i="42"/>
  <c r="S81" i="42"/>
  <c r="M80" i="42"/>
  <c r="R82" i="42"/>
  <c r="K76" i="42"/>
  <c r="J44" i="42"/>
  <c r="R77" i="42"/>
  <c r="M77" i="42"/>
  <c r="S80" i="42"/>
  <c r="R80" i="42"/>
  <c r="Q90" i="42"/>
  <c r="Q14" i="44" s="1"/>
  <c r="P79" i="42"/>
  <c r="K77" i="42"/>
  <c r="J75" i="42"/>
  <c r="M79" i="42"/>
  <c r="K29" i="42"/>
  <c r="S44" i="42"/>
  <c r="R79" i="42"/>
  <c r="S29" i="42"/>
  <c r="M75" i="42"/>
  <c r="P80" i="42"/>
  <c r="N92" i="42"/>
  <c r="N16" i="44" s="1"/>
  <c r="K79" i="42"/>
  <c r="M29" i="42"/>
  <c r="L92" i="42"/>
  <c r="Q44" i="42"/>
  <c r="L82" i="42"/>
  <c r="Q50" i="42"/>
  <c r="O90" i="42"/>
  <c r="O94" i="42" s="1"/>
  <c r="P90" i="42"/>
  <c r="P14" i="44" s="1"/>
  <c r="N75" i="42"/>
  <c r="K90" i="42"/>
  <c r="N47" i="42"/>
  <c r="N50" i="42"/>
  <c r="L77" i="42"/>
  <c r="P77" i="42"/>
  <c r="P91" i="42"/>
  <c r="P15" i="44" s="1"/>
  <c r="Q91" i="42"/>
  <c r="Q15" i="44" s="1"/>
  <c r="J79" i="42"/>
  <c r="L76" i="42"/>
  <c r="Q82" i="42"/>
  <c r="N82" i="42"/>
  <c r="Q29" i="42"/>
  <c r="J78" i="42"/>
  <c r="K80" i="42"/>
  <c r="S90" i="42"/>
  <c r="S78" i="42"/>
  <c r="Q76" i="42"/>
  <c r="P29" i="42"/>
  <c r="P50" i="42"/>
  <c r="K44" i="42"/>
  <c r="M92" i="42"/>
  <c r="M16" i="44" s="1"/>
  <c r="Q80" i="42"/>
  <c r="J76" i="42"/>
  <c r="O80" i="42"/>
  <c r="K41" i="42"/>
  <c r="P75" i="42"/>
  <c r="M76" i="42"/>
  <c r="R29" i="42"/>
  <c r="S92" i="42"/>
  <c r="S16" i="44" s="1"/>
  <c r="K91" i="42"/>
  <c r="K94" i="42" s="1"/>
  <c r="S47" i="42"/>
  <c r="M44" i="42"/>
  <c r="J82" i="42"/>
  <c r="L90" i="42"/>
  <c r="L94" i="42" s="1"/>
  <c r="M81" i="42"/>
  <c r="Q79" i="42"/>
  <c r="Q92" i="42"/>
  <c r="Q16" i="44" s="1"/>
  <c r="R47" i="42"/>
  <c r="J47" i="42"/>
  <c r="N79" i="42"/>
  <c r="L80" i="42"/>
  <c r="K47" i="42"/>
  <c r="M91" i="42"/>
  <c r="M15" i="44" s="1"/>
  <c r="N76" i="42"/>
  <c r="J80" i="42"/>
  <c r="S75" i="42"/>
  <c r="J94" i="42"/>
  <c r="N14" i="44"/>
  <c r="M14" i="44"/>
  <c r="J13" i="42"/>
  <c r="J26" i="42" s="1"/>
  <c r="J20" i="42"/>
  <c r="O26" i="2"/>
  <c r="O33" i="42"/>
  <c r="S94" i="42" l="1"/>
  <c r="N84" i="42"/>
  <c r="K84" i="42"/>
  <c r="S52" i="42"/>
  <c r="S54" i="42" s="1"/>
  <c r="O14" i="44"/>
  <c r="S14" i="44"/>
  <c r="J84" i="42"/>
  <c r="O84" i="42"/>
  <c r="Q84" i="42"/>
  <c r="M84" i="42"/>
  <c r="J52" i="42"/>
  <c r="J54" i="42" s="1"/>
  <c r="P84" i="42"/>
  <c r="P52" i="42"/>
  <c r="P54" i="42" s="1"/>
  <c r="L84" i="42"/>
  <c r="R52" i="42"/>
  <c r="R54" i="42" s="1"/>
  <c r="R84" i="42"/>
  <c r="Q52" i="42"/>
  <c r="Q54" i="42" s="1"/>
  <c r="P94" i="42"/>
  <c r="R94" i="42"/>
  <c r="S84" i="42"/>
  <c r="K52" i="42"/>
  <c r="K54" i="42" s="1"/>
  <c r="M94" i="42"/>
  <c r="Q94" i="42"/>
  <c r="N94" i="42"/>
  <c r="L35" i="42"/>
  <c r="M35" i="42"/>
  <c r="L33" i="42"/>
  <c r="L52" i="42" s="1"/>
  <c r="N35" i="42"/>
  <c r="O52" i="42"/>
  <c r="O54" i="42" s="1"/>
  <c r="L54" i="42" l="1"/>
  <c r="M100" i="42" l="1"/>
  <c r="M13" i="44" s="1"/>
  <c r="M101" i="42"/>
  <c r="M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1" i="42" s="1"/>
  <c r="N102" i="42" s="1"/>
  <c r="N100" i="42" l="1"/>
  <c r="N13" i="44" s="1"/>
  <c r="Q100" i="42"/>
  <c r="Q101" i="42"/>
  <c r="S101" i="42"/>
  <c r="R100" i="42"/>
  <c r="P101" i="42"/>
  <c r="R101" i="42"/>
  <c r="O101" i="42"/>
  <c r="O100" i="42"/>
  <c r="P100" i="42"/>
  <c r="S100" i="42"/>
  <c r="P102" i="42" l="1"/>
  <c r="S102" i="42"/>
  <c r="Q102" i="42"/>
  <c r="O102" i="42"/>
  <c r="S13" i="44"/>
  <c r="R13" i="44"/>
  <c r="O13" i="44"/>
  <c r="P13" i="44"/>
  <c r="Q13" i="44"/>
  <c r="R102" i="42"/>
</calcChain>
</file>

<file path=xl/sharedStrings.xml><?xml version="1.0" encoding="utf-8"?>
<sst xmlns="http://schemas.openxmlformats.org/spreadsheetml/2006/main" count="708" uniqueCount="217">
  <si>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</si>
  <si>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</si>
  <si>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</si>
  <si>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</si>
  <si>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</si>
  <si>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</si>
  <si>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</si>
  <si>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</si>
  <si>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</si>
  <si>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</si>
  <si>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</si>
  <si>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</si>
  <si>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</si>
  <si>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</si>
  <si>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</si>
  <si>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</si>
  <si>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</si>
  <si>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</si>
  <si>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</si>
  <si>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</si>
  <si>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</si>
  <si>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</si>
  <si>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</si>
  <si>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</si>
  <si>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</si>
  <si>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</si>
  <si>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</si>
  <si>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</si>
  <si>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</si>
  <si>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</si>
  <si>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</si>
  <si>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</si>
  <si>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</si>
  <si>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</si>
  <si>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</si>
  <si>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</si>
  <si>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</si>
  <si>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</si>
  <si>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</si>
  <si>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</si>
  <si>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</si>
  <si>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</si>
  <si>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</si>
  <si>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</si>
  <si>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</si>
  <si>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</si>
  <si>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</si>
  <si>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</si>
  <si>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</si>
  <si>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</si>
  <si>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</si>
  <si>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</si>
  <si>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</si>
  <si>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</si>
  <si>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</si>
  <si>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</si>
  <si>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</si>
  <si>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</si>
  <si>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</si>
  <si>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</si>
  <si>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</si>
  <si>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</si>
  <si>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</si>
  <si>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</si>
  <si>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</si>
  <si>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</si>
  <si>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</si>
  <si>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</si>
  <si>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</si>
  <si>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</si>
  <si>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</si>
  <si>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</si>
  <si>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</si>
  <si>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</si>
  <si>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</si>
  <si>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</si>
  <si>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</si>
  <si>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</si>
  <si>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</si>
  <si>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</si>
  <si>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</si>
  <si>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</si>
  <si>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</si>
  <si>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</si>
  <si>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</si>
  <si>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</si>
  <si>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</si>
  <si>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</si>
  <si>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</si>
  <si>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</si>
  <si>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</si>
  <si>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</si>
  <si>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</si>
  <si>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</si>
  <si>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</si>
  <si>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</si>
  <si>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</si>
  <si>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</si>
  <si>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</si>
  <si>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</si>
  <si>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</si>
  <si>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</si>
  <si>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</si>
  <si>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</si>
  <si>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</si>
  <si>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</si>
  <si>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</si>
  <si>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</si>
  <si>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</si>
  <si>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</si>
  <si>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</si>
  <si>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</si>
  <si>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</si>
  <si>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</si>
  <si>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</si>
  <si>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</si>
  <si>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</si>
  <si>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</si>
  <si>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</si>
  <si>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</si>
  <si>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WPI - CIE</t>
  </si>
  <si>
    <t>WPI - average of DAE and CIE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</si>
  <si>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</si>
  <si>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</si>
  <si>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</si>
  <si>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</si>
  <si>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</si>
  <si>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</si>
  <si>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</si>
  <si>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</si>
  <si>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</si>
  <si>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</si>
  <si>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</si>
  <si>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</si>
  <si>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</si>
  <si>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</si>
  <si>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</si>
  <si>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</si>
  <si>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</si>
  <si>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</si>
  <si>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</si>
  <si>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</si>
  <si>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</si>
  <si>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</si>
  <si>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</si>
  <si>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</si>
  <si>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</si>
  <si>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</si>
  <si>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</si>
  <si>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</si>
  <si>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</si>
  <si>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</si>
  <si>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</si>
  <si>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</si>
  <si>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</si>
  <si>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</si>
  <si>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</si>
  <si>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</si>
  <si>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</si>
  <si>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</si>
  <si>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</si>
  <si>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</si>
  <si>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</si>
  <si>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</si>
  <si>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</si>
  <si>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</si>
  <si>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</si>
  <si>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</si>
  <si>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</si>
  <si>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</si>
  <si>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</si>
  <si>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</si>
  <si>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</si>
  <si>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</si>
  <si>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</si>
  <si>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</si>
  <si>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</si>
  <si>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</si>
  <si>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</si>
  <si>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</si>
  <si>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</si>
  <si>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</si>
  <si>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</si>
  <si>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These inputs should be entered as positive values.</t>
  </si>
  <si>
    <t>Movement in provisions</t>
  </si>
  <si>
    <t>DMIA/DMIS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</si>
  <si>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</si>
  <si>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</si>
  <si>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</si>
  <si>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</si>
  <si>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</si>
  <si>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</si>
  <si>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</si>
  <si>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</si>
  <si>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</si>
  <si>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</si>
  <si>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</si>
  <si>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</si>
  <si>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</si>
  <si>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</si>
  <si>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Adjustments can be postive or negative.</t>
  </si>
  <si>
    <t>Energex</t>
  </si>
  <si>
    <t>final</t>
  </si>
  <si>
    <t>CAM adjustment</t>
  </si>
  <si>
    <t>Service classification adjustment</t>
  </si>
  <si>
    <t>Negative base adjustments</t>
  </si>
  <si>
    <t>Business Benefits - Property</t>
  </si>
  <si>
    <t>Business Benefits - ICT</t>
  </si>
  <si>
    <t>SFA TLG</t>
  </si>
  <si>
    <t>Input | Rate of change</t>
  </si>
  <si>
    <t>Calc | Opex Forecast</t>
  </si>
  <si>
    <t>Output | Models</t>
  </si>
  <si>
    <t>ABS, Consumer Price Index, Australia, Jun 2019</t>
  </si>
  <si>
    <t>ABS, Consumer Price Index, Australia, Sep 2019</t>
  </si>
  <si>
    <t>ABS, Consumer Price Index, Australia, Dec 2019</t>
  </si>
  <si>
    <t>ABS, Consumer Price Index, Australia, Mar 2020</t>
  </si>
  <si>
    <t>RBA statement of monetary policy inflation forecast,  May 2020, 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</si>
</sst>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_-* ##\ ##0.00_-;\-* ##\ ##0.00_-;_-* &quot;-&quot;??_-;_-@_-"/>
    <numFmt numFmtId="204" formatCode="mmmm"/>
    <numFmt numFmtId="205" formatCode="mmm\ yyyy"/>
    <numFmt numFmtId="206" formatCode="0.00_ ;\-0.00\ "/>
    <numFmt numFmtId="207" formatCode="0_ ;\-0\ 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4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7" fontId="10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2" fillId="0" borderId="0"/>
    <xf numFmtId="178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5" fontId="19" fillId="4" borderId="0" applyNumberFormat="0" applyFont="0" applyBorder="0" applyAlignment="0">
      <alignment horizontal="right"/>
    </xf>
    <xf numFmtId="16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5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80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2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5" fontId="19" fillId="36" borderId="0" applyFont="0" applyBorder="0" applyAlignment="0">
      <alignment horizontal="right"/>
      <protection locked="0"/>
    </xf>
    <xf numFmtId="165" fontId="19" fillId="36" borderId="0" applyFont="0" applyBorder="0" applyAlignment="0">
      <alignment horizontal="right"/>
      <protection locked="0"/>
    </xf>
    <xf numFmtId="183" fontId="19" fillId="6" borderId="0" applyFont="0" applyBorder="0">
      <alignment horizontal="right"/>
      <protection locked="0"/>
    </xf>
    <xf numFmtId="183" fontId="19" fillId="6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4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5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6" fontId="19" fillId="0" borderId="0" applyFill="0" applyBorder="0"/>
    <xf numFmtId="186" fontId="19" fillId="0" borderId="0" applyFill="0" applyBorder="0"/>
    <xf numFmtId="186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2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7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8" fontId="19" fillId="0" borderId="0"/>
    <xf numFmtId="188" fontId="19" fillId="0" borderId="0"/>
    <xf numFmtId="188" fontId="19" fillId="0" borderId="0"/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191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4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3" fillId="42" borderId="0"/>
    <xf numFmtId="202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2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7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3" fontId="12" fillId="0" borderId="0" xfId="5" applyNumberFormat="1" applyFont="1" applyFill="1" applyBorder="1" applyAlignment="1" applyProtection="1">
      <alignment horizontal="center" vertical="center"/>
    </xf>
    <xf numFmtId="174" fontId="9" fillId="0" borderId="0" xfId="5" applyNumberFormat="1" applyFont="1" applyFill="1" applyBorder="1" applyAlignment="1" applyProtection="1">
      <alignment horizontal="center" vertical="center"/>
    </xf>
    <xf numFmtId="174" fontId="17" fillId="0" borderId="0" xfId="5" applyNumberFormat="1" applyFont="1" applyFill="1" applyBorder="1" applyAlignment="1" applyProtection="1">
      <alignment horizontal="center" vertical="center"/>
    </xf>
    <xf numFmtId="175" fontId="3" fillId="0" borderId="0" xfId="0" applyNumberFormat="1" applyFont="1"/>
    <xf numFmtId="177" fontId="12" fillId="0" borderId="0" xfId="5" applyNumberFormat="1" applyFont="1" applyFill="1" applyBorder="1" applyAlignment="1" applyProtection="1">
      <alignment horizontal="center" vertical="center"/>
    </xf>
    <xf numFmtId="168" fontId="3" fillId="3" borderId="0" xfId="0" applyNumberFormat="1" applyFont="1" applyFill="1" applyProtection="1"/>
    <xf numFmtId="168" fontId="4" fillId="3" borderId="0" xfId="0" applyNumberFormat="1" applyFont="1" applyFill="1" applyAlignment="1" applyProtection="1">
      <alignment horizontal="center"/>
    </xf>
    <xf numFmtId="168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/>
    </xf>
    <xf numFmtId="168" fontId="9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7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 wrapText="1"/>
    </xf>
    <xf numFmtId="193" fontId="3" fillId="41" borderId="3" xfId="0" applyNumberFormat="1" applyFont="1" applyFill="1" applyBorder="1" applyAlignment="1" applyProtection="1">
      <alignment horizontal="center"/>
      <protection locked="0"/>
    </xf>
    <xf numFmtId="197" fontId="3" fillId="0" borderId="0" xfId="0" applyNumberFormat="1" applyFont="1" applyAlignment="1" applyProtection="1">
      <alignment horizontal="left"/>
    </xf>
    <xf numFmtId="195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 wrapText="1"/>
    </xf>
    <xf numFmtId="168" fontId="5" fillId="0" borderId="0" xfId="0" applyNumberFormat="1" applyFont="1" applyProtection="1"/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167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166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6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5" fillId="0" borderId="0" xfId="0" applyNumberFormat="1" applyFont="1" applyFill="1" applyBorder="1" applyProtection="1"/>
    <xf numFmtId="168" fontId="4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left" indent="1"/>
    </xf>
    <xf numFmtId="168" fontId="3" fillId="0" borderId="0" xfId="0" applyNumberFormat="1" applyFont="1" applyAlignment="1" applyProtection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8" fontId="3" fillId="0" borderId="0" xfId="0" applyNumberFormat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Alignment="1" applyProtection="1">
      <alignment horizontal="left" indent="1"/>
    </xf>
    <xf numFmtId="168" fontId="4" fillId="0" borderId="7" xfId="0" applyNumberFormat="1" applyFont="1" applyBorder="1" applyAlignment="1" applyProtection="1">
      <alignment horizontal="center"/>
    </xf>
    <xf numFmtId="168" fontId="5" fillId="0" borderId="8" xfId="0" applyNumberFormat="1" applyFont="1" applyBorder="1" applyAlignment="1" applyProtection="1">
      <alignment horizontal="left" indent="1"/>
    </xf>
    <xf numFmtId="168" fontId="4" fillId="0" borderId="8" xfId="0" applyNumberFormat="1" applyFont="1" applyBorder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 applyProtection="1"/>
    <xf numFmtId="176" fontId="3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Fill="1" applyAlignment="1" applyProtection="1">
      <alignment horizontal="left" indent="2"/>
    </xf>
    <xf numFmtId="168" fontId="15" fillId="0" borderId="8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Protection="1"/>
    <xf numFmtId="195" fontId="5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201" fontId="3" fillId="0" borderId="0" xfId="0" applyNumberFormat="1" applyFont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199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7" fontId="9" fillId="0" borderId="3" xfId="0" applyNumberFormat="1" applyFont="1" applyBorder="1" applyAlignment="1" applyProtection="1">
      <alignment horizontal="center"/>
    </xf>
    <xf numFmtId="167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8" fontId="5" fillId="0" borderId="7" xfId="0" applyNumberFormat="1" applyFont="1" applyBorder="1" applyProtection="1"/>
    <xf numFmtId="168" fontId="3" fillId="0" borderId="7" xfId="0" applyNumberFormat="1" applyFont="1" applyBorder="1" applyProtection="1"/>
    <xf numFmtId="168" fontId="5" fillId="0" borderId="4" xfId="0" applyNumberFormat="1" applyFont="1" applyBorder="1" applyAlignment="1" applyProtection="1">
      <alignment horizontal="left"/>
    </xf>
    <xf numFmtId="168" fontId="4" fillId="0" borderId="4" xfId="0" applyNumberFormat="1" applyFont="1" applyBorder="1" applyAlignment="1" applyProtection="1">
      <alignment horizontal="center"/>
    </xf>
    <xf numFmtId="167" fontId="3" fillId="0" borderId="0" xfId="0" applyNumberFormat="1" applyFont="1" applyProtection="1"/>
    <xf numFmtId="168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2" fontId="12" fillId="0" borderId="0" xfId="2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Protection="1"/>
    <xf numFmtId="168" fontId="3" fillId="0" borderId="0" xfId="0" applyNumberFormat="1" applyFont="1" applyAlignment="1" applyProtection="1">
      <alignment horizontal="left"/>
    </xf>
    <xf numFmtId="194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6" fontId="4" fillId="41" borderId="3" xfId="2" applyNumberFormat="1" applyFont="1" applyFill="1" applyBorder="1" applyAlignment="1" applyProtection="1">
      <alignment horizontal="center"/>
      <protection locked="0"/>
    </xf>
    <xf numFmtId="200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Protection="1">
      <protection locked="0"/>
    </xf>
    <xf numFmtId="203" fontId="5" fillId="0" borderId="0" xfId="0" applyNumberFormat="1" applyFont="1" applyAlignment="1" applyProtection="1">
      <alignment horizontal="center"/>
    </xf>
    <xf numFmtId="204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5" fontId="71" fillId="39" borderId="4" xfId="0" applyNumberFormat="1" applyFont="1" applyFill="1" applyBorder="1" applyAlignment="1" applyProtection="1">
      <alignment horizontal="center" wrapText="1"/>
    </xf>
    <xf numFmtId="205" fontId="88" fillId="38" borderId="2" xfId="0" applyNumberFormat="1" applyFont="1" applyFill="1" applyBorder="1" applyAlignment="1" applyProtection="1">
      <alignment horizontal="center"/>
    </xf>
    <xf numFmtId="205" fontId="71" fillId="38" borderId="2" xfId="0" applyNumberFormat="1" applyFont="1" applyFill="1" applyBorder="1" applyAlignment="1" applyProtection="1">
      <alignment horizontal="left"/>
    </xf>
    <xf numFmtId="205" fontId="5" fillId="0" borderId="7" xfId="0" applyNumberFormat="1" applyFont="1" applyBorder="1" applyAlignment="1" applyProtection="1">
      <alignment horizontal="center"/>
    </xf>
    <xf numFmtId="205" fontId="3" fillId="0" borderId="0" xfId="0" applyNumberFormat="1" applyFont="1" applyAlignment="1">
      <alignment horizontal="left" indent="1"/>
    </xf>
    <xf numFmtId="205" fontId="4" fillId="0" borderId="0" xfId="0" applyNumberFormat="1" applyFont="1" applyAlignment="1" applyProtection="1">
      <alignment horizontal="center"/>
    </xf>
    <xf numFmtId="205" fontId="4" fillId="41" borderId="22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205" fontId="3" fillId="0" borderId="0" xfId="0" applyNumberFormat="1" applyFont="1" applyAlignment="1" applyProtection="1">
      <alignment horizontal="left" indent="1"/>
    </xf>
    <xf numFmtId="168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6" fontId="3" fillId="0" borderId="0" xfId="2" applyNumberFormat="1" applyFont="1" applyFill="1" applyBorder="1" applyAlignment="1" applyProtection="1">
      <alignment horizontal="center"/>
      <protection locked="0"/>
    </xf>
    <xf numFmtId="205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8" fontId="3" fillId="0" borderId="0" xfId="0" applyNumberFormat="1" applyFont="1" applyBorder="1" applyAlignment="1" applyProtection="1">
      <alignment horizontal="center"/>
    </xf>
    <xf numFmtId="205" fontId="15" fillId="0" borderId="0" xfId="0" applyNumberFormat="1" applyFont="1" applyAlignment="1" applyProtection="1">
      <alignment horizontal="center"/>
    </xf>
    <xf numFmtId="201" fontId="3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198" fontId="5" fillId="0" borderId="0" xfId="0" applyNumberFormat="1" applyFont="1" applyBorder="1" applyAlignment="1" applyProtection="1">
      <alignment horizontal="center"/>
    </xf>
    <xf numFmtId="168" fontId="5" fillId="0" borderId="7" xfId="0" applyNumberFormat="1" applyFont="1" applyBorder="1" applyAlignment="1" applyProtection="1">
      <alignment horizontal="left" indent="1"/>
    </xf>
    <xf numFmtId="205" fontId="4" fillId="0" borderId="7" xfId="0" applyNumberFormat="1" applyFont="1" applyBorder="1" applyAlignment="1" applyProtection="1">
      <alignment horizontal="center"/>
    </xf>
    <xf numFmtId="206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5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5" fontId="3" fillId="0" borderId="0" xfId="0" applyNumberFormat="1" applyFont="1" applyProtection="1">
      <protection locked="0"/>
    </xf>
    <xf numFmtId="195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5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2" fontId="3" fillId="0" borderId="0" xfId="2" applyNumberFormat="1" applyFont="1" applyAlignment="1" applyProtection="1">
      <alignment horizontal="center"/>
      <protection locked="0"/>
    </xf>
    <xf numFmtId="174" fontId="9" fillId="0" borderId="0" xfId="5" applyNumberFormat="1" applyFont="1" applyFill="1" applyBorder="1" applyAlignment="1" applyProtection="1">
      <alignment horizontal="center" vertical="center"/>
      <protection locked="0"/>
    </xf>
    <xf numFmtId="168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5" fontId="3" fillId="0" borderId="0" xfId="2" applyNumberFormat="1" applyFont="1" applyFill="1" applyBorder="1" applyAlignment="1" applyProtection="1">
      <alignment horizontal="center"/>
      <protection locked="0"/>
    </xf>
    <xf numFmtId="168" fontId="15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82" fontId="3" fillId="0" borderId="0" xfId="2" applyNumberFormat="1" applyFont="1" applyFill="1" applyBorder="1" applyAlignment="1" applyProtection="1">
      <alignment horizontal="center"/>
      <protection locked="0"/>
    </xf>
    <xf numFmtId="205" fontId="4" fillId="0" borderId="22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205" fontId="16" fillId="8" borderId="9" xfId="0" applyNumberFormat="1" applyFont="1" applyFill="1" applyBorder="1" applyAlignment="1" applyProtection="1">
      <alignment horizontal="center"/>
      <protection locked="0"/>
    </xf>
    <xf numFmtId="207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5" fontId="12" fillId="8" borderId="9" xfId="0" applyNumberFormat="1" applyFont="1" applyFill="1" applyBorder="1" applyAlignment="1" applyProtection="1">
      <alignment horizontal="center"/>
      <protection locked="0"/>
    </xf>
    <xf numFmtId="194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/>
    </xf>
    <xf numFmtId="168" fontId="4" fillId="41" borderId="3" xfId="0" applyNumberFormat="1" applyFont="1" applyFill="1" applyBorder="1" applyAlignment="1" applyProtection="1">
      <alignment horizontal="center"/>
    </xf>
    <xf numFmtId="205" fontId="4" fillId="41" borderId="3" xfId="0" applyNumberFormat="1" applyFont="1" applyFill="1" applyBorder="1" applyAlignment="1" applyProtection="1">
      <alignment horizontal="center"/>
    </xf>
    <xf numFmtId="0" fontId="69" fillId="38" borderId="0" xfId="3" applyFont="1" applyFill="1" applyBorder="1" applyAlignment="1" applyProtection="1"/>
    <xf numFmtId="10" fontId="3" fillId="41" borderId="3" xfId="2" applyNumberFormat="1" applyFont="1" applyFill="1" applyBorder="1" applyAlignment="1" applyProtection="1">
      <alignment horizontal="center"/>
    </xf>
    <xf numFmtId="49" fontId="3" fillId="41" borderId="3" xfId="0" applyNumberFormat="1" applyFont="1" applyFill="1" applyBorder="1" applyAlignment="1" applyProtection="1">
      <alignment horizontal="left" indent="1"/>
    </xf>
    <xf numFmtId="0" fontId="3" fillId="41" borderId="3" xfId="0" applyNumberFormat="1" applyFont="1" applyFill="1" applyBorder="1" applyAlignment="1" applyProtection="1">
      <alignment horizontal="left" indent="1"/>
      <protection locked="0"/>
    </xf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workbookViewId="0">
      <selection activeCell="C14" sqref="C14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194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209</v>
      </c>
      <c r="D10" s="7" t="s">
        <v>195</v>
      </c>
    </row>
    <row r="11" spans="1:47">
      <c r="C11" s="19" t="s">
        <v>60</v>
      </c>
      <c r="D11" s="7" t="s">
        <v>51</v>
      </c>
    </row>
    <row r="12" spans="1:47">
      <c r="C12" s="19" t="s">
        <v>210</v>
      </c>
      <c r="D12" s="7" t="s">
        <v>196</v>
      </c>
    </row>
    <row r="13" spans="1:47">
      <c r="C13" s="19" t="s">
        <v>211</v>
      </c>
      <c r="D13" s="7" t="s">
        <v>197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/>
    <row r="34"/>
    <row r="35"/>
    <row r="36"/>
    <row r="37"/>
    <row r="38"/>
    <row r="39"/>
  </sheetData>
  <hyperlinks>
    <hyperlink ref="C12" location="'Calc|Opex forecast_final'!A1" display="Calc | Opex Forecast_final"/>
    <hyperlink ref="C7" location="'Input|General'!A1" display="Input | General"/>
    <hyperlink ref="C9" location="'Input|Reported opex'!A1" display="Input | Reported opex"/>
    <hyperlink ref="C10" location="'Input|Rate of change_final'!A1" display="Input | Rate of change_final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tabSelected="1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201</v>
      </c>
      <c r="H7" s="29"/>
      <c r="I7" s="29"/>
      <c r="S7" s="131" t="str">
        <f>IF(COUNTBLANK($G7),"Check","Ok")</f>
        <v>Ok</v>
      </c>
    </row>
    <row r="8" spans="1:47">
      <c r="C8" s="29" t="s">
        <v>138</v>
      </c>
      <c r="D8" s="30" t="s">
        <v>69</v>
      </c>
      <c r="E8" s="29"/>
      <c r="F8" s="29"/>
      <c r="G8" s="52" t="s">
        <v>202</v>
      </c>
      <c r="H8" s="29"/>
      <c r="I8" s="29"/>
      <c r="S8" s="131" t="str">
        <f>IF(COUNTBLANK($G8),"Check","Ok")</f>
        <v>Ok</v>
      </c>
    </row>
    <row r="9" spans="1:47">
      <c r="C9" s="29" t="s">
        <v>122</v>
      </c>
      <c r="D9" s="30" t="s">
        <v>68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152</v>
      </c>
      <c r="D10" s="30" t="s">
        <v>68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5">
        <v>2019</v>
      </c>
      <c r="H11" s="29"/>
      <c r="I11" s="29"/>
      <c r="S11" s="131" t="str">
        <f t="shared" si="0"/>
        <v>Ok</v>
      </c>
    </row>
    <row r="12" spans="1:47">
      <c r="C12" s="29" t="s">
        <v>153</v>
      </c>
      <c r="D12" s="30" t="s">
        <v>68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C15" s="29" t="s">
        <v>190</v>
      </c>
      <c r="D15" s="30" t="s">
        <v>69</v>
      </c>
      <c r="E15" s="29"/>
      <c r="F15" s="29"/>
      <c r="G15" s="155" t="s">
        <v>193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8" priority="13" operator="equal">
      <formula>"Check"</formula>
    </cfRule>
    <cfRule type="cellIs" dxfId="197" priority="14" operator="equal">
      <formula>"Ok"</formula>
    </cfRule>
  </conditionalFormatting>
  <conditionalFormatting sqref="V1">
    <cfRule type="cellIs" dxfId="196" priority="3" operator="equal">
      <formula>"Check"</formula>
    </cfRule>
    <cfRule type="cellIs" dxfId="195" priority="4" operator="equal">
      <formula>"Ok"</formula>
    </cfRule>
  </conditionalFormatting>
  <conditionalFormatting sqref="S7:S15">
    <cfRule type="cellIs" dxfId="194" priority="5" operator="equal">
      <formula>"Check"</formula>
    </cfRule>
    <cfRule type="cellIs" dxfId="193" priority="6" operator="equal">
      <formula>"Ok"</formula>
    </cfRule>
  </conditionalFormatting>
  <conditionalFormatting sqref="S1">
    <cfRule type="cellIs" dxfId="192" priority="1" operator="equal">
      <formula>"Check"</formula>
    </cfRule>
    <cfRule type="cellIs" dxfId="191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'Lookup|Tables'!$G$80:$G$81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topLeftCell="A46" workbookViewId="0">
      <selection activeCell="F61" sqref="F6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136</v>
      </c>
      <c r="F6" s="62" t="s">
        <v>97</v>
      </c>
      <c r="G6" s="62" t="s">
        <v>136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9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9"/>
      <c r="I58" s="29" t="s">
        <v>212</v>
      </c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9"/>
      <c r="I59" s="152" t="s">
        <v>213</v>
      </c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9"/>
      <c r="I60" s="152" t="s">
        <v>214</v>
      </c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9"/>
      <c r="I61" s="152" t="s">
        <v>215</v>
      </c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F58*(1.015)</f>
        <v>116.52199999999999</v>
      </c>
      <c r="G62" s="117">
        <f t="shared" si="1"/>
        <v>1.4999999999999902E-2</v>
      </c>
      <c r="H62" s="189"/>
      <c r="I62" s="189" t="s">
        <v>216</v>
      </c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9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9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63"/>
      <c r="G65" s="117" t="str">
        <f t="shared" si="1"/>
        <v/>
      </c>
      <c r="H65" s="189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63"/>
      <c r="G66" s="117" t="str">
        <f t="shared" si="1"/>
        <v/>
      </c>
      <c r="H66" s="189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63"/>
      <c r="G67" s="117" t="str">
        <f t="shared" si="1"/>
        <v/>
      </c>
      <c r="H67" s="189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63"/>
      <c r="G68" s="117" t="str">
        <f t="shared" si="1"/>
        <v/>
      </c>
      <c r="H68" s="189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9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9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9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9"/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9"/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9"/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9"/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9"/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9"/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9"/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9"/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9"/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9"/>
      <c r="I81" s="29"/>
      <c r="J81" s="29"/>
      <c r="T81" s="131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9"/>
      <c r="I82" s="29"/>
      <c r="J82" s="29"/>
      <c r="T82" s="131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9"/>
      <c r="I83" s="29"/>
      <c r="J83" s="29"/>
      <c r="T83" s="131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9"/>
      <c r="I84" s="29"/>
      <c r="J84" s="29"/>
      <c r="T84" s="131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190" priority="11" operator="equal">
      <formula>"Check"</formula>
    </cfRule>
    <cfRule type="cellIs" dxfId="189" priority="12" operator="equal">
      <formula>"Ok"</formula>
    </cfRule>
  </conditionalFormatting>
  <conditionalFormatting sqref="W1">
    <cfRule type="cellIs" dxfId="188" priority="7" operator="equal">
      <formula>"Check"</formula>
    </cfRule>
    <cfRule type="cellIs" dxfId="187" priority="8" operator="equal">
      <formula>"Ok"</formula>
    </cfRule>
  </conditionalFormatting>
  <conditionalFormatting sqref="T1">
    <cfRule type="cellIs" dxfId="186" priority="5" operator="equal">
      <formula>"Check"</formula>
    </cfRule>
    <cfRule type="cellIs" dxfId="185" priority="6" operator="equal">
      <formula>"Ok"</formula>
    </cfRule>
  </conditionalFormatting>
  <conditionalFormatting sqref="X51:X57">
    <cfRule type="cellIs" dxfId="184" priority="3" operator="equal">
      <formula>"Check"</formula>
    </cfRule>
    <cfRule type="cellIs" dxfId="183" priority="4" operator="equal">
      <formula>"Ok"</formula>
    </cfRule>
  </conditionalFormatting>
  <conditionalFormatting sqref="X58:X62 T9:T84">
    <cfRule type="cellIs" dxfId="182" priority="1" operator="equal">
      <formula>"Check"</formula>
    </cfRule>
    <cfRule type="cellIs" dxfId="181" priority="2" operator="equal">
      <formula>"Ok"</formula>
    </cfRule>
  </conditionalFormatting>
  <dataValidations disablePrompts="1"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topLeftCell="A16" zoomScale="115" zoomScaleNormal="115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8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122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54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73</v>
      </c>
      <c r="D13" s="30" t="s">
        <v>69</v>
      </c>
      <c r="E13" s="172" t="s">
        <v>15</v>
      </c>
      <c r="F13" s="172">
        <v>42156</v>
      </c>
      <c r="G13" s="32"/>
      <c r="H13" s="32"/>
      <c r="I13" s="30"/>
      <c r="J13" s="164">
        <v>342.54118021556735</v>
      </c>
      <c r="K13" s="164">
        <v>339.34408681520932</v>
      </c>
      <c r="L13" s="164">
        <v>344.09258204281139</v>
      </c>
      <c r="M13" s="164">
        <v>355.00227054753572</v>
      </c>
      <c r="N13" s="164">
        <v>357.17743063607014</v>
      </c>
      <c r="O13" s="152"/>
      <c r="P13" s="152"/>
      <c r="Q13" s="152"/>
      <c r="R13" s="152"/>
      <c r="S13" s="152"/>
      <c r="T13" s="29" t="s">
        <v>171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73</v>
      </c>
      <c r="D15" s="140" t="str">
        <f>D13</f>
        <v>AER</v>
      </c>
      <c r="E15" s="204" t="str">
        <f>E13</f>
        <v>$millions</v>
      </c>
      <c r="F15" s="204">
        <f>F13</f>
        <v>42156</v>
      </c>
      <c r="G15" s="32"/>
      <c r="H15" s="32"/>
      <c r="I15" s="30"/>
      <c r="J15" s="129">
        <f>J13</f>
        <v>342.54118021556735</v>
      </c>
      <c r="K15" s="129">
        <f t="shared" ref="K15:S15" si="1">K13</f>
        <v>339.34408681520932</v>
      </c>
      <c r="L15" s="129">
        <f t="shared" si="1"/>
        <v>344.09258204281139</v>
      </c>
      <c r="M15" s="129">
        <f t="shared" si="1"/>
        <v>355.00227054753572</v>
      </c>
      <c r="N15" s="129">
        <f t="shared" si="1"/>
        <v>357.17743063607014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162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>
        <v>6.5481802155673687</v>
      </c>
      <c r="K19" s="164">
        <v>6.7320868152092892</v>
      </c>
      <c r="L19" s="164">
        <v>6.907582042811363</v>
      </c>
      <c r="M19" s="164">
        <v>7.0382705475357392</v>
      </c>
      <c r="N19" s="164">
        <v>7.1554306360701716</v>
      </c>
      <c r="O19" s="152"/>
      <c r="P19" s="152"/>
      <c r="Q19" s="152"/>
      <c r="R19" s="152"/>
      <c r="S19" s="152"/>
      <c r="T19" s="29" t="s">
        <v>183</v>
      </c>
      <c r="U19" s="29"/>
      <c r="V19" s="29"/>
      <c r="W19" s="29"/>
    </row>
    <row r="20" spans="1:23">
      <c r="A20" s="29"/>
      <c r="B20" s="29"/>
      <c r="C20" s="61" t="s">
        <v>199</v>
      </c>
      <c r="D20" s="30" t="s">
        <v>69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69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69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69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69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69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69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69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160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6.5481802155673687</v>
      </c>
      <c r="K29" s="129">
        <f t="shared" ref="K29:S29" si="4">SUM(K19:K27)</f>
        <v>6.7320868152092892</v>
      </c>
      <c r="L29" s="129">
        <f t="shared" si="4"/>
        <v>6.907582042811363</v>
      </c>
      <c r="M29" s="129">
        <f t="shared" si="4"/>
        <v>7.0382705475357392</v>
      </c>
      <c r="N29" s="129">
        <f t="shared" si="4"/>
        <v>7.1554306360701716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 t="s">
        <v>74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54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73</v>
      </c>
      <c r="D37" s="30" t="s">
        <v>75</v>
      </c>
      <c r="E37" s="216" t="str">
        <f>$E$56</f>
        <v>$millions</v>
      </c>
      <c r="F37" s="217" t="s">
        <v>100</v>
      </c>
      <c r="G37" s="32"/>
      <c r="H37" s="32"/>
      <c r="I37" s="30"/>
      <c r="J37" s="164"/>
      <c r="K37" s="164"/>
      <c r="L37" s="164"/>
      <c r="M37" s="164">
        <v>350.66307999999998</v>
      </c>
      <c r="N37" s="164"/>
      <c r="O37" s="152"/>
      <c r="P37" s="152"/>
      <c r="Q37" s="152"/>
      <c r="R37" s="152"/>
      <c r="S37" s="152"/>
      <c r="T37" s="29" t="s">
        <v>172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189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184</v>
      </c>
      <c r="D41" s="30" t="s">
        <v>75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/>
      <c r="K41" s="164"/>
      <c r="L41" s="164"/>
      <c r="M41" s="164">
        <v>-1.6033200000000001</v>
      </c>
      <c r="N41" s="164"/>
      <c r="O41" s="152"/>
      <c r="P41" s="152"/>
      <c r="Q41" s="152"/>
      <c r="R41" s="152"/>
      <c r="S41" s="152"/>
      <c r="T41" s="29" t="s">
        <v>188</v>
      </c>
      <c r="U41" s="29"/>
      <c r="V41" s="29"/>
      <c r="W41" s="29"/>
    </row>
    <row r="42" spans="1:23">
      <c r="A42" s="29"/>
      <c r="B42" s="29"/>
      <c r="C42" s="61" t="s">
        <v>185</v>
      </c>
      <c r="D42" s="30" t="s">
        <v>75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>
        <v>0.37400499999999998</v>
      </c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75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75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75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186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0</v>
      </c>
      <c r="K47" s="129">
        <f t="shared" ref="K47:S47" si="7">K37-SUM(K41:K45)</f>
        <v>0</v>
      </c>
      <c r="L47" s="129">
        <f t="shared" si="7"/>
        <v>0</v>
      </c>
      <c r="M47" s="129">
        <f t="shared" si="7"/>
        <v>351.89239499999996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75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183</v>
      </c>
      <c r="U51" s="29"/>
      <c r="V51" s="29"/>
      <c r="W51" s="29"/>
    </row>
    <row r="52" spans="1:23">
      <c r="A52" s="29"/>
      <c r="B52" s="29"/>
      <c r="C52" s="61" t="s">
        <v>199</v>
      </c>
      <c r="D52" s="30" t="s">
        <v>75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75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75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160</v>
      </c>
      <c r="D56" s="140" t="s">
        <v>30</v>
      </c>
      <c r="E56" s="130" t="s">
        <v>15</v>
      </c>
      <c r="F56" s="162" t="s">
        <v>100</v>
      </c>
      <c r="G56" s="32"/>
      <c r="H56" s="32"/>
      <c r="I56" s="30"/>
      <c r="J56" s="187">
        <f>SUM(J51:J54)</f>
        <v>0</v>
      </c>
      <c r="K56" s="187">
        <f t="shared" ref="K56:S56" si="9">SUM(K51:K54)</f>
        <v>0</v>
      </c>
      <c r="L56" s="187">
        <f t="shared" si="9"/>
        <v>0</v>
      </c>
      <c r="M56" s="187">
        <f t="shared" si="9"/>
        <v>0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112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113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203</v>
      </c>
      <c r="D62" s="30" t="s">
        <v>34</v>
      </c>
      <c r="E62" s="30" t="str">
        <f>$E$56</f>
        <v>$millions</v>
      </c>
      <c r="F62" s="172">
        <v>43983</v>
      </c>
      <c r="G62" s="32"/>
      <c r="H62" s="32"/>
      <c r="I62" s="32"/>
      <c r="J62" s="164"/>
      <c r="K62" s="164"/>
      <c r="L62" s="164"/>
      <c r="M62" s="164"/>
      <c r="N62" s="164">
        <v>2.9869467975120516</v>
      </c>
      <c r="O62" s="164"/>
      <c r="P62" s="164"/>
      <c r="Q62" s="164"/>
      <c r="R62" s="164"/>
      <c r="S62" s="164"/>
      <c r="T62" s="29" t="s">
        <v>200</v>
      </c>
      <c r="U62" s="142"/>
      <c r="V62" s="142"/>
      <c r="W62" s="29"/>
    </row>
    <row r="63" spans="1:23">
      <c r="A63" s="29"/>
      <c r="B63" s="29"/>
      <c r="C63" s="61" t="s">
        <v>204</v>
      </c>
      <c r="D63" s="30" t="s">
        <v>34</v>
      </c>
      <c r="E63" s="30" t="str">
        <f t="shared" ref="E63:E68" si="11">$E$56</f>
        <v>$millions</v>
      </c>
      <c r="F63" s="172">
        <v>43983</v>
      </c>
      <c r="G63" s="32"/>
      <c r="H63" s="32"/>
      <c r="I63" s="32"/>
      <c r="J63" s="164"/>
      <c r="K63" s="164"/>
      <c r="L63" s="164"/>
      <c r="M63" s="164"/>
      <c r="N63" s="164">
        <v>1.4264106454174759</v>
      </c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205</v>
      </c>
      <c r="D64" s="30" t="s">
        <v>34</v>
      </c>
      <c r="E64" s="30" t="str">
        <f t="shared" si="11"/>
        <v>$millions</v>
      </c>
      <c r="F64" s="172">
        <v>43983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114</v>
      </c>
      <c r="D65" s="30" t="s">
        <v>34</v>
      </c>
      <c r="E65" s="30" t="str">
        <f t="shared" si="11"/>
        <v>$millions</v>
      </c>
      <c r="F65" s="172">
        <v>42522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115</v>
      </c>
      <c r="D66" s="30" t="s">
        <v>34</v>
      </c>
      <c r="E66" s="30" t="str">
        <f t="shared" si="11"/>
        <v>$millions</v>
      </c>
      <c r="F66" s="172">
        <v>42522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187</v>
      </c>
      <c r="D68" s="30" t="s">
        <v>34</v>
      </c>
      <c r="E68" s="30" t="str">
        <f t="shared" si="11"/>
        <v>$millions</v>
      </c>
      <c r="F68" s="172">
        <v>42522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89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80" priority="32" operator="equal">
      <formula>"Check"</formula>
    </cfRule>
    <cfRule type="cellIs" dxfId="179" priority="33" operator="equal">
      <formula>"Ok"</formula>
    </cfRule>
  </conditionalFormatting>
  <conditionalFormatting sqref="W56">
    <cfRule type="cellIs" dxfId="178" priority="30" operator="equal">
      <formula>"Check"</formula>
    </cfRule>
    <cfRule type="cellIs" dxfId="177" priority="31" operator="equal">
      <formula>"Ok"</formula>
    </cfRule>
  </conditionalFormatting>
  <conditionalFormatting sqref="W15">
    <cfRule type="cellIs" dxfId="176" priority="28" operator="equal">
      <formula>"Check"</formula>
    </cfRule>
    <cfRule type="cellIs" dxfId="175" priority="29" operator="equal">
      <formula>"Ok"</formula>
    </cfRule>
  </conditionalFormatting>
  <conditionalFormatting sqref="V1">
    <cfRule type="cellIs" dxfId="174" priority="26" operator="equal">
      <formula>"Check"</formula>
    </cfRule>
    <cfRule type="cellIs" dxfId="173" priority="27" operator="equal">
      <formula>"Ok"</formula>
    </cfRule>
  </conditionalFormatting>
  <conditionalFormatting sqref="S1">
    <cfRule type="cellIs" dxfId="172" priority="24" operator="equal">
      <formula>"Check"</formula>
    </cfRule>
    <cfRule type="cellIs" dxfId="171" priority="25" operator="equal">
      <formula>"Ok"</formula>
    </cfRule>
  </conditionalFormatting>
  <conditionalFormatting sqref="J15:S15">
    <cfRule type="cellIs" dxfId="170" priority="23" operator="equal">
      <formula>0</formula>
    </cfRule>
  </conditionalFormatting>
  <conditionalFormatting sqref="J56:S56">
    <cfRule type="cellIs" dxfId="169" priority="22" operator="equal">
      <formula>0</formula>
    </cfRule>
  </conditionalFormatting>
  <conditionalFormatting sqref="W48:W50">
    <cfRule type="cellIs" dxfId="168" priority="20" operator="equal">
      <formula>"Check"</formula>
    </cfRule>
    <cfRule type="cellIs" dxfId="167" priority="21" operator="equal">
      <formula>"Ok"</formula>
    </cfRule>
  </conditionalFormatting>
  <conditionalFormatting sqref="J41:S45 N37:S37 J33:S33 J51:S54">
    <cfRule type="expression" dxfId="166" priority="18">
      <formula>J$34=J$4</formula>
    </cfRule>
  </conditionalFormatting>
  <conditionalFormatting sqref="J13:S13 J19:S27">
    <cfRule type="expression" dxfId="165" priority="17">
      <formula>J$10=J$4</formula>
    </cfRule>
  </conditionalFormatting>
  <conditionalFormatting sqref="J37:L37 N37">
    <cfRule type="expression" dxfId="164" priority="14">
      <formula>J$10=J$4</formula>
    </cfRule>
  </conditionalFormatting>
  <conditionalFormatting sqref="W47">
    <cfRule type="cellIs" dxfId="163" priority="12" operator="equal">
      <formula>"Check"</formula>
    </cfRule>
    <cfRule type="cellIs" dxfId="162" priority="13" operator="equal">
      <formula>"Ok"</formula>
    </cfRule>
  </conditionalFormatting>
  <conditionalFormatting sqref="J47:S47">
    <cfRule type="cellIs" dxfId="161" priority="10" operator="equal">
      <formula>0</formula>
    </cfRule>
  </conditionalFormatting>
  <conditionalFormatting sqref="J62:S66 J68:S68 J70:S70">
    <cfRule type="expression" dxfId="160" priority="9">
      <formula>J$60=J$4</formula>
    </cfRule>
  </conditionalFormatting>
  <conditionalFormatting sqref="W29">
    <cfRule type="cellIs" dxfId="159" priority="5" operator="equal">
      <formula>"Check"</formula>
    </cfRule>
    <cfRule type="cellIs" dxfId="158" priority="6" operator="equal">
      <formula>"Ok"</formula>
    </cfRule>
  </conditionalFormatting>
  <conditionalFormatting sqref="J29:S29">
    <cfRule type="cellIs" dxfId="157" priority="4" operator="equal">
      <formula>0</formula>
    </cfRule>
  </conditionalFormatting>
  <conditionalFormatting sqref="M37">
    <cfRule type="expression" dxfId="156" priority="1">
      <formula>M$34=M$4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5"/>
  <sheetViews>
    <sheetView showGridLines="0" topLeftCell="E46" workbookViewId="0">
      <selection activeCell="O66" sqref="O66:T66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IF(COUNTIF(W5:W108,"Check")=0,"Ok","Check")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122</v>
      </c>
      <c r="K3" s="222"/>
      <c r="L3" s="222"/>
      <c r="M3" s="222"/>
      <c r="N3" s="183"/>
      <c r="O3" s="222"/>
      <c r="P3" s="222"/>
      <c r="Q3" s="222"/>
      <c r="R3" s="222"/>
      <c r="S3" s="222"/>
      <c r="T3" s="222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1.5108593012275628E-2</v>
      </c>
      <c r="K12" s="143">
        <f>IF(K10=K4,LOOKUP(EOMONTH(K4,0),'Input|Inflation'!$C$9:$C$84,'Input|Inflation'!$G$9:$G$84),"")</f>
        <v>1.0232558139534831E-2</v>
      </c>
      <c r="L12" s="143">
        <f>IF(L10=L4,LOOKUP(EOMONTH(L4,0),'Input|Inflation'!$C$9:$C$84,'Input|Inflation'!$G$9:$G$84),"")</f>
        <v>1.9337016574585641E-2</v>
      </c>
      <c r="M12" s="143">
        <f>IF(M10=M4,LOOKUP(EOMONTH(M4,0),'Input|Inflation'!$C$9:$C$84,'Input|Inflation'!$G$9:$G$84),"")</f>
        <v>2.0776874435411097E-2</v>
      </c>
      <c r="N12" s="143">
        <f>IF(N10=N4,LOOKUP(EOMONTH(N4,0),'Input|Inflation'!$C$9:$C$84,'Input|Inflation'!$G$9:$G$84),"")</f>
        <v>1.5929203539823078E-2</v>
      </c>
      <c r="O12" s="143">
        <f>IF(O10=O4,LOOKUP(EOMONTH(O4,0),'Input|Inflation'!$C$9:$C$84,'Input|Inflation'!$G$9:$G$84),"")</f>
        <v>1.4999999999999902E-2</v>
      </c>
      <c r="P12" s="143" t="str">
        <f>IF(P10=P4,LOOKUP(EOMONTH(P4,0),'Input|Inflation'!$C$9:$C$84,'Input|Inflation'!$G$9:$G$84),"")</f>
        <v/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1.0839255813953488</v>
      </c>
      <c r="P16" s="209"/>
      <c r="Q16" s="209"/>
      <c r="R16" s="209"/>
      <c r="S16" s="209"/>
      <c r="T16" s="209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1.0729465930018418</v>
      </c>
      <c r="P17" s="209"/>
      <c r="Q17" s="209"/>
      <c r="R17" s="209"/>
      <c r="S17" s="209"/>
      <c r="T17" s="209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1.0525925925925927</v>
      </c>
      <c r="P18" s="209"/>
      <c r="Q18" s="209"/>
      <c r="R18" s="209"/>
      <c r="S18" s="209"/>
      <c r="T18" s="209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1.0311681415929204</v>
      </c>
      <c r="P19" s="209"/>
      <c r="Q19" s="209"/>
      <c r="R19" s="209"/>
      <c r="S19" s="209"/>
      <c r="T19" s="209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1.0149999999999999</v>
      </c>
      <c r="P20" s="209"/>
      <c r="Q20" s="209"/>
      <c r="R20" s="209"/>
      <c r="S20" s="209"/>
      <c r="T20" s="209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0.92257256140471333</v>
      </c>
      <c r="K21" s="22">
        <f t="shared" ref="K21" si="14">IF(AND($C21&gt;K$14,ISNONTEXT($C21)),L21/(1+L$12),IF(AND($C21=K$14,K$14=K$4),1,IF(AND($C21&lt;K$14,K$14=K$4),J21*(1+K$12),0)))</f>
        <v>0.93201283877722663</v>
      </c>
      <c r="L21" s="22">
        <f t="shared" ref="L21" si="15">IF(AND($C21&gt;L$14,ISNONTEXT($C21)),M21/(1+M$12),IF(AND($C21=L$14,L$14=L$4),1,IF(AND($C21&lt;L$14,L$14=L$4),K21*(1+L$12),0)))</f>
        <v>0.95003518648838847</v>
      </c>
      <c r="M21" s="22">
        <f t="shared" ref="M21" si="16">IF(AND($C21&gt;M$14,ISNONTEXT($C21)),N21/(1+N$12),IF(AND($C21=M$14,M$14=M$4),1,IF(AND($C21&lt;M$14,M$14=M$4),L21*(1+M$12),0)))</f>
        <v>0.96977394826728003</v>
      </c>
      <c r="N21" s="22">
        <f t="shared" ref="N21" si="17">IF(AND($C21&gt;N$14,ISNONTEXT($C21)),O21/(1+O$12),IF(AND($C21=N$14,N$14=N$4),1,IF(AND($C21&lt;N$14,N$14=N$4),M21*(1+N$12),0)))</f>
        <v>0.98522167487684742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0.92946610106162908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0.93897691697946872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0.95713392918625417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0.97702018065082863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0.99258333397093046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1.0920831796819239</v>
      </c>
      <c r="K30" s="22">
        <f t="shared" si="27"/>
        <v>1.0784221156975964</v>
      </c>
      <c r="L30" s="22">
        <f t="shared" si="27"/>
        <v>1.0627208645929549</v>
      </c>
      <c r="M30" s="22">
        <f t="shared" si="27"/>
        <v>1.0418252960828787</v>
      </c>
      <c r="N30" s="22">
        <f t="shared" si="27"/>
        <v>1.0230521314756222</v>
      </c>
      <c r="O30" s="22">
        <f t="shared" si="27"/>
        <v>1.0074720839804943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77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80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119</v>
      </c>
      <c r="D36" s="30" t="s">
        <v>101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4.1714179529073192E-3</v>
      </c>
      <c r="Q36" s="168">
        <v>4.650529228387601E-3</v>
      </c>
      <c r="R36" s="168">
        <v>5.9869123829532356E-3</v>
      </c>
      <c r="S36" s="168">
        <v>4.5244949577449844E-3</v>
      </c>
      <c r="T36" s="168">
        <v>6.3363606772424141E-3</v>
      </c>
    </row>
    <row r="37" spans="3:23" ht="11.25" customHeight="1" outlineLevel="1">
      <c r="C37" s="61" t="s">
        <v>120</v>
      </c>
      <c r="D37" s="30" t="s">
        <v>101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>
        <v>1.2E-2</v>
      </c>
      <c r="Q37" s="168">
        <v>1.4999999999999999E-2</v>
      </c>
      <c r="R37" s="168">
        <v>1.4999999999999999E-2</v>
      </c>
      <c r="S37" s="168">
        <v>1.6E-2</v>
      </c>
      <c r="T37" s="168">
        <v>1.2999999999999999E-2</v>
      </c>
    </row>
    <row r="38" spans="3:23" ht="11.25" customHeight="1" outlineLevel="1">
      <c r="C38" s="61" t="s">
        <v>121</v>
      </c>
      <c r="D38" s="30" t="s">
        <v>101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8.0857089764536597E-3</v>
      </c>
      <c r="Q38" s="60">
        <f t="shared" ref="Q38:T38" si="30">AVERAGE(Q36:Q37)</f>
        <v>9.8252646141938002E-3</v>
      </c>
      <c r="R38" s="60">
        <f t="shared" si="30"/>
        <v>1.0493456191476618E-2</v>
      </c>
      <c r="S38" s="60">
        <f t="shared" si="30"/>
        <v>1.0262247478872492E-2</v>
      </c>
      <c r="T38" s="60">
        <f t="shared" si="30"/>
        <v>9.6681803386212059E-3</v>
      </c>
    </row>
    <row r="39" spans="3:23" ht="11.25" customHeight="1" outlineLevel="1">
      <c r="C39" s="61"/>
      <c r="D39" s="30" t="s">
        <v>101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10"/>
      <c r="U39" s="147"/>
    </row>
    <row r="40" spans="3:23" ht="11.25" customHeight="1" outlineLevel="1">
      <c r="C40" s="61"/>
      <c r="D40" s="30" t="s">
        <v>101</v>
      </c>
      <c r="E40" s="30" t="str">
        <f t="shared" si="29"/>
        <v>Per cent</v>
      </c>
      <c r="J40" s="205"/>
      <c r="K40" s="152"/>
      <c r="L40" s="152"/>
      <c r="M40" s="152"/>
      <c r="N40" s="152"/>
      <c r="O40" s="152"/>
      <c r="P40" s="60"/>
      <c r="Q40" s="60"/>
      <c r="R40" s="60"/>
      <c r="S40" s="60"/>
      <c r="T40" s="210"/>
    </row>
    <row r="41" spans="3:23" ht="11.25" customHeight="1" outlineLevel="1">
      <c r="C41" s="61"/>
      <c r="D41" s="30" t="s">
        <v>101</v>
      </c>
      <c r="E41" s="30" t="str">
        <f t="shared" si="29"/>
        <v>Per cent</v>
      </c>
      <c r="J41" s="205"/>
      <c r="K41" s="152"/>
      <c r="L41" s="152"/>
      <c r="M41" s="152"/>
      <c r="N41" s="152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101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81</v>
      </c>
      <c r="D43" s="30" t="s">
        <v>101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98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44348</v>
      </c>
      <c r="Q47" s="163">
        <f t="shared" si="32"/>
        <v>44713</v>
      </c>
      <c r="R47" s="163">
        <f t="shared" si="32"/>
        <v>45078</v>
      </c>
      <c r="S47" s="163">
        <f t="shared" si="32"/>
        <v>45444</v>
      </c>
      <c r="T47" s="163">
        <f t="shared" si="32"/>
        <v>45809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101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60">
        <v>0</v>
      </c>
    </row>
    <row r="50" spans="1:50" ht="11.25" customHeight="1" outlineLevel="1">
      <c r="C50" s="148" t="str">
        <f t="shared" si="33"/>
        <v>WPI - CIE</v>
      </c>
      <c r="D50" s="30" t="s">
        <v>101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60">
        <v>0</v>
      </c>
    </row>
    <row r="51" spans="1:50" ht="11.25" customHeight="1" outlineLevel="1">
      <c r="C51" s="148" t="str">
        <f t="shared" si="33"/>
        <v>WPI - average of DAE and CIE</v>
      </c>
      <c r="D51" s="30" t="s">
        <v>101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60">
        <v>0.59699999999999998</v>
      </c>
    </row>
    <row r="52" spans="1:50" ht="11.25" customHeight="1" outlineLevel="1">
      <c r="C52" s="148">
        <f t="shared" si="33"/>
        <v>0</v>
      </c>
      <c r="D52" s="30" t="s">
        <v>101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60"/>
      <c r="U52" s="147"/>
    </row>
    <row r="53" spans="1:50" ht="11.25" customHeight="1" outlineLevel="1">
      <c r="C53" s="148">
        <f t="shared" si="33"/>
        <v>0</v>
      </c>
      <c r="D53" s="30" t="s">
        <v>101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60"/>
    </row>
    <row r="54" spans="1:50" ht="11.25" customHeight="1" outlineLevel="1">
      <c r="C54" s="148">
        <f t="shared" si="33"/>
        <v>0</v>
      </c>
      <c r="D54" s="30" t="s">
        <v>101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60"/>
    </row>
    <row r="55" spans="1:50" ht="11.25" customHeight="1" outlineLevel="1">
      <c r="C55" s="148">
        <f t="shared" si="33"/>
        <v>0</v>
      </c>
      <c r="D55" s="30" t="s">
        <v>101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60"/>
    </row>
    <row r="56" spans="1:50" ht="11.25" customHeight="1" outlineLevel="1">
      <c r="C56" s="148" t="str">
        <f t="shared" si="33"/>
        <v>CPI</v>
      </c>
      <c r="D56" s="30" t="s">
        <v>101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60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98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84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85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43983</v>
      </c>
      <c r="P62" s="163">
        <f t="shared" si="36"/>
        <v>44348</v>
      </c>
      <c r="Q62" s="163">
        <f t="shared" si="36"/>
        <v>44713</v>
      </c>
      <c r="R62" s="163">
        <f t="shared" si="36"/>
        <v>45078</v>
      </c>
      <c r="S62" s="163">
        <f t="shared" si="36"/>
        <v>45444</v>
      </c>
      <c r="T62" s="163">
        <f t="shared" si="36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173</v>
      </c>
      <c r="D64" s="30" t="s">
        <v>101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1505249</v>
      </c>
      <c r="P64" s="197">
        <v>1525955</v>
      </c>
      <c r="Q64" s="197">
        <v>1546472</v>
      </c>
      <c r="R64" s="197">
        <v>1567625</v>
      </c>
      <c r="S64" s="197">
        <v>1588875</v>
      </c>
      <c r="T64" s="197">
        <v>1610463</v>
      </c>
    </row>
    <row r="65" spans="3:23" outlineLevel="1">
      <c r="C65" s="61" t="s">
        <v>174</v>
      </c>
      <c r="D65" s="30" t="s">
        <v>101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54703.707065000002</v>
      </c>
      <c r="P65" s="197">
        <v>55136.620825755002</v>
      </c>
      <c r="Q65" s="197">
        <v>55631.522735250386</v>
      </c>
      <c r="R65" s="197">
        <v>56086.134413046151</v>
      </c>
      <c r="S65" s="197">
        <v>56550.682771221269</v>
      </c>
      <c r="T65" s="197">
        <v>57049.400143447579</v>
      </c>
    </row>
    <row r="66" spans="3:23" outlineLevel="1">
      <c r="C66" s="61" t="s">
        <v>175</v>
      </c>
      <c r="D66" s="30" t="s">
        <v>101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>
        <v>5297.70983219147</v>
      </c>
      <c r="P66" s="197">
        <v>5297.70983219147</v>
      </c>
      <c r="Q66" s="197">
        <v>5297.70983219147</v>
      </c>
      <c r="R66" s="197">
        <v>5297.70983219147</v>
      </c>
      <c r="S66" s="197">
        <v>5297.70983219147</v>
      </c>
      <c r="T66" s="197">
        <v>5297.70983219147</v>
      </c>
    </row>
    <row r="67" spans="3:23" outlineLevel="1">
      <c r="C67" s="61" t="s">
        <v>176</v>
      </c>
      <c r="D67" s="30" t="s">
        <v>101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>
        <v>21426</v>
      </c>
      <c r="P67" s="197">
        <v>21445</v>
      </c>
      <c r="Q67" s="197">
        <v>21517</v>
      </c>
      <c r="R67" s="197">
        <v>21484</v>
      </c>
      <c r="S67" s="197">
        <v>21515</v>
      </c>
      <c r="T67" s="197">
        <v>21587</v>
      </c>
    </row>
    <row r="68" spans="3:23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98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88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44348</v>
      </c>
      <c r="Q73" s="163">
        <f t="shared" si="38"/>
        <v>44713</v>
      </c>
      <c r="R73" s="163">
        <f t="shared" si="38"/>
        <v>45078</v>
      </c>
      <c r="S73" s="163">
        <f t="shared" si="38"/>
        <v>45444</v>
      </c>
      <c r="T73" s="163">
        <f t="shared" si="38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98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1.3662110546968975E-2</v>
      </c>
      <c r="Q75" s="117">
        <f t="shared" si="40"/>
        <v>1.3355764012096927E-2</v>
      </c>
      <c r="R75" s="117">
        <f t="shared" si="40"/>
        <v>1.3585527582284485E-2</v>
      </c>
      <c r="S75" s="117">
        <f t="shared" si="40"/>
        <v>1.3464483470619015E-2</v>
      </c>
      <c r="T75" s="117">
        <f t="shared" si="40"/>
        <v>1.3495496660903328E-2</v>
      </c>
    </row>
    <row r="76" spans="3:23" outlineLevel="1">
      <c r="C76" s="148" t="str">
        <f t="shared" ref="C76:C80" si="41">C65</f>
        <v>Circuit Length (km)</v>
      </c>
      <c r="D76" s="30" t="s">
        <v>98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7.8826422079227854E-3</v>
      </c>
      <c r="Q76" s="117">
        <f t="shared" si="42"/>
        <v>8.9358760873938792E-3</v>
      </c>
      <c r="R76" s="117">
        <f t="shared" si="42"/>
        <v>8.1386272993899667E-3</v>
      </c>
      <c r="S76" s="117">
        <f t="shared" si="42"/>
        <v>8.2486526836387242E-3</v>
      </c>
      <c r="T76" s="117">
        <f t="shared" si="42"/>
        <v>8.7802854260612406E-3</v>
      </c>
    </row>
    <row r="77" spans="3:23" outlineLevel="1">
      <c r="C77" s="148" t="str">
        <f t="shared" si="41"/>
        <v>Ratcheted Maximum Demand (MW)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0</v>
      </c>
      <c r="S77" s="117">
        <f t="shared" si="43"/>
        <v>0</v>
      </c>
      <c r="T77" s="117">
        <f t="shared" si="43"/>
        <v>0</v>
      </c>
    </row>
    <row r="78" spans="3:23" outlineLevel="1">
      <c r="C78" s="148" t="str">
        <f t="shared" si="41"/>
        <v>Energy throughput (GWh)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8.8638012847752634E-4</v>
      </c>
      <c r="Q78" s="117">
        <f t="shared" si="44"/>
        <v>3.3518024024701276E-3</v>
      </c>
      <c r="R78" s="117">
        <f t="shared" si="44"/>
        <v>-1.5348483281005798E-3</v>
      </c>
      <c r="S78" s="117">
        <f t="shared" si="44"/>
        <v>1.4418942473497509E-3</v>
      </c>
      <c r="T78" s="117">
        <f t="shared" si="44"/>
        <v>3.3409153621768439E-3</v>
      </c>
    </row>
    <row r="79" spans="3:23" outlineLevel="1">
      <c r="C79" s="148">
        <f t="shared" si="41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177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2" t="s">
        <v>178</v>
      </c>
      <c r="K82" s="212" t="s">
        <v>179</v>
      </c>
      <c r="L82" s="212" t="s">
        <v>180</v>
      </c>
      <c r="M82" s="212" t="s">
        <v>208</v>
      </c>
      <c r="N82" s="212" t="s">
        <v>181</v>
      </c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101</v>
      </c>
      <c r="E84" s="30" t="s">
        <v>18</v>
      </c>
      <c r="F84" s="30" t="s">
        <v>36</v>
      </c>
      <c r="G84" s="32"/>
      <c r="H84" s="32"/>
      <c r="J84" s="219">
        <v>0.67426626969835601</v>
      </c>
      <c r="K84" s="219">
        <v>0.68954669070377317</v>
      </c>
      <c r="L84" s="219">
        <v>0.52946794843946854</v>
      </c>
      <c r="M84" s="219">
        <v>0.69510543080049092</v>
      </c>
      <c r="N84" s="219">
        <v>0.31</v>
      </c>
      <c r="O84" s="194"/>
      <c r="P84" s="194"/>
      <c r="Q84" s="194"/>
      <c r="R84" s="194"/>
      <c r="S84" s="194"/>
      <c r="T84" s="194"/>
    </row>
    <row r="85" spans="3:23" outlineLevel="1">
      <c r="C85" s="148" t="str">
        <f t="shared" ref="C85:C89" si="47">C65</f>
        <v>Circuit Length (km)</v>
      </c>
      <c r="D85" s="30" t="s">
        <v>101</v>
      </c>
      <c r="E85" s="30" t="s">
        <v>18</v>
      </c>
      <c r="F85" s="30" t="s">
        <v>36</v>
      </c>
      <c r="G85" s="32"/>
      <c r="H85" s="32"/>
      <c r="J85" s="219">
        <v>0.15076654061665548</v>
      </c>
      <c r="K85" s="219">
        <v>0.15563011634747104</v>
      </c>
      <c r="L85" s="219">
        <v>0.15740443076337474</v>
      </c>
      <c r="M85" s="219">
        <v>0.14841388058955493</v>
      </c>
      <c r="N85" s="219">
        <v>0.28999999999999998</v>
      </c>
      <c r="O85" s="194"/>
      <c r="P85" s="194"/>
      <c r="Q85" s="194"/>
      <c r="R85" s="194"/>
      <c r="S85" s="194"/>
      <c r="T85" s="194"/>
    </row>
    <row r="86" spans="3:23" outlineLevel="1">
      <c r="C86" s="148" t="str">
        <f t="shared" si="47"/>
        <v>Ratcheted Maximum Demand (MW)</v>
      </c>
      <c r="D86" s="30" t="s">
        <v>101</v>
      </c>
      <c r="E86" s="30" t="s">
        <v>18</v>
      </c>
      <c r="F86" s="30" t="s">
        <v>36</v>
      </c>
      <c r="G86" s="32"/>
      <c r="H86" s="32"/>
      <c r="J86" s="219">
        <v>0.17496718968498851</v>
      </c>
      <c r="K86" s="219">
        <v>0.15482319294875582</v>
      </c>
      <c r="L86" s="219">
        <v>0.31312762079715678</v>
      </c>
      <c r="M86" s="219">
        <v>0.15648068860995415</v>
      </c>
      <c r="N86" s="219">
        <v>0.28000000000000003</v>
      </c>
      <c r="O86" s="194"/>
      <c r="P86" s="194"/>
      <c r="Q86" s="194"/>
      <c r="R86" s="194"/>
      <c r="S86" s="194"/>
      <c r="T86" s="194"/>
    </row>
    <row r="87" spans="3:23" outlineLevel="1">
      <c r="C87" s="148" t="str">
        <f t="shared" si="47"/>
        <v>Energy throughput (GWh)</v>
      </c>
      <c r="D87" s="30" t="s">
        <v>101</v>
      </c>
      <c r="E87" s="30" t="s">
        <v>18</v>
      </c>
      <c r="F87" s="30" t="s">
        <v>36</v>
      </c>
      <c r="G87" s="32"/>
      <c r="H87" s="32"/>
      <c r="J87" s="220"/>
      <c r="K87" s="220"/>
      <c r="L87" s="220"/>
      <c r="M87" s="219"/>
      <c r="N87" s="219">
        <v>0.12</v>
      </c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61"/>
      <c r="O88" s="194"/>
      <c r="P88" s="194"/>
      <c r="Q88" s="194"/>
      <c r="R88" s="194"/>
      <c r="S88" s="194"/>
      <c r="T88" s="194"/>
    </row>
    <row r="89" spans="3:23" outlineLevel="1">
      <c r="C89" s="148">
        <f t="shared" si="47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61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98</v>
      </c>
      <c r="E91" s="30" t="s">
        <v>28</v>
      </c>
      <c r="F91" s="30" t="s">
        <v>36</v>
      </c>
      <c r="J91" s="132" t="str">
        <f t="array" ref="J91">IF(ISBLANK(J82),IF(ISBLANK(J84:J89),"Ok","Check"),IF(SUM(J84:J89)=1,"Ok","Check"))</f>
        <v>Ok</v>
      </c>
      <c r="K91" s="132" t="str">
        <f t="array" ref="K91">IF(ISBLANK(K82),IF(ISBLANK(K84:K89),"Ok","Check"),IF(SUM(K84:K89)=1,"Ok","Check"))</f>
        <v>Ok</v>
      </c>
      <c r="L91" s="132" t="str">
        <f t="array" ref="L91">IF(ISBLANK(L82),IF(ISBLANK(L84:L89),"Ok","Check"),IF(SUM(L84:L89)=1,"Ok","Check"))</f>
        <v>Ok</v>
      </c>
      <c r="M91" s="132" t="str">
        <f t="array" ref="M91">IF(ISBLANK(M82),IF(ISBLANK(M84:M89),"Ok","Check"),IF(SUM(M84:M89)=1,"Ok","Check"))</f>
        <v>Ok</v>
      </c>
      <c r="N91" s="132" t="str">
        <f t="array" ref="N91">IF(ISBLANK(N82),IF(ISBLANK(N84:N89),"Ok","Check"),IF(SUM(N84:N89)=1,"Ok","Check"))</f>
        <v>Ok</v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182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9">TRANSPOSE(J82:N82)</f>
        <v>SFA CD</v>
      </c>
      <c r="D95" s="30" t="s">
        <v>98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1.0400339011318691E-2</v>
      </c>
      <c r="Q95" s="117">
        <f t="shared" si="49"/>
        <v>1.0352572304483615E-2</v>
      </c>
      <c r="R95" s="117">
        <f t="shared" si="49"/>
        <v>1.0387295688088383E-2</v>
      </c>
      <c r="S95" s="117">
        <f t="shared" si="49"/>
        <v>1.0322267873009961E-2</v>
      </c>
      <c r="T95" s="117">
        <f>IF(T$93=T$4,SUMPRODUCT(T$75:T$80,$J$84:$J$89),"")</f>
        <v>1.0423331450587997E-2</v>
      </c>
      <c r="U95" s="24"/>
      <c r="W95" s="132"/>
    </row>
    <row r="96" spans="3:23" outlineLevel="1">
      <c r="C96" s="148" t="str">
        <v>LSE CD</v>
      </c>
      <c r="D96" s="30" t="s">
        <v>98</v>
      </c>
      <c r="E96" s="30" t="s">
        <v>18</v>
      </c>
      <c r="F96" s="30" t="s">
        <v>36</v>
      </c>
      <c r="J96" s="117" t="str">
        <f t="shared" ref="J96:S96" si="50">IF(J$93=J$4,SUMPRODUCT(J$75:J$80,$K$84:$K$89),"")</f>
        <v/>
      </c>
      <c r="K96" s="117" t="str">
        <f t="shared" si="50"/>
        <v/>
      </c>
      <c r="L96" s="117" t="str">
        <f t="shared" si="50"/>
        <v/>
      </c>
      <c r="M96" s="117" t="str">
        <f t="shared" si="50"/>
        <v/>
      </c>
      <c r="N96" s="117" t="str">
        <f t="shared" si="50"/>
        <v/>
      </c>
      <c r="O96" s="117" t="str">
        <f t="shared" si="50"/>
        <v/>
      </c>
      <c r="P96" s="117">
        <f t="shared" si="50"/>
        <v>1.0647439639636082E-2</v>
      </c>
      <c r="Q96" s="117">
        <f t="shared" si="50"/>
        <v>1.0600114311509678E-2</v>
      </c>
      <c r="R96" s="117">
        <f t="shared" si="50"/>
        <v>1.0634471099341862E-2</v>
      </c>
      <c r="S96" s="117">
        <f t="shared" si="50"/>
        <v>1.0568128796065571E-2</v>
      </c>
      <c r="T96" s="117">
        <f>IF(T$93=T$4,SUMPRODUCT(T$75:T$80,$K$84:$K$89),"")</f>
        <v>1.0672251904351625E-2</v>
      </c>
      <c r="U96" s="24"/>
      <c r="W96" s="132"/>
    </row>
    <row r="97" spans="1:50" outlineLevel="1">
      <c r="C97" s="148" t="str">
        <v>LSE TLG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IF(J$93=J$4,SUMPRODUCT(J$75:J$80,$L$84:$L$89),"")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8.4744124523063267E-3</v>
      </c>
      <c r="Q97" s="117">
        <f t="shared" si="51"/>
        <v>8.4779954602349303E-3</v>
      </c>
      <c r="R97" s="117">
        <f t="shared" si="51"/>
        <v>8.4741574147157196E-3</v>
      </c>
      <c r="S97" s="117">
        <f t="shared" si="51"/>
        <v>8.4273869202187227E-3</v>
      </c>
      <c r="T97" s="117">
        <f>IF(T$93=T$4,SUMPRODUCT(T$75:T$80,$L$84:$L$89),"")</f>
        <v>8.5274887596493085E-3</v>
      </c>
      <c r="U97" s="24"/>
      <c r="W97" s="132"/>
    </row>
    <row r="98" spans="1:50" outlineLevel="1">
      <c r="C98" s="148" t="str">
        <v>SFA TLG</v>
      </c>
      <c r="J98" s="117"/>
      <c r="K98" s="117"/>
      <c r="L98" s="117"/>
      <c r="M98" s="117"/>
      <c r="N98" s="117"/>
      <c r="O98" s="117"/>
      <c r="P98" s="117">
        <f>IF(P$93=P$4,SUMPRODUCT(P$75:P$80,$M$84:$M$89),"")</f>
        <v>1.0666500756771639E-2</v>
      </c>
      <c r="Q98" s="117">
        <f t="shared" ref="Q98:T98" si="52">IF(Q$93=Q$4,SUMPRODUCT(Q$75:Q$80,$M$84:$M$89),"")</f>
        <v>1.0609872143895863E-2</v>
      </c>
      <c r="R98" s="117">
        <f t="shared" si="52"/>
        <v>1.0651259262910363E-2</v>
      </c>
      <c r="S98" s="117">
        <f t="shared" si="52"/>
        <v>1.0583450137764988E-2</v>
      </c>
      <c r="T98" s="117">
        <f t="shared" si="52"/>
        <v>1.0683909253109457E-2</v>
      </c>
      <c r="U98" s="24"/>
      <c r="W98" s="132"/>
    </row>
    <row r="99" spans="1:50" outlineLevel="1">
      <c r="C99" s="148" t="str">
        <v>MPFP</v>
      </c>
      <c r="D99" s="30" t="s">
        <v>98</v>
      </c>
      <c r="E99" s="30" t="s">
        <v>18</v>
      </c>
      <c r="F99" s="30" t="s">
        <v>36</v>
      </c>
      <c r="J99" s="117" t="str">
        <f t="shared" ref="J99:O99" si="53">IF(J$93=J$4,SUMPRODUCT(J$75:J$80,$M$84:$M$89),"")</f>
        <v/>
      </c>
      <c r="K99" s="117" t="str">
        <f t="shared" si="53"/>
        <v/>
      </c>
      <c r="L99" s="117" t="str">
        <f t="shared" si="53"/>
        <v/>
      </c>
      <c r="M99" s="117" t="str">
        <f t="shared" si="53"/>
        <v/>
      </c>
      <c r="N99" s="117" t="str">
        <f t="shared" si="53"/>
        <v/>
      </c>
      <c r="O99" s="117" t="str">
        <f t="shared" si="53"/>
        <v/>
      </c>
      <c r="P99" s="117">
        <f>IF(P$93=P$4,SUMPRODUCT(P$75:P$80,$N$84:$N$89),"")</f>
        <v>6.6275861252752932E-3</v>
      </c>
      <c r="Q99" s="117">
        <f t="shared" ref="Q99:T99" si="54">IF(Q$93=Q$4,SUMPRODUCT(Q$75:Q$80,$N$84:$N$89),"")</f>
        <v>7.1339071973906872E-3</v>
      </c>
      <c r="R99" s="117">
        <f t="shared" si="54"/>
        <v>6.3875336679592104E-3</v>
      </c>
      <c r="S99" s="117">
        <f t="shared" si="54"/>
        <v>6.7391264638290947E-3</v>
      </c>
      <c r="T99" s="117">
        <f t="shared" si="54"/>
        <v>7.1307965818990125E-3</v>
      </c>
      <c r="U99" s="24"/>
      <c r="W99" s="132"/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s="103" customFormat="1" ht="12.75">
      <c r="A101" s="94"/>
      <c r="B101" s="95" t="s">
        <v>78</v>
      </c>
      <c r="C101" s="94"/>
      <c r="D101" s="94"/>
      <c r="E101" s="94"/>
      <c r="F101" s="96"/>
      <c r="G101" s="96"/>
      <c r="H101" s="96"/>
      <c r="I101" s="96"/>
      <c r="J101" s="96"/>
      <c r="K101" s="97"/>
      <c r="L101" s="98"/>
      <c r="M101" s="97"/>
      <c r="N101" s="98"/>
      <c r="O101" s="97"/>
      <c r="P101" s="97"/>
      <c r="Q101" s="97"/>
      <c r="R101" s="97"/>
      <c r="S101" s="97"/>
      <c r="T101" s="97"/>
      <c r="U101" s="97"/>
      <c r="V101" s="97"/>
      <c r="W101" s="98"/>
      <c r="X101" s="99"/>
      <c r="Y101" s="99"/>
      <c r="Z101" s="99"/>
      <c r="AA101" s="99"/>
      <c r="AB101" s="99"/>
      <c r="AC101" s="99"/>
      <c r="AD101" s="99"/>
      <c r="AE101" s="100"/>
      <c r="AF101" s="101"/>
      <c r="AG101" s="101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</row>
    <row r="102" spans="1:50" outlineLevel="1">
      <c r="G102" s="32"/>
      <c r="H102" s="32"/>
    </row>
    <row r="103" spans="1:50" outlineLevel="1">
      <c r="C103" s="67" t="s">
        <v>48</v>
      </c>
      <c r="D103" s="32" t="s">
        <v>7</v>
      </c>
      <c r="E103" s="32" t="s">
        <v>8</v>
      </c>
      <c r="F103" s="32" t="s">
        <v>22</v>
      </c>
      <c r="G103" s="32"/>
      <c r="H103" s="32"/>
      <c r="J103" s="163" t="str">
        <f t="shared" ref="J103:T103" si="55">IF(YEAR(J$4)&gt;=FPFirstYear,IF(YEAR(J$4)&lt;=FPLastYear,J$4,""),"")</f>
        <v/>
      </c>
      <c r="K103" s="163" t="str">
        <f t="shared" si="55"/>
        <v/>
      </c>
      <c r="L103" s="163" t="str">
        <f t="shared" si="55"/>
        <v/>
      </c>
      <c r="M103" s="163" t="str">
        <f t="shared" si="55"/>
        <v/>
      </c>
      <c r="N103" s="163" t="str">
        <f t="shared" si="55"/>
        <v/>
      </c>
      <c r="O103" s="163" t="str">
        <f t="shared" si="55"/>
        <v/>
      </c>
      <c r="P103" s="163">
        <f t="shared" si="55"/>
        <v>44348</v>
      </c>
      <c r="Q103" s="163">
        <f t="shared" si="55"/>
        <v>44713</v>
      </c>
      <c r="R103" s="163">
        <f t="shared" si="55"/>
        <v>45078</v>
      </c>
      <c r="S103" s="163">
        <f t="shared" si="55"/>
        <v>45444</v>
      </c>
      <c r="T103" s="163">
        <f t="shared" si="55"/>
        <v>45809</v>
      </c>
    </row>
    <row r="104" spans="1:50" outlineLevel="1">
      <c r="C104" s="111"/>
      <c r="G104" s="32"/>
      <c r="H104" s="32"/>
      <c r="K104" s="23"/>
      <c r="L104" s="23"/>
      <c r="M104" s="23"/>
      <c r="N104" s="23"/>
      <c r="O104" s="23"/>
    </row>
    <row r="105" spans="1:50" outlineLevel="1">
      <c r="C105" s="111" t="s">
        <v>48</v>
      </c>
      <c r="D105" s="30" t="s">
        <v>101</v>
      </c>
      <c r="E105" s="30" t="str">
        <f>percent</f>
        <v>Per cent</v>
      </c>
      <c r="F105" s="30" t="s">
        <v>36</v>
      </c>
      <c r="G105" s="32"/>
      <c r="H105" s="32"/>
      <c r="J105" s="206"/>
      <c r="K105" s="195"/>
      <c r="L105" s="195"/>
      <c r="M105" s="195"/>
      <c r="N105" s="195"/>
      <c r="O105" s="170"/>
      <c r="P105" s="170">
        <v>5.0000000000000001E-3</v>
      </c>
      <c r="Q105" s="170">
        <f>$P105</f>
        <v>5.0000000000000001E-3</v>
      </c>
      <c r="R105" s="170">
        <f t="shared" ref="R105:T105" si="56">$P105</f>
        <v>5.0000000000000001E-3</v>
      </c>
      <c r="S105" s="170">
        <f t="shared" si="56"/>
        <v>5.0000000000000001E-3</v>
      </c>
      <c r="T105" s="170">
        <f t="shared" si="56"/>
        <v>5.0000000000000001E-3</v>
      </c>
    </row>
    <row r="106" spans="1:50" outlineLevel="1">
      <c r="C106" s="111"/>
      <c r="G106" s="32"/>
      <c r="H106" s="32"/>
      <c r="J106" s="169"/>
      <c r="K106" s="23"/>
      <c r="L106" s="23"/>
      <c r="M106" s="23"/>
      <c r="N106" s="23"/>
      <c r="O106" s="23"/>
      <c r="P106" s="193"/>
      <c r="Q106" s="193"/>
      <c r="R106" s="193"/>
      <c r="S106" s="193"/>
      <c r="T106" s="193"/>
    </row>
    <row r="107" spans="1:50" outlineLevel="1">
      <c r="C107" s="29" t="s">
        <v>40</v>
      </c>
      <c r="D107" s="30" t="s">
        <v>98</v>
      </c>
      <c r="E107" s="30" t="s">
        <v>28</v>
      </c>
      <c r="F107" s="30" t="s">
        <v>36</v>
      </c>
      <c r="J107" s="132" t="str">
        <f t="shared" ref="J107:S107" si="57">IF(J103=J$4,IF(ISBLANK(J105),"Check","Ok"),"")</f>
        <v/>
      </c>
      <c r="K107" s="132" t="str">
        <f t="shared" si="57"/>
        <v/>
      </c>
      <c r="L107" s="132" t="str">
        <f t="shared" si="57"/>
        <v/>
      </c>
      <c r="M107" s="132" t="str">
        <f t="shared" si="57"/>
        <v/>
      </c>
      <c r="N107" s="132" t="str">
        <f t="shared" si="57"/>
        <v/>
      </c>
      <c r="O107" s="132" t="str">
        <f t="shared" si="57"/>
        <v/>
      </c>
      <c r="P107" s="132" t="str">
        <f t="shared" si="57"/>
        <v>Ok</v>
      </c>
      <c r="Q107" s="132" t="str">
        <f t="shared" si="57"/>
        <v>Ok</v>
      </c>
      <c r="R107" s="132" t="str">
        <f t="shared" si="57"/>
        <v>Ok</v>
      </c>
      <c r="S107" s="132" t="str">
        <f t="shared" si="57"/>
        <v>Ok</v>
      </c>
      <c r="T107" s="132" t="str">
        <f>IF(T103=T$4,IF(ISBLANK(T105),"Check","Ok"),"")</f>
        <v>Ok</v>
      </c>
      <c r="U107" s="24"/>
      <c r="W107" s="131" t="str">
        <f>IF(COUNTIF(J107:T107,"Check")=0,"Ok","Check")</f>
        <v>Ok</v>
      </c>
    </row>
    <row r="108" spans="1:50" outlineLevel="1">
      <c r="C108" s="111"/>
      <c r="G108" s="32"/>
      <c r="H108" s="32"/>
      <c r="K108" s="23"/>
      <c r="L108" s="23"/>
      <c r="M108" s="23"/>
      <c r="N108" s="23"/>
      <c r="O108" s="23"/>
    </row>
    <row r="109" spans="1:50" s="103" customFormat="1" ht="12.75">
      <c r="A109" s="94"/>
      <c r="B109" s="95" t="s">
        <v>21</v>
      </c>
      <c r="C109" s="94"/>
      <c r="D109" s="94"/>
      <c r="E109" s="94"/>
      <c r="F109" s="96"/>
      <c r="G109" s="96"/>
      <c r="H109" s="96"/>
      <c r="I109" s="96"/>
      <c r="J109" s="96"/>
      <c r="K109" s="97"/>
      <c r="L109" s="98"/>
      <c r="M109" s="97"/>
      <c r="N109" s="98"/>
      <c r="O109" s="97"/>
      <c r="P109" s="97"/>
      <c r="Q109" s="97"/>
      <c r="R109" s="97"/>
      <c r="S109" s="97"/>
      <c r="T109" s="97"/>
      <c r="U109" s="97"/>
      <c r="V109" s="97"/>
      <c r="W109" s="98"/>
      <c r="X109" s="99"/>
      <c r="Y109" s="99"/>
      <c r="Z109" s="99"/>
      <c r="AA109" s="99"/>
      <c r="AB109" s="99"/>
      <c r="AC109" s="99"/>
      <c r="AD109" s="99"/>
      <c r="AE109" s="100"/>
      <c r="AF109" s="101"/>
      <c r="AG109" s="101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</row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mergeCells count="2">
    <mergeCell ref="K3:M3"/>
    <mergeCell ref="O3:T3"/>
  </mergeCells>
  <conditionalFormatting sqref="W1">
    <cfRule type="cellIs" dxfId="155" priority="115" operator="equal">
      <formula>"Check"</formula>
    </cfRule>
    <cfRule type="cellIs" dxfId="154" priority="116" operator="equal">
      <formula>"Ok"</formula>
    </cfRule>
  </conditionalFormatting>
  <conditionalFormatting sqref="T1">
    <cfRule type="cellIs" dxfId="153" priority="79" operator="equal">
      <formula>"Check"</formula>
    </cfRule>
    <cfRule type="cellIs" dxfId="152" priority="80" operator="equal">
      <formula>"Ok"</formula>
    </cfRule>
  </conditionalFormatting>
  <conditionalFormatting sqref="W58">
    <cfRule type="cellIs" dxfId="151" priority="67" operator="equal">
      <formula>"Check"</formula>
    </cfRule>
    <cfRule type="cellIs" dxfId="150" priority="68" operator="equal">
      <formula>"Ok"</formula>
    </cfRule>
  </conditionalFormatting>
  <conditionalFormatting sqref="J58:T58">
    <cfRule type="cellIs" dxfId="149" priority="59" operator="equal">
      <formula>"Check"</formula>
    </cfRule>
    <cfRule type="cellIs" dxfId="148" priority="60" operator="equal">
      <formula>"Ok"</formula>
    </cfRule>
  </conditionalFormatting>
  <conditionalFormatting sqref="J34:T34">
    <cfRule type="expression" dxfId="147" priority="50">
      <formula>J$34=J$4</formula>
    </cfRule>
  </conditionalFormatting>
  <conditionalFormatting sqref="J38:T43 J36:O37">
    <cfRule type="expression" dxfId="146" priority="48">
      <formula>J$34=J$4</formula>
    </cfRule>
  </conditionalFormatting>
  <conditionalFormatting sqref="J49:T56">
    <cfRule type="expression" dxfId="145" priority="47">
      <formula>J$47=J$4</formula>
    </cfRule>
  </conditionalFormatting>
  <conditionalFormatting sqref="W107">
    <cfRule type="cellIs" dxfId="144" priority="41" operator="equal">
      <formula>"Check"</formula>
    </cfRule>
    <cfRule type="cellIs" dxfId="143" priority="42" operator="equal">
      <formula>"Ok"</formula>
    </cfRule>
  </conditionalFormatting>
  <conditionalFormatting sqref="J107:T107">
    <cfRule type="cellIs" dxfId="142" priority="39" operator="equal">
      <formula>"Check"</formula>
    </cfRule>
    <cfRule type="cellIs" dxfId="141" priority="40" operator="equal">
      <formula>"Ok"</formula>
    </cfRule>
  </conditionalFormatting>
  <conditionalFormatting sqref="W45">
    <cfRule type="cellIs" dxfId="140" priority="37" operator="equal">
      <formula>"Check"</formula>
    </cfRule>
    <cfRule type="cellIs" dxfId="139" priority="38" operator="equal">
      <formula>"Ok"</formula>
    </cfRule>
  </conditionalFormatting>
  <conditionalFormatting sqref="J45:T45">
    <cfRule type="cellIs" dxfId="138" priority="35" operator="equal">
      <formula>"Check"</formula>
    </cfRule>
    <cfRule type="cellIs" dxfId="137" priority="36" operator="equal">
      <formula>"Ok"</formula>
    </cfRule>
  </conditionalFormatting>
  <conditionalFormatting sqref="W71">
    <cfRule type="cellIs" dxfId="136" priority="33" operator="equal">
      <formula>"Check"</formula>
    </cfRule>
    <cfRule type="cellIs" dxfId="135" priority="34" operator="equal">
      <formula>"Ok"</formula>
    </cfRule>
  </conditionalFormatting>
  <conditionalFormatting sqref="J71:T71">
    <cfRule type="cellIs" dxfId="134" priority="31" operator="equal">
      <formula>"Check"</formula>
    </cfRule>
    <cfRule type="cellIs" dxfId="133" priority="32" operator="equal">
      <formula>"Ok"</formula>
    </cfRule>
  </conditionalFormatting>
  <conditionalFormatting sqref="J62:T62">
    <cfRule type="expression" dxfId="132" priority="25">
      <formula>J$62=J$4</formula>
    </cfRule>
  </conditionalFormatting>
  <conditionalFormatting sqref="J64:T69">
    <cfRule type="expression" dxfId="131" priority="23">
      <formula>J$62=J$4</formula>
    </cfRule>
  </conditionalFormatting>
  <conditionalFormatting sqref="J47:T47">
    <cfRule type="expression" dxfId="130" priority="20">
      <formula>J$34=J$4</formula>
    </cfRule>
  </conditionalFormatting>
  <conditionalFormatting sqref="J73:T73">
    <cfRule type="expression" dxfId="129" priority="19">
      <formula>J$34=J$4</formula>
    </cfRule>
  </conditionalFormatting>
  <conditionalFormatting sqref="J103:T103">
    <cfRule type="expression" dxfId="128" priority="18">
      <formula>J$34=J$4</formula>
    </cfRule>
  </conditionalFormatting>
  <conditionalFormatting sqref="J25:T30">
    <cfRule type="cellIs" dxfId="127" priority="16" operator="equal">
      <formula>0</formula>
    </cfRule>
  </conditionalFormatting>
  <conditionalFormatting sqref="J16:T21">
    <cfRule type="cellIs" dxfId="126" priority="15" operator="equal">
      <formula>0</formula>
    </cfRule>
  </conditionalFormatting>
  <conditionalFormatting sqref="W91:W99">
    <cfRule type="cellIs" dxfId="125" priority="11" operator="equal">
      <formula>"Check"</formula>
    </cfRule>
    <cfRule type="cellIs" dxfId="124" priority="12" operator="equal">
      <formula>"Ok"</formula>
    </cfRule>
  </conditionalFormatting>
  <conditionalFormatting sqref="K88:M89">
    <cfRule type="expression" dxfId="123" priority="10">
      <formula>K$82=K$4</formula>
    </cfRule>
  </conditionalFormatting>
  <conditionalFormatting sqref="J94:T94 J92:T92 J91:M91 O91:T91">
    <cfRule type="cellIs" dxfId="122" priority="8" operator="equal">
      <formula>"Check"</formula>
    </cfRule>
    <cfRule type="cellIs" dxfId="121" priority="9" operator="equal">
      <formula>"Ok"</formula>
    </cfRule>
  </conditionalFormatting>
  <conditionalFormatting sqref="J93:T93">
    <cfRule type="expression" dxfId="120" priority="7">
      <formula>J$93=J$4</formula>
    </cfRule>
  </conditionalFormatting>
  <conditionalFormatting sqref="J105:T105">
    <cfRule type="expression" dxfId="119" priority="120">
      <formula>J$103=J$4</formula>
    </cfRule>
  </conditionalFormatting>
  <conditionalFormatting sqref="K84:M87">
    <cfRule type="expression" dxfId="118" priority="6">
      <formula>K$82=K$4</formula>
    </cfRule>
  </conditionalFormatting>
  <conditionalFormatting sqref="P36:T37">
    <cfRule type="expression" dxfId="117" priority="5">
      <formula>P$34=P$4</formula>
    </cfRule>
  </conditionalFormatting>
  <conditionalFormatting sqref="N88:N89">
    <cfRule type="expression" dxfId="116" priority="4">
      <formula>N$82=N$4</formula>
    </cfRule>
  </conditionalFormatting>
  <conditionalFormatting sqref="N91">
    <cfRule type="cellIs" dxfId="115" priority="2" operator="equal">
      <formula>"Check"</formula>
    </cfRule>
    <cfRule type="cellIs" dxfId="114" priority="3" operator="equal">
      <formula>"Ok"</formula>
    </cfRule>
  </conditionalFormatting>
  <conditionalFormatting sqref="N84:N87">
    <cfRule type="expression" dxfId="113" priority="1">
      <formula>N$82=N$4</formula>
    </cfRule>
  </conditionalFormatting>
  <dataValidations disablePrompts="1" count="2">
    <dataValidation type="list" allowBlank="1" showInputMessage="1" showErrorMessage="1" sqref="F108 F72 F100">
      <formula1>#REF!</formula1>
    </dataValidation>
    <dataValidation type="list" allowBlank="1" showInputMessage="1" showErrorMessage="1" sqref="F83 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topLeftCell="D1" workbookViewId="0">
      <selection activeCell="J38" sqref="J38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122</v>
      </c>
      <c r="K3" s="173"/>
      <c r="L3" s="173"/>
      <c r="M3" s="183"/>
      <c r="N3" s="222"/>
      <c r="O3" s="222"/>
      <c r="P3" s="222"/>
      <c r="Q3" s="222"/>
      <c r="R3" s="222"/>
      <c r="S3" s="222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221" t="s">
        <v>206</v>
      </c>
      <c r="D12" s="30" t="s">
        <v>69</v>
      </c>
      <c r="E12" s="150" t="s">
        <v>15</v>
      </c>
      <c r="F12" s="172">
        <v>43983</v>
      </c>
      <c r="G12" s="32"/>
      <c r="H12" s="32"/>
      <c r="J12" s="152"/>
      <c r="K12" s="152"/>
      <c r="L12" s="152"/>
      <c r="M12" s="152"/>
      <c r="N12" s="152"/>
      <c r="O12" s="171">
        <v>0</v>
      </c>
      <c r="P12" s="171">
        <v>0</v>
      </c>
      <c r="Q12" s="171">
        <v>-0.17227945998150371</v>
      </c>
      <c r="R12" s="171">
        <v>-0.89566601496420195</v>
      </c>
      <c r="S12" s="171">
        <v>-0.88371799291941355</v>
      </c>
    </row>
    <row r="13" spans="1:47" outlineLevel="1">
      <c r="C13" s="221" t="s">
        <v>207</v>
      </c>
      <c r="D13" s="30" t="s">
        <v>69</v>
      </c>
      <c r="E13" s="150" t="s">
        <v>15</v>
      </c>
      <c r="F13" s="172">
        <v>43983</v>
      </c>
      <c r="G13" s="32"/>
      <c r="H13" s="32"/>
      <c r="J13" s="152"/>
      <c r="K13" s="152"/>
      <c r="L13" s="152"/>
      <c r="M13" s="152"/>
      <c r="N13" s="152"/>
      <c r="O13" s="171">
        <v>0</v>
      </c>
      <c r="P13" s="171">
        <v>-4.7199676405662722E-2</v>
      </c>
      <c r="Q13" s="171">
        <v>-1.0207177530025957</v>
      </c>
      <c r="R13" s="171">
        <v>-2.5754067379235299</v>
      </c>
      <c r="S13" s="171">
        <v>-3.5843243384838899</v>
      </c>
    </row>
    <row r="14" spans="1:47" outlineLevel="1">
      <c r="C14" s="61"/>
      <c r="D14" s="30" t="s">
        <v>69</v>
      </c>
      <c r="E14" s="150" t="s">
        <v>15</v>
      </c>
      <c r="F14" s="172">
        <v>42522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61"/>
      <c r="D15" s="30" t="s">
        <v>69</v>
      </c>
      <c r="E15" s="150" t="s">
        <v>15</v>
      </c>
      <c r="F15" s="172">
        <v>42522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61"/>
      <c r="D16" s="30" t="s">
        <v>69</v>
      </c>
      <c r="E16" s="150" t="s">
        <v>15</v>
      </c>
      <c r="F16" s="172">
        <v>42522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61"/>
      <c r="D17" s="30" t="s">
        <v>69</v>
      </c>
      <c r="E17" s="150" t="s">
        <v>15</v>
      </c>
      <c r="F17" s="172">
        <v>42522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61"/>
      <c r="D18" s="30" t="s">
        <v>69</v>
      </c>
      <c r="E18" s="150" t="s">
        <v>15</v>
      </c>
      <c r="F18" s="172">
        <v>42522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69</v>
      </c>
      <c r="E19" s="150" t="s">
        <v>15</v>
      </c>
      <c r="F19" s="172">
        <v>42522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69</v>
      </c>
      <c r="E20" s="150" t="s">
        <v>15</v>
      </c>
      <c r="F20" s="172">
        <v>42522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116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61"/>
      <c r="D28" s="30" t="s">
        <v>69</v>
      </c>
      <c r="E28" s="150" t="s">
        <v>15</v>
      </c>
      <c r="F28" s="172">
        <v>42522</v>
      </c>
      <c r="G28" s="32"/>
      <c r="H28" s="32"/>
      <c r="J28" s="152"/>
      <c r="K28" s="152"/>
      <c r="L28" s="152"/>
      <c r="M28" s="152"/>
      <c r="N28" s="171"/>
      <c r="O28" s="171"/>
      <c r="P28" s="171"/>
      <c r="Q28" s="171"/>
      <c r="R28" s="171"/>
      <c r="S28" s="171"/>
    </row>
    <row r="29" spans="1:47" outlineLevel="1">
      <c r="C29" s="61"/>
      <c r="D29" s="30" t="s">
        <v>69</v>
      </c>
      <c r="E29" s="150" t="s">
        <v>15</v>
      </c>
      <c r="F29" s="172">
        <v>42522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69</v>
      </c>
      <c r="E30" s="150" t="s">
        <v>15</v>
      </c>
      <c r="F30" s="172">
        <v>42522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72</v>
      </c>
      <c r="E38" s="30" t="s">
        <v>15</v>
      </c>
      <c r="F38" s="211">
        <f>DATE(PPLastYear,MONTH('Input|General'!$G$9),1)</f>
        <v>43983</v>
      </c>
      <c r="G38" s="32"/>
      <c r="H38" s="32"/>
      <c r="J38" s="171"/>
      <c r="K38" s="171"/>
      <c r="L38" s="171"/>
      <c r="M38" s="171"/>
      <c r="N38" s="171"/>
      <c r="O38" s="171">
        <v>6.0752040171895372</v>
      </c>
      <c r="P38" s="171">
        <v>6.0648203335164164</v>
      </c>
      <c r="Q38" s="171">
        <v>6.0559119427859187</v>
      </c>
      <c r="R38" s="171">
        <v>6.0399930674645521</v>
      </c>
      <c r="S38" s="171">
        <v>6.0097867730848691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S10">
    <cfRule type="expression" dxfId="108" priority="24">
      <formula>J$10=J$4</formula>
    </cfRule>
  </conditionalFormatting>
  <conditionalFormatting sqref="J12:S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2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2:T32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0 O29:S30">
    <cfRule type="expression" dxfId="98" priority="12">
      <formula>J$26=J$4</formula>
    </cfRule>
  </conditionalFormatting>
  <conditionalFormatting sqref="W40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0:T40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O28:S28">
    <cfRule type="expression" dxfId="93" priority="7">
      <formula>O$10=O$4</formula>
    </cfRule>
  </conditionalFormatting>
  <conditionalFormatting sqref="N28:N30">
    <cfRule type="expression" dxfId="92" priority="6">
      <formula>N$10=N$4</formula>
    </cfRule>
  </conditionalFormatting>
  <conditionalFormatting sqref="J38:S38">
    <cfRule type="expression" dxfId="91" priority="3">
      <formula>J$36=J$4</formula>
    </cfRule>
  </conditionalFormatting>
  <conditionalFormatting sqref="J26:S26">
    <cfRule type="expression" dxfId="90" priority="2">
      <formula>J$10=J$4</formula>
    </cfRule>
  </conditionalFormatting>
  <conditionalFormatting sqref="J36:S36">
    <cfRule type="expression" dxfId="89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'Lookup|Tables'!$C$67:$C$75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E89" workbookViewId="0">
      <selection activeCell="O102" sqref="O102:S102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122</v>
      </c>
      <c r="K3" s="173"/>
      <c r="L3" s="173"/>
      <c r="M3" s="183"/>
      <c r="N3" s="222"/>
      <c r="O3" s="222"/>
      <c r="P3" s="222"/>
      <c r="Q3" s="222"/>
      <c r="R3" s="222"/>
      <c r="S3" s="222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86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163</v>
      </c>
      <c r="D12" s="108" t="s">
        <v>92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351.89239499999996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163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360.00426475481157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164</v>
      </c>
      <c r="D14" s="108" t="s">
        <v>92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355.00227054753572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164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384.79604249990655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165</v>
      </c>
      <c r="D16" s="108" t="s">
        <v>92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357.17743063607014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165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387.15375416349917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166</v>
      </c>
      <c r="D19" s="108" t="s">
        <v>92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166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167</v>
      </c>
      <c r="D21" s="108" t="s">
        <v>92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7.0382705475357392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167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7.6289614952554361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168</v>
      </c>
      <c r="D23" s="108" t="s">
        <v>92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7.1554306360701716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168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7.7559543123364509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139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360.00426475481157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161</v>
      </c>
      <c r="D28" s="108" t="s">
        <v>92</v>
      </c>
      <c r="E28" s="110" t="str">
        <f>'Input|Reported opex'!E68</f>
        <v>$millions</v>
      </c>
      <c r="F28" s="161">
        <f>'Input|Reported opex'!F68</f>
        <v>42522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159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2.3577116635926245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105</v>
      </c>
      <c r="D33" s="110" t="s">
        <v>30</v>
      </c>
      <c r="E33" s="110" t="str">
        <f>$E$8</f>
        <v>$millions</v>
      </c>
      <c r="F33" s="161">
        <f>$F$8</f>
        <v>43983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362.3619764184042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169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-0.12699281708101484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CAM adjustment</v>
      </c>
      <c r="D37" s="108" t="s">
        <v>92</v>
      </c>
      <c r="E37" s="110" t="str">
        <f>'Input|Reported opex'!E62</f>
        <v>$millions</v>
      </c>
      <c r="F37" s="161">
        <f>'Input|Reported opex'!F62</f>
        <v>43983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2.9869467975120516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CAM adjustment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2.9869467975120516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Service classification adjustment</v>
      </c>
      <c r="D40" s="108" t="s">
        <v>92</v>
      </c>
      <c r="E40" s="30" t="str">
        <f>'Input|Reported opex'!$E$63</f>
        <v>$millions</v>
      </c>
      <c r="F40" s="161">
        <f>'Input|Reported opex'!$F$63</f>
        <v>43983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1.4264106454174759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Service classification adjustment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1.4264106454174759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Negative base adjustments</v>
      </c>
      <c r="D43" s="108" t="s">
        <v>92</v>
      </c>
      <c r="E43" s="30" t="str">
        <f>'Input|Reported opex'!$E$64</f>
        <v>$millions</v>
      </c>
      <c r="F43" s="161">
        <f>'Input|Reported opex'!$F$64</f>
        <v>43983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Negative base adjustments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92</v>
      </c>
      <c r="E46" s="30" t="str">
        <f>'Input|Reported opex'!$E$65</f>
        <v>$millions</v>
      </c>
      <c r="F46" s="161">
        <f>'Input|Reported opex'!$F$65</f>
        <v>42522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92</v>
      </c>
      <c r="E49" s="30" t="str">
        <f>'Input|Reported opex'!$E$66</f>
        <v>$millions</v>
      </c>
      <c r="F49" s="161">
        <f>'Input|Reported opex'!$F$66</f>
        <v>42522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89</v>
      </c>
      <c r="D52" s="110" t="s">
        <v>98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170</v>
      </c>
      <c r="D54" s="112" t="s">
        <v>98</v>
      </c>
      <c r="E54" s="112" t="str">
        <f>$E$8</f>
        <v>$millions</v>
      </c>
      <c r="F54" s="180">
        <f>$F$8</f>
        <v>43983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366.64834104425273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change'!K95,0,0,COUNTA('Input|Rate of change'!$J$82:$M$82),1)),0)</f>
        <v>0</v>
      </c>
      <c r="K61" s="117">
        <f ca="1">IF(K58=K4,AVERAGE(OFFSET('Input|Rate of change'!L95,0,0,COUNTA('Input|Rate of change'!$J$82:$M$82),1)),0)</f>
        <v>0</v>
      </c>
      <c r="L61" s="117">
        <f ca="1">IF(L58=L4,AVERAGE(OFFSET('Input|Rate of change'!M95,0,0,COUNTA('Input|Rate of change'!$J$82:$M$82),1)),0)</f>
        <v>0</v>
      </c>
      <c r="M61" s="117">
        <f ca="1">IF(M58=M4,AVERAGE(OFFSET('Input|Rate of change'!N95,0,0,COUNTA('Input|Rate of change'!$J$82:$M$82),1)),0)</f>
        <v>0</v>
      </c>
      <c r="N61" s="117">
        <f ca="1">IF(N58=N4,AVERAGE(OFFSET('Input|Rate of change'!O95,0,0,COUNTA('Input|Rate of change'!$J$82:$M$82),1)),0)</f>
        <v>0</v>
      </c>
      <c r="O61" s="117">
        <f ca="1">IF(O58=O4,AVERAGE(OFFSET('Input|Rate of change'!P95,0,0,COUNTA('Input|Rate of change'!$J$82:$N82),1)),0)</f>
        <v>9.3632555970616059E-3</v>
      </c>
      <c r="P61" s="117">
        <f ca="1">IF(P58=P4,AVERAGE(OFFSET('Input|Rate of change'!Q95,0,0,COUNTA('Input|Rate of change'!$J$82:$N82),1)),0)</f>
        <v>9.4348922835029558E-3</v>
      </c>
      <c r="Q61" s="117">
        <f ca="1">IF(Q58=Q4,AVERAGE(OFFSET('Input|Rate of change'!R95,0,0,COUNTA('Input|Rate of change'!$J$82:$N82),1)),0)</f>
        <v>9.3069434266031086E-3</v>
      </c>
      <c r="R61" s="117">
        <f ca="1">IF(R58=R4,AVERAGE(OFFSET('Input|Rate of change'!S95,0,0,COUNTA('Input|Rate of change'!$J$82:$N82),1)),0)</f>
        <v>9.3280720381776674E-3</v>
      </c>
      <c r="S61" s="117">
        <f ca="1">IF(S58=S4,AVERAGE(OFFSET('Input|Rate of change'!T95,0,0,COUNTA('Input|Rate of change'!$J$82:$N82),1)),0)</f>
        <v>9.4875555899194795E-3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4.8271682589428348E-3</v>
      </c>
      <c r="P63" s="117">
        <f>SUMPRODUCT('Input|Rate of change'!Q36:Q43,'Input|Rate of change'!Q49:Q56)</f>
        <v>5.8656829746736982E-3</v>
      </c>
      <c r="Q63" s="117">
        <f>SUMPRODUCT('Input|Rate of change'!R36:R43,'Input|Rate of change'!R49:R56)</f>
        <v>6.2645933463115408E-3</v>
      </c>
      <c r="R63" s="117">
        <f>SUMPRODUCT('Input|Rate of change'!S36:S43,'Input|Rate of change'!S49:S56)</f>
        <v>6.1265617448868779E-3</v>
      </c>
      <c r="S63" s="117">
        <f>SUMPRODUCT('Input|Rate of change'!T36:T43,'Input|Rate of change'!T49:T56)</f>
        <v>5.7719036621568598E-3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change'!K105</f>
        <v>0</v>
      </c>
      <c r="K65" s="117">
        <f>'Input|Rate of change'!L105</f>
        <v>0</v>
      </c>
      <c r="L65" s="117">
        <f>'Input|Rate of change'!M105</f>
        <v>0</v>
      </c>
      <c r="M65" s="117">
        <f>'Input|Rate of change'!N105</f>
        <v>0</v>
      </c>
      <c r="N65" s="117">
        <f>'Input|Rate of change'!O105</f>
        <v>0</v>
      </c>
      <c r="O65" s="117">
        <f>'Input|Rate of change'!P105</f>
        <v>5.0000000000000001E-3</v>
      </c>
      <c r="P65" s="117">
        <f>'Input|Rate of change'!Q105</f>
        <v>5.0000000000000001E-3</v>
      </c>
      <c r="Q65" s="117">
        <f>'Input|Rate of change'!R105</f>
        <v>5.0000000000000001E-3</v>
      </c>
      <c r="R65" s="117">
        <f>'Input|Rate of change'!S105</f>
        <v>5.0000000000000001E-3</v>
      </c>
      <c r="S65" s="117">
        <f>'Input|Rate of change'!T105</f>
        <v>5.0000000000000001E-3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140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9.1644437568918491E-3</v>
      </c>
      <c r="P67" s="143">
        <f t="shared" ca="1" si="6"/>
        <v>1.0279137758485879E-2</v>
      </c>
      <c r="Q67" s="143">
        <f t="shared" ca="1" si="6"/>
        <v>1.0551691783835526E-2</v>
      </c>
      <c r="R67" s="143">
        <f t="shared" ca="1" si="6"/>
        <v>1.0434223878405424E-2</v>
      </c>
      <c r="S67" s="143">
        <f t="shared" ca="1" si="6"/>
        <v>1.0237649406386051E-2</v>
      </c>
    </row>
    <row r="68" spans="1:47" outlineLevel="1">
      <c r="C68" s="124" t="s">
        <v>141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9.1644437568918491E-3</v>
      </c>
      <c r="P68" s="117">
        <f t="array" aca="1" ref="P68" ca="1">IF(P$58=P$4,PRODUCT(1+$J67:P67)-1,"")</f>
        <v>1.9537784095234656E-2</v>
      </c>
      <c r="Q68" s="117">
        <f t="array" aca="1" ref="Q68" ca="1">IF(Q$58=Q$4,PRODUCT(1+$J67:Q67)-1,"")</f>
        <v>3.0295632554982133E-2</v>
      </c>
      <c r="R68" s="117">
        <f t="array" aca="1" ref="R68" ca="1">IF(R$58=R$4,PRODUCT(1+$J67:R67)-1,"")</f>
        <v>4.1045967846004228E-2</v>
      </c>
      <c r="S68" s="117">
        <f t="array" aca="1" ref="S68" ca="1">IF(S$58=S$4,PRODUCT(1+$J67:S67)-1,"")</f>
        <v>5.1703831480743423E-2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Business Benefits - Property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-0.17227945998150374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-0.89566601496420195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-0.88371799291941355</v>
      </c>
    </row>
    <row r="75" spans="1:47" outlineLevel="1">
      <c r="C75" s="121" t="str">
        <f>'Input|Step changes'!C13</f>
        <v>Business Benefits - ICT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-4.7199676405662722E-2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-1.0207177530025957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-2.5754067379235299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-3.5843243384838899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43983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0</v>
      </c>
      <c r="P84" s="177">
        <f t="shared" si="9"/>
        <v>-4.7199676405662722E-2</v>
      </c>
      <c r="Q84" s="177">
        <f t="shared" si="9"/>
        <v>-1.1929972129840993</v>
      </c>
      <c r="R84" s="177">
        <f t="shared" si="9"/>
        <v>-3.4710727528877321</v>
      </c>
      <c r="S84" s="177">
        <f t="shared" si="9"/>
        <v>-4.4680423314033035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117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118</v>
      </c>
      <c r="D94" s="122" t="s">
        <v>30</v>
      </c>
      <c r="E94" s="122" t="str">
        <f>$E$8</f>
        <v>$millions</v>
      </c>
      <c r="F94" s="175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91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137</v>
      </c>
      <c r="D100" s="126" t="s">
        <v>30</v>
      </c>
      <c r="E100" s="126" t="str">
        <f>$E$8</f>
        <v>$millions</v>
      </c>
      <c r="F100" s="175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ca="1" si="14"/>
        <v>370.00846914431048</v>
      </c>
      <c r="P100" s="151">
        <f t="shared" ca="1" si="14"/>
        <v>373.76463749404564</v>
      </c>
      <c r="Q100" s="151">
        <f t="shared" ca="1" si="14"/>
        <v>376.56318724843908</v>
      </c>
      <c r="R100" s="151">
        <f t="shared" ca="1" si="14"/>
        <v>378.22670430865821</v>
      </c>
      <c r="S100" s="151">
        <f t="shared" ca="1" si="14"/>
        <v>381.13742275089561</v>
      </c>
    </row>
    <row r="101" spans="1:47" outlineLevel="1">
      <c r="C101" s="123" t="s">
        <v>108</v>
      </c>
      <c r="D101" s="126" t="s">
        <v>30</v>
      </c>
      <c r="E101" s="126" t="str">
        <f>$E$8</f>
        <v>$millions</v>
      </c>
      <c r="F101" s="175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ca="1" si="15"/>
        <v>370.00846914431048</v>
      </c>
      <c r="P101" s="151">
        <f t="shared" ca="1" si="15"/>
        <v>373.76463749404564</v>
      </c>
      <c r="Q101" s="151">
        <f t="shared" ca="1" si="15"/>
        <v>376.56318724843908</v>
      </c>
      <c r="R101" s="151">
        <f t="shared" ca="1" si="15"/>
        <v>378.22670430865821</v>
      </c>
      <c r="S101" s="151">
        <f t="shared" ca="1" si="15"/>
        <v>381.13742275089561</v>
      </c>
    </row>
    <row r="102" spans="1:47" outlineLevel="1">
      <c r="C102" s="123" t="s">
        <v>109</v>
      </c>
      <c r="D102" s="126" t="s">
        <v>30</v>
      </c>
      <c r="E102" s="126" t="str">
        <f>$E$8</f>
        <v>$millions</v>
      </c>
      <c r="F102" s="175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 ca="1">IF(YEAR(O$4)&gt;=FPFirstYear,IF(YEAR(O$4)&lt;=FPLastYear,O101+'Input|Step changes'!O38,""),"")</f>
        <v>376.08367316150003</v>
      </c>
      <c r="P102" s="151">
        <f ca="1">IF(YEAR(P$4)&gt;=FPFirstYear,IF(YEAR(P$4)&lt;=FPLastYear,P101+'Input|Step changes'!P38,""),"")</f>
        <v>379.82945782756207</v>
      </c>
      <c r="Q102" s="151">
        <f ca="1">IF(YEAR(Q$4)&gt;=FPFirstYear,IF(YEAR(Q$4)&lt;=FPLastYear,Q101+'Input|Step changes'!Q38,""),"")</f>
        <v>382.61909919122502</v>
      </c>
      <c r="R102" s="151">
        <f ca="1">IF(YEAR(R$4)&gt;=FPFirstYear,IF(YEAR(R$4)&lt;=FPLastYear,R101+'Input|Step changes'!R38,""),"")</f>
        <v>384.26669737612275</v>
      </c>
      <c r="S102" s="151">
        <f ca="1">IF(YEAR(S$4)&gt;=FPFirstYear,IF(YEAR(S$4)&lt;=FPLastYear,S101+'Input|Step changes'!S38,""),"")</f>
        <v>387.14720952398045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88" priority="99" operator="equal">
      <formula>"Check"</formula>
    </cfRule>
    <cfRule type="cellIs" dxfId="87" priority="100" operator="equal">
      <formula>"Ok"</formula>
    </cfRule>
  </conditionalFormatting>
  <conditionalFormatting sqref="V1">
    <cfRule type="cellIs" dxfId="86" priority="101" operator="equal">
      <formula>"Check"</formula>
    </cfRule>
    <cfRule type="cellIs" dxfId="85" priority="102" operator="equal">
      <formula>"Ok"</formula>
    </cfRule>
  </conditionalFormatting>
  <conditionalFormatting sqref="R39:S39 R42:S42 R45:S45 R48:S48 J12:S18">
    <cfRule type="cellIs" dxfId="84" priority="98" operator="equal">
      <formula>0</formula>
    </cfRule>
  </conditionalFormatting>
  <conditionalFormatting sqref="J13:S13">
    <cfRule type="cellIs" dxfId="83" priority="97" operator="equal">
      <formula>0</formula>
    </cfRule>
  </conditionalFormatting>
  <conditionalFormatting sqref="J14:S14">
    <cfRule type="cellIs" dxfId="82" priority="96" operator="equal">
      <formula>0</formula>
    </cfRule>
  </conditionalFormatting>
  <conditionalFormatting sqref="J15:S15">
    <cfRule type="cellIs" dxfId="81" priority="95" operator="equal">
      <formula>0</formula>
    </cfRule>
  </conditionalFormatting>
  <conditionalFormatting sqref="J16:S16">
    <cfRule type="cellIs" dxfId="80" priority="94" operator="equal">
      <formula>0</formula>
    </cfRule>
  </conditionalFormatting>
  <conditionalFormatting sqref="J17:S18">
    <cfRule type="cellIs" dxfId="79" priority="93" operator="equal">
      <formula>0</formula>
    </cfRule>
  </conditionalFormatting>
  <conditionalFormatting sqref="J61:S65">
    <cfRule type="cellIs" dxfId="78" priority="92" operator="equal">
      <formula>0</formula>
    </cfRule>
  </conditionalFormatting>
  <conditionalFormatting sqref="J74:S82 J90:S92">
    <cfRule type="cellIs" dxfId="77" priority="90" operator="equal">
      <formula>0</formula>
    </cfRule>
  </conditionalFormatting>
  <conditionalFormatting sqref="J36:S36 J33:S34 J51:S54">
    <cfRule type="cellIs" dxfId="76" priority="87" operator="equal">
      <formula>0</formula>
    </cfRule>
  </conditionalFormatting>
  <conditionalFormatting sqref="J101:S102">
    <cfRule type="cellIs" dxfId="75" priority="86" operator="equal">
      <formula>0</formula>
    </cfRule>
  </conditionalFormatting>
  <conditionalFormatting sqref="J101:S102">
    <cfRule type="cellIs" dxfId="74" priority="85" operator="equal">
      <formula>0</formula>
    </cfRule>
  </conditionalFormatting>
  <conditionalFormatting sqref="J46:S46">
    <cfRule type="cellIs" dxfId="73" priority="48" operator="equal">
      <formula>0</formula>
    </cfRule>
  </conditionalFormatting>
  <conditionalFormatting sqref="J39:Q39 J42:Q42 J45:Q45">
    <cfRule type="cellIs" dxfId="72" priority="66" operator="equal">
      <formula>0</formula>
    </cfRule>
  </conditionalFormatting>
  <conditionalFormatting sqref="J39:Q39 J42:Q42 J45:Q45">
    <cfRule type="cellIs" dxfId="71" priority="65" operator="equal">
      <formula>0</formula>
    </cfRule>
  </conditionalFormatting>
  <conditionalFormatting sqref="J37:S37">
    <cfRule type="cellIs" dxfId="70" priority="61" operator="equal">
      <formula>0</formula>
    </cfRule>
  </conditionalFormatting>
  <conditionalFormatting sqref="J37:S37">
    <cfRule type="cellIs" dxfId="69" priority="60" operator="equal">
      <formula>0</formula>
    </cfRule>
  </conditionalFormatting>
  <conditionalFormatting sqref="J48:Q48">
    <cfRule type="cellIs" dxfId="68" priority="51" operator="equal">
      <formula>0</formula>
    </cfRule>
  </conditionalFormatting>
  <conditionalFormatting sqref="J48:Q48">
    <cfRule type="cellIs" dxfId="67" priority="50" operator="equal">
      <formula>0</formula>
    </cfRule>
  </conditionalFormatting>
  <conditionalFormatting sqref="J40:S40">
    <cfRule type="cellIs" dxfId="66" priority="57" operator="equal">
      <formula>0</formula>
    </cfRule>
  </conditionalFormatting>
  <conditionalFormatting sqref="J40:S40">
    <cfRule type="cellIs" dxfId="65" priority="56" operator="equal">
      <formula>0</formula>
    </cfRule>
  </conditionalFormatting>
  <conditionalFormatting sqref="J46:S46">
    <cfRule type="cellIs" dxfId="64" priority="49" operator="equal">
      <formula>0</formula>
    </cfRule>
  </conditionalFormatting>
  <conditionalFormatting sqref="J43:S43">
    <cfRule type="cellIs" dxfId="63" priority="53" operator="equal">
      <formula>0</formula>
    </cfRule>
  </conditionalFormatting>
  <conditionalFormatting sqref="J43:S43">
    <cfRule type="cellIs" dxfId="62" priority="52" operator="equal">
      <formula>0</formula>
    </cfRule>
  </conditionalFormatting>
  <conditionalFormatting sqref="J49:S49">
    <cfRule type="cellIs" dxfId="61" priority="43" operator="equal">
      <formula>0</formula>
    </cfRule>
  </conditionalFormatting>
  <conditionalFormatting sqref="J49:S49">
    <cfRule type="cellIs" dxfId="60" priority="44" operator="equal">
      <formula>0</formula>
    </cfRule>
  </conditionalFormatting>
  <conditionalFormatting sqref="J38:S38">
    <cfRule type="cellIs" dxfId="59" priority="42" operator="equal">
      <formula>0</formula>
    </cfRule>
  </conditionalFormatting>
  <conditionalFormatting sqref="J38:S38">
    <cfRule type="cellIs" dxfId="58" priority="41" operator="equal">
      <formula>0</formula>
    </cfRule>
  </conditionalFormatting>
  <conditionalFormatting sqref="J41:S41">
    <cfRule type="cellIs" dxfId="57" priority="40" operator="equal">
      <formula>0</formula>
    </cfRule>
  </conditionalFormatting>
  <conditionalFormatting sqref="J41:S41">
    <cfRule type="cellIs" dxfId="56" priority="39" operator="equal">
      <formula>0</formula>
    </cfRule>
  </conditionalFormatting>
  <conditionalFormatting sqref="J44:S44">
    <cfRule type="cellIs" dxfId="55" priority="38" operator="equal">
      <formula>0</formula>
    </cfRule>
  </conditionalFormatting>
  <conditionalFormatting sqref="J44:S44">
    <cfRule type="cellIs" dxfId="54" priority="37" operator="equal">
      <formula>0</formula>
    </cfRule>
  </conditionalFormatting>
  <conditionalFormatting sqref="J47:S47">
    <cfRule type="cellIs" dxfId="53" priority="36" operator="equal">
      <formula>0</formula>
    </cfRule>
  </conditionalFormatting>
  <conditionalFormatting sqref="J47:S47">
    <cfRule type="cellIs" dxfId="52" priority="35" operator="equal">
      <formula>0</formula>
    </cfRule>
  </conditionalFormatting>
  <conditionalFormatting sqref="J50:S50">
    <cfRule type="cellIs" dxfId="51" priority="34" operator="equal">
      <formula>0</formula>
    </cfRule>
  </conditionalFormatting>
  <conditionalFormatting sqref="J50:S50">
    <cfRule type="cellIs" dxfId="50" priority="33" operator="equal">
      <formula>0</formula>
    </cfRule>
  </conditionalFormatting>
  <conditionalFormatting sqref="J100:S100">
    <cfRule type="cellIs" dxfId="49" priority="22" operator="equal">
      <formula>0</formula>
    </cfRule>
  </conditionalFormatting>
  <conditionalFormatting sqref="J100:S100">
    <cfRule type="cellIs" dxfId="48" priority="21" operator="equal">
      <formula>0</formula>
    </cfRule>
  </conditionalFormatting>
  <conditionalFormatting sqref="J10:S10">
    <cfRule type="expression" dxfId="47" priority="20">
      <formula>J$10=J$4</formula>
    </cfRule>
  </conditionalFormatting>
  <conditionalFormatting sqref="J25:S25">
    <cfRule type="expression" dxfId="46" priority="19">
      <formula>J$10=J$4</formula>
    </cfRule>
  </conditionalFormatting>
  <conditionalFormatting sqref="J54:S54">
    <cfRule type="expression" dxfId="45" priority="18">
      <formula>J$10=J$4</formula>
    </cfRule>
  </conditionalFormatting>
  <conditionalFormatting sqref="J26:S28 J30:S30">
    <cfRule type="cellIs" dxfId="44" priority="15" operator="equal">
      <formula>0</formula>
    </cfRule>
  </conditionalFormatting>
  <conditionalFormatting sqref="J31:S32">
    <cfRule type="cellIs" dxfId="43" priority="14" operator="equal">
      <formula>0</formula>
    </cfRule>
  </conditionalFormatting>
  <conditionalFormatting sqref="J68:S68">
    <cfRule type="cellIs" dxfId="42" priority="11" operator="equal">
      <formula>0</formula>
    </cfRule>
  </conditionalFormatting>
  <conditionalFormatting sqref="J35:S35">
    <cfRule type="cellIs" dxfId="41" priority="10" operator="equal">
      <formula>0</formula>
    </cfRule>
  </conditionalFormatting>
  <conditionalFormatting sqref="J35:S35">
    <cfRule type="cellIs" dxfId="40" priority="9" operator="equal">
      <formula>0</formula>
    </cfRule>
  </conditionalFormatting>
  <conditionalFormatting sqref="J29:S29">
    <cfRule type="cellIs" dxfId="39" priority="8" operator="equal">
      <formula>0</formula>
    </cfRule>
  </conditionalFormatting>
  <conditionalFormatting sqref="J29:S29">
    <cfRule type="cellIs" dxfId="38" priority="7" operator="equal">
      <formula>0</formula>
    </cfRule>
  </conditionalFormatting>
  <conditionalFormatting sqref="J19:S24">
    <cfRule type="cellIs" dxfId="37" priority="6" operator="equal">
      <formula>0</formula>
    </cfRule>
  </conditionalFormatting>
  <conditionalFormatting sqref="J20:S20">
    <cfRule type="cellIs" dxfId="36" priority="5" operator="equal">
      <formula>0</formula>
    </cfRule>
  </conditionalFormatting>
  <conditionalFormatting sqref="J21:S21">
    <cfRule type="cellIs" dxfId="35" priority="4" operator="equal">
      <formula>0</formula>
    </cfRule>
  </conditionalFormatting>
  <conditionalFormatting sqref="J22:S22">
    <cfRule type="cellIs" dxfId="34" priority="3" operator="equal">
      <formula>0</formula>
    </cfRule>
  </conditionalFormatting>
  <conditionalFormatting sqref="J23:S23">
    <cfRule type="cellIs" dxfId="33" priority="2" operator="equal">
      <formula>0</formula>
    </cfRule>
  </conditionalFormatting>
  <conditionalFormatting sqref="J24:S24">
    <cfRule type="cellIs" dxfId="32" priority="1" operator="equal">
      <formula>0</formula>
    </cfRule>
  </conditionalFormatting>
  <conditionalFormatting sqref="J67:S67">
    <cfRule type="expression" dxfId="31" priority="104">
      <formula>J$58=J$4</formula>
    </cfRule>
    <cfRule type="cellIs" dxfId="30" priority="105" operator="equal">
      <formula>0</formula>
    </cfRule>
  </conditionalFormatting>
  <conditionalFormatting sqref="J94:S94">
    <cfRule type="expression" dxfId="29" priority="106">
      <formula>J$88=J$4</formula>
    </cfRule>
    <cfRule type="cellIs" dxfId="28" priority="107" operator="equal">
      <formula>0</formula>
    </cfRule>
  </conditionalFormatting>
  <conditionalFormatting sqref="J84:S84">
    <cfRule type="expression" dxfId="27" priority="108">
      <formula>J$72=J$4</formula>
    </cfRule>
    <cfRule type="cellIs" dxfId="26" priority="109" operator="equal">
      <formula>0</formula>
    </cfRule>
  </conditionalFormatting>
  <conditionalFormatting sqref="J58:S58 J72:S72 J88:S88">
    <cfRule type="expression" dxfId="25" priority="110">
      <formula>J$58=J$4</formula>
    </cfRule>
  </conditionalFormatting>
  <conditionalFormatting sqref="J98:S98">
    <cfRule type="expression" dxfId="24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122</v>
      </c>
      <c r="K3" s="173"/>
      <c r="L3" s="173"/>
      <c r="M3" s="183"/>
      <c r="N3" s="222"/>
      <c r="O3" s="222"/>
      <c r="P3" s="222"/>
      <c r="Q3" s="222"/>
      <c r="R3" s="222"/>
      <c r="S3" s="222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55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54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104</v>
      </c>
      <c r="E13" s="30" t="str">
        <f>$E$8</f>
        <v>$millions</v>
      </c>
      <c r="F13" s="161">
        <f>$F$8</f>
        <v>43983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 ca="1"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370.00846914431048</v>
      </c>
      <c r="P13" s="181">
        <f ca="1"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373.76463749404559</v>
      </c>
      <c r="Q13" s="181">
        <f ca="1"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376.56318724843908</v>
      </c>
      <c r="R13" s="181">
        <f ca="1"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378.22670430865827</v>
      </c>
      <c r="S13" s="181">
        <f ca="1"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381.13742275089561</v>
      </c>
      <c r="T13" s="111"/>
      <c r="U13" s="152"/>
    </row>
    <row r="14" spans="1:26">
      <c r="C14" s="111">
        <f>'Input|Step changes'!C28</f>
        <v>0</v>
      </c>
      <c r="D14" s="34" t="s">
        <v>104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104</v>
      </c>
      <c r="E15" s="30" t="str">
        <f t="shared" si="0"/>
        <v>$millions</v>
      </c>
      <c r="F15" s="161">
        <f t="shared" si="1"/>
        <v>43983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1">
        <f t="shared" si="1"/>
        <v>43983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123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124</v>
      </c>
      <c r="D25" s="16" t="s">
        <v>69</v>
      </c>
      <c r="E25" s="16"/>
      <c r="F25" s="16"/>
      <c r="G25" s="154">
        <v>36526</v>
      </c>
      <c r="H25" s="14"/>
    </row>
    <row r="26" spans="1:47">
      <c r="C26" s="15" t="s">
        <v>125</v>
      </c>
      <c r="D26" s="16" t="s">
        <v>69</v>
      </c>
      <c r="E26" s="16"/>
      <c r="F26" s="16"/>
      <c r="G26" s="154">
        <v>36557</v>
      </c>
      <c r="H26" s="14"/>
    </row>
    <row r="27" spans="1:47">
      <c r="C27" s="15" t="s">
        <v>126</v>
      </c>
      <c r="D27" s="16" t="s">
        <v>69</v>
      </c>
      <c r="E27" s="16"/>
      <c r="F27" s="16"/>
      <c r="G27" s="154">
        <v>36586</v>
      </c>
      <c r="H27" s="14"/>
    </row>
    <row r="28" spans="1:47">
      <c r="C28" s="15" t="s">
        <v>127</v>
      </c>
      <c r="D28" s="16" t="s">
        <v>69</v>
      </c>
      <c r="E28" s="16"/>
      <c r="F28" s="16"/>
      <c r="G28" s="154">
        <v>36617</v>
      </c>
    </row>
    <row r="29" spans="1:47">
      <c r="C29" s="15" t="s">
        <v>128</v>
      </c>
      <c r="D29" s="16" t="s">
        <v>69</v>
      </c>
      <c r="E29" s="16"/>
      <c r="F29" s="16"/>
      <c r="G29" s="154">
        <v>36647</v>
      </c>
    </row>
    <row r="30" spans="1:47">
      <c r="C30" s="15" t="s">
        <v>129</v>
      </c>
      <c r="D30" s="16" t="s">
        <v>69</v>
      </c>
      <c r="E30" s="16"/>
      <c r="F30" s="16"/>
      <c r="G30" s="154">
        <v>36678</v>
      </c>
      <c r="T30" s="17"/>
    </row>
    <row r="31" spans="1:47">
      <c r="C31" s="15" t="s">
        <v>130</v>
      </c>
      <c r="D31" s="16" t="s">
        <v>69</v>
      </c>
      <c r="E31" s="16"/>
      <c r="F31" s="16"/>
      <c r="G31" s="154">
        <v>36708</v>
      </c>
      <c r="T31" s="17"/>
    </row>
    <row r="32" spans="1:47">
      <c r="C32" s="15" t="s">
        <v>131</v>
      </c>
      <c r="D32" s="16" t="s">
        <v>69</v>
      </c>
      <c r="E32" s="16"/>
      <c r="F32" s="16"/>
      <c r="G32" s="154">
        <v>36739</v>
      </c>
      <c r="T32" s="17"/>
    </row>
    <row r="33" spans="1:47">
      <c r="C33" s="15" t="s">
        <v>132</v>
      </c>
      <c r="D33" s="16" t="s">
        <v>69</v>
      </c>
      <c r="E33" s="16"/>
      <c r="F33" s="16"/>
      <c r="G33" s="154">
        <v>36770</v>
      </c>
      <c r="T33" s="17"/>
    </row>
    <row r="34" spans="1:47">
      <c r="C34" s="15" t="s">
        <v>133</v>
      </c>
      <c r="D34" s="16" t="s">
        <v>69</v>
      </c>
      <c r="E34" s="16"/>
      <c r="F34" s="16"/>
      <c r="G34" s="154">
        <v>36800</v>
      </c>
      <c r="T34" s="17"/>
    </row>
    <row r="35" spans="1:47">
      <c r="C35" s="15" t="s">
        <v>134</v>
      </c>
      <c r="D35" s="16" t="s">
        <v>69</v>
      </c>
      <c r="E35" s="16"/>
      <c r="F35" s="16"/>
      <c r="G35" s="154">
        <v>36831</v>
      </c>
      <c r="T35" s="17"/>
    </row>
    <row r="36" spans="1:47">
      <c r="C36" s="15" t="s">
        <v>135</v>
      </c>
      <c r="D36" s="16" t="s">
        <v>69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158</v>
      </c>
      <c r="H40" s="14" t="s">
        <v>156</v>
      </c>
      <c r="I40" s="14" t="s">
        <v>157</v>
      </c>
    </row>
    <row r="41" spans="1:47">
      <c r="C41" s="160">
        <v>40695</v>
      </c>
      <c r="D41" s="16" t="s">
        <v>69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69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69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69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69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69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69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69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69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69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69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69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69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69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69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69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69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69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69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69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/>
    <row r="62" spans="1:47" customFormat="1" ht="12.75">
      <c r="A62" s="43"/>
      <c r="B62" s="51" t="s">
        <v>154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155</v>
      </c>
      <c r="H64" s="14" t="s">
        <v>122</v>
      </c>
    </row>
    <row r="65" spans="1:47">
      <c r="C65" s="15" t="s">
        <v>198</v>
      </c>
      <c r="D65" s="16" t="s">
        <v>98</v>
      </c>
      <c r="E65" s="21"/>
      <c r="F65" s="14"/>
      <c r="G65" s="184" t="str">
        <f>IF(MONTH('Input|General'!$G$9)=12,PPFirstYear-1,PPFirstYear-2&amp;"–"&amp;RIGHT(PPFirstYear-1,2))</f>
        <v>2014–15</v>
      </c>
      <c r="H65" s="186">
        <f>DATE(PPFirstYear-1,MONTH('Input|General'!$G$9),1)</f>
        <v>42156</v>
      </c>
    </row>
    <row r="66" spans="1:47">
      <c r="C66" s="15" t="s">
        <v>142</v>
      </c>
      <c r="D66" s="16" t="s">
        <v>98</v>
      </c>
      <c r="E66" s="16"/>
      <c r="F66" s="16"/>
      <c r="G66" s="184" t="str">
        <f>IF(MONTH('Input|General'!$G$9)=12,PPFirstYear,PPFirstYear-1&amp;"–"&amp;RIGHT(PPFirstYear,2))</f>
        <v>2015–16</v>
      </c>
      <c r="H66" s="186">
        <f>DATE(PPFirstYear,MONTH('Input|General'!$G$9),1)</f>
        <v>42522</v>
      </c>
    </row>
    <row r="67" spans="1:47">
      <c r="C67" s="15" t="s">
        <v>143</v>
      </c>
      <c r="D67" s="16" t="s">
        <v>98</v>
      </c>
      <c r="E67" s="16"/>
      <c r="F67" s="16"/>
      <c r="G67" s="184" t="str">
        <f>IF(MONTH('Input|General'!$G$9)=12,PPFirstYear+1,PPFirstYear&amp;"–"&amp;RIGHT(PPFirstYear+1,2))</f>
        <v>2016–17</v>
      </c>
      <c r="H67" s="186">
        <f>IF(PPLastYear-PPFirstYear&lt;1,"",DATE(PPFirstYear+1,MONTH('Input|General'!$G$9),1))</f>
        <v>42887</v>
      </c>
    </row>
    <row r="68" spans="1:47">
      <c r="C68" s="15" t="s">
        <v>144</v>
      </c>
      <c r="D68" s="16" t="s">
        <v>98</v>
      </c>
      <c r="E68" s="16"/>
      <c r="F68" s="16"/>
      <c r="G68" s="184" t="str">
        <f>IF(MONTH('Input|General'!$G$9)=12,PPFirstYear+2,PPFirstYear+1&amp;"–"&amp;RIGHT(PPFirstYear+2,2))</f>
        <v>2017–18</v>
      </c>
      <c r="H68" s="186">
        <f>IF(PPLastYear-PPFirstYear&lt;2,"",DATE(PPFirstYear+2,MONTH('Input|General'!$G$9),1))</f>
        <v>43252</v>
      </c>
    </row>
    <row r="69" spans="1:47">
      <c r="C69" s="15" t="s">
        <v>145</v>
      </c>
      <c r="D69" s="16" t="s">
        <v>98</v>
      </c>
      <c r="E69" s="16"/>
      <c r="F69" s="16"/>
      <c r="G69" s="184" t="str">
        <f>IF(MONTH('Input|General'!$G$9)=12,PPFirstYear+3,PPFirstYear+2&amp;"–"&amp;RIGHT(PPFirstYear+3,2))</f>
        <v>2018–19</v>
      </c>
      <c r="H69" s="186">
        <f>IF(PPLastYear-PPFirstYear&lt;3,"",DATE(PPFirstYear+3,MONTH('Input|General'!$G$9),1))</f>
        <v>43617</v>
      </c>
    </row>
    <row r="70" spans="1:47">
      <c r="C70" s="15" t="s">
        <v>146</v>
      </c>
      <c r="D70" s="16" t="s">
        <v>98</v>
      </c>
      <c r="E70" s="16"/>
      <c r="F70" s="16"/>
      <c r="G70" s="184" t="str">
        <f>IF(MONTH('Input|General'!$G$9)=12,PPFirstYear+4,PPFirstYear+3&amp;"–"&amp;RIGHT(PPFirstYear+4,2))</f>
        <v>2019–20</v>
      </c>
      <c r="H70" s="186">
        <f>IF(PPLastYear-PPFirstYear&lt;4,"",DATE(PPFirstYear+4,MONTH('Input|General'!$G$9),1))</f>
        <v>43983</v>
      </c>
    </row>
    <row r="71" spans="1:47">
      <c r="C71" s="15" t="s">
        <v>147</v>
      </c>
      <c r="D71" s="16" t="s">
        <v>98</v>
      </c>
      <c r="E71" s="16"/>
      <c r="F71" s="16"/>
      <c r="G71" s="185" t="str">
        <f>IF(MONTH('Input|General'!$G$9)=12,FPFirstYear,FPFirstYear-1&amp;"–"&amp;RIGHT(FPFirstYear,2))</f>
        <v>2020–21</v>
      </c>
      <c r="H71" s="186">
        <f>DATE(FPFirstYear,MONTH('Input|General'!$G$9),1)</f>
        <v>44348</v>
      </c>
      <c r="T71" s="17"/>
    </row>
    <row r="72" spans="1:47">
      <c r="C72" s="15" t="s">
        <v>148</v>
      </c>
      <c r="D72" s="16" t="s">
        <v>98</v>
      </c>
      <c r="E72" s="16"/>
      <c r="F72" s="16"/>
      <c r="G72" s="185" t="str">
        <f>IF(MONTH('Input|General'!$G$9)=12,FPFirstYear+1,FPFirstYear&amp;"–"&amp;RIGHT(FPFirstYear+1,2))</f>
        <v>2021–22</v>
      </c>
      <c r="H72" s="186">
        <f>IF(FPLastYear-FPFirstYear&lt;1,"",DATE(FPFirstYear+1,MONTH('Input|General'!$G$9),1))</f>
        <v>44713</v>
      </c>
      <c r="T72" s="17"/>
    </row>
    <row r="73" spans="1:47">
      <c r="C73" s="15" t="s">
        <v>149</v>
      </c>
      <c r="D73" s="16" t="s">
        <v>98</v>
      </c>
      <c r="E73" s="16"/>
      <c r="F73" s="16"/>
      <c r="G73" s="185" t="str">
        <f>IF(MONTH('Input|General'!$G$9)=12,FPFirstYear+2,FPFirstYear+1&amp;"–"&amp;RIGHT(FPFirstYear+2,2))</f>
        <v>2022–23</v>
      </c>
      <c r="H73" s="186">
        <f>IF(FPLastYear-FPFirstYear&lt;2,"",DATE(FPFirstYear+2,MONTH('Input|General'!$G$9),1))</f>
        <v>45078</v>
      </c>
      <c r="T73" s="17"/>
    </row>
    <row r="74" spans="1:47">
      <c r="C74" s="15" t="s">
        <v>150</v>
      </c>
      <c r="D74" s="16" t="s">
        <v>98</v>
      </c>
      <c r="E74" s="16"/>
      <c r="F74" s="16"/>
      <c r="G74" s="185" t="str">
        <f>IF(MONTH('Input|General'!$G$9)=12,FPFirstYear+3,FPFirstYear+2&amp;"–"&amp;RIGHT(FPFirstYear+3,2))</f>
        <v>2023–24</v>
      </c>
      <c r="H74" s="186">
        <f>IF(FPLastYear-FPFirstYear&lt;3,"",DATE(FPFirstYear+3,MONTH('Input|General'!$G$9),1))</f>
        <v>45444</v>
      </c>
      <c r="T74" s="17"/>
    </row>
    <row r="75" spans="1:47">
      <c r="C75" s="15" t="s">
        <v>151</v>
      </c>
      <c r="D75" s="16" t="s">
        <v>98</v>
      </c>
      <c r="E75" s="16"/>
      <c r="F75" s="16"/>
      <c r="G75" s="185" t="str">
        <f>IF(MONTH('Input|General'!$G$9)=12,FPFirstYear+4,FPFirstYear+3&amp;"–"&amp;RIGHT(FPFirstYear+4,2))</f>
        <v>2024–25</v>
      </c>
      <c r="H75" s="186">
        <f>IF(FPLastYear-FPFirstYear&lt;4,"",DATE(FPFirstYear+4,MONTH('Input|General'!$G$9),1))</f>
        <v>45809</v>
      </c>
      <c r="T75" s="17"/>
    </row>
    <row r="76" spans="1:47">
      <c r="C76" s="15"/>
      <c r="D76" s="16"/>
      <c r="E76" s="16"/>
      <c r="F76" s="16"/>
      <c r="G76" s="213"/>
      <c r="H76" s="214"/>
      <c r="T76" s="17"/>
    </row>
    <row r="77" spans="1:47" customFormat="1" ht="12.75">
      <c r="A77" s="43"/>
      <c r="B77" s="51" t="s">
        <v>42</v>
      </c>
      <c r="C77" s="43"/>
      <c r="D77" s="43"/>
      <c r="E77" s="43"/>
      <c r="F77" s="44"/>
      <c r="G77" s="44"/>
      <c r="H77" s="44"/>
      <c r="I77" s="44"/>
      <c r="J77" s="45"/>
      <c r="K77" s="46"/>
      <c r="L77" s="45"/>
      <c r="M77" s="46"/>
      <c r="N77" s="45"/>
      <c r="O77" s="45"/>
      <c r="P77" s="45"/>
      <c r="Q77" s="45"/>
      <c r="R77" s="45"/>
      <c r="S77" s="45"/>
      <c r="T77" s="45"/>
      <c r="U77" s="45"/>
      <c r="V77" s="46"/>
      <c r="W77" s="46"/>
      <c r="X77" s="47"/>
      <c r="Y77" s="47"/>
      <c r="Z77" s="47"/>
      <c r="AA77" s="47"/>
      <c r="AB77" s="48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1:47"/>
    <row r="79" spans="1:47">
      <c r="C79" s="13" t="str">
        <f>B77</f>
        <v>Rate of change</v>
      </c>
      <c r="D79" s="21" t="s">
        <v>7</v>
      </c>
      <c r="E79" s="21"/>
      <c r="F79" s="14"/>
      <c r="G79" s="14" t="s">
        <v>155</v>
      </c>
      <c r="H79" s="215"/>
    </row>
    <row r="80" spans="1:47">
      <c r="C80" s="15" t="s">
        <v>191</v>
      </c>
      <c r="D80" s="16" t="s">
        <v>69</v>
      </c>
      <c r="E80" s="16"/>
      <c r="F80" s="16"/>
      <c r="G80" s="184" t="s">
        <v>107</v>
      </c>
      <c r="H80" s="214"/>
    </row>
    <row r="81" spans="1:47">
      <c r="C81" s="15" t="s">
        <v>192</v>
      </c>
      <c r="D81" s="16" t="s">
        <v>69</v>
      </c>
      <c r="E81" s="16"/>
      <c r="F81" s="16"/>
      <c r="G81" s="185" t="s">
        <v>193</v>
      </c>
      <c r="H81" s="214"/>
    </row>
    <row r="82" spans="1:47"/>
    <row r="83" spans="1:47" customFormat="1" ht="12.75">
      <c r="A83" s="43"/>
      <c r="B83" s="51" t="s">
        <v>21</v>
      </c>
      <c r="C83" s="43"/>
      <c r="D83" s="43"/>
      <c r="E83" s="43"/>
      <c r="F83" s="44"/>
      <c r="G83" s="44"/>
      <c r="H83" s="44"/>
      <c r="I83" s="44"/>
      <c r="J83" s="45"/>
      <c r="K83" s="46"/>
      <c r="L83" s="45"/>
      <c r="M83" s="46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7"/>
      <c r="Y83" s="47"/>
      <c r="Z83" s="47"/>
      <c r="AA83" s="47"/>
      <c r="AB83" s="48"/>
      <c r="AC83" s="49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2">
    <cfRule type="expression" dxfId="13" priority="53" stopIfTrue="1">
      <formula>#REF!="Actual"</formula>
    </cfRule>
  </conditionalFormatting>
  <conditionalFormatting sqref="Q82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D26" sqref="D2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5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n/a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/>
    <row r="24" spans="1:47"/>
    <row r="25" spans="1:47"/>
    <row r="26" spans="1:47"/>
    <row r="27" spans="1:47"/>
    <row r="28" spans="1:47"/>
  </sheetData>
  <conditionalFormatting sqref="G10:G15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_final'!A1" display="'Input|Rate of change_final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2020-05-27T04:50:20Z</dcterms:created>
  <dcterms:modified xsi:type="dcterms:W3CDTF">2020-05-27T04:51:10Z</dcterms:modified>
</cp:coreProperties>
</file>