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9040" windowHeight="17640" tabRatio="691" firstSheet="1" activeTab="2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13" l="1"/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30" i="3" s="1"/>
  <c r="F10" i="3" l="1"/>
  <c r="F9" i="3"/>
  <c r="F12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D18" i="4" l="1"/>
  <c r="D8" i="4"/>
  <c r="E7" i="4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6" i="3" l="1"/>
  <c r="H23" i="3" s="1"/>
  <c r="H12" i="3"/>
  <c r="I16" i="3"/>
  <c r="I23" i="3" s="1"/>
  <c r="I12" i="3"/>
  <c r="L16" i="3"/>
  <c r="L23" i="3" s="1"/>
  <c r="L12" i="3"/>
  <c r="K16" i="3"/>
  <c r="K23" i="3" s="1"/>
  <c r="K12" i="3"/>
  <c r="J16" i="3"/>
  <c r="J23" i="3" s="1"/>
  <c r="J12" i="3"/>
  <c r="G22" i="13" l="1"/>
  <c r="D9" i="4" s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7" i="3"/>
  <c r="I27" i="3"/>
  <c r="J27" i="3"/>
  <c r="K27" i="3"/>
  <c r="L27" i="3"/>
  <c r="H11" i="4"/>
  <c r="D11" i="4"/>
  <c r="C42" i="4" l="1"/>
  <c r="C44" i="4"/>
  <c r="D10" i="4"/>
  <c r="D12" i="4" s="1"/>
  <c r="G10" i="13"/>
  <c r="H10" i="13" s="1"/>
  <c r="I10" i="13" s="1"/>
  <c r="J10" i="13" s="1"/>
  <c r="K10" i="13" s="1"/>
  <c r="L10" i="13" s="1"/>
  <c r="I30" i="3" s="1"/>
  <c r="F10" i="4"/>
  <c r="E10" i="4"/>
  <c r="G11" i="4"/>
  <c r="F11" i="4"/>
  <c r="E11" i="4"/>
  <c r="F19" i="4"/>
  <c r="E19" i="4" s="1"/>
  <c r="D19" i="4" s="1"/>
  <c r="E25" i="4"/>
  <c r="E27" i="4" s="1"/>
  <c r="G10" i="4"/>
  <c r="H10" i="4"/>
  <c r="H12" i="4" s="1"/>
  <c r="H20" i="4" s="1"/>
  <c r="N14" i="13"/>
  <c r="N22" i="13" s="1"/>
  <c r="L15" i="13"/>
  <c r="M15" i="13" s="1"/>
  <c r="B1" i="5"/>
  <c r="B1" i="3"/>
  <c r="B1" i="13"/>
  <c r="B1" i="4"/>
  <c r="F13" i="4" l="1"/>
  <c r="G13" i="4"/>
  <c r="E13" i="4"/>
  <c r="E18" i="4" s="1"/>
  <c r="E21" i="4" s="1"/>
  <c r="H13" i="4"/>
  <c r="D21" i="4"/>
  <c r="D20" i="4"/>
  <c r="H30" i="3"/>
  <c r="H31" i="3" s="1"/>
  <c r="D26" i="4" s="1"/>
  <c r="D28" i="4" s="1"/>
  <c r="F12" i="4"/>
  <c r="F20" i="4" s="1"/>
  <c r="E12" i="4"/>
  <c r="G14" i="4" s="1"/>
  <c r="F25" i="4"/>
  <c r="F27" i="4" s="1"/>
  <c r="G12" i="4"/>
  <c r="G20" i="4" s="1"/>
  <c r="N15" i="13"/>
  <c r="M10" i="13"/>
  <c r="N10" i="13" s="1"/>
  <c r="K30" i="3" s="1"/>
  <c r="O14" i="13"/>
  <c r="O22" i="13" s="1"/>
  <c r="I31" i="3"/>
  <c r="E26" i="4" s="1"/>
  <c r="E28" i="4" s="1"/>
  <c r="G15" i="4" l="1"/>
  <c r="G18" i="4" s="1"/>
  <c r="G21" i="4" s="1"/>
  <c r="H15" i="4"/>
  <c r="H16" i="4"/>
  <c r="H14" i="4"/>
  <c r="E20" i="4"/>
  <c r="F14" i="4"/>
  <c r="F18" i="4" s="1"/>
  <c r="F21" i="4" s="1"/>
  <c r="J30" i="3"/>
  <c r="J31" i="3" s="1"/>
  <c r="F26" i="4" s="1"/>
  <c r="F28" i="4" s="1"/>
  <c r="O10" i="13"/>
  <c r="P10" i="13" s="1"/>
  <c r="P14" i="13"/>
  <c r="P22" i="13" s="1"/>
  <c r="G25" i="4"/>
  <c r="G27" i="4" s="1"/>
  <c r="K31" i="3"/>
  <c r="G26" i="4" s="1"/>
  <c r="O15" i="13"/>
  <c r="H18" i="4" l="1"/>
  <c r="H21" i="4" s="1"/>
  <c r="D35" i="4" s="1"/>
  <c r="H25" i="4"/>
  <c r="H27" i="4" s="1"/>
  <c r="P15" i="13"/>
  <c r="L30" i="3"/>
  <c r="L31" i="3" s="1"/>
  <c r="H26" i="4" s="1"/>
  <c r="G28" i="4"/>
  <c r="H28" i="4" l="1"/>
  <c r="D31" i="4" s="1"/>
  <c r="D34" i="4" s="1"/>
  <c r="D36" i="4" s="1"/>
  <c r="D42" i="4" s="1"/>
  <c r="E42" i="4" s="1"/>
  <c r="F42" i="4" s="1"/>
  <c r="G42" i="4" s="1"/>
  <c r="H42" i="4" s="1"/>
  <c r="D33" i="4" l="1"/>
  <c r="J8" i="10"/>
  <c r="K8" i="10" l="1"/>
  <c r="L8" i="10" l="1"/>
  <c r="M8" i="10" l="1"/>
  <c r="N8" i="10" l="1"/>
  <c r="O8" i="10" s="1"/>
  <c r="D44" i="4"/>
</calcChain>
</file>

<file path=xl/sharedStrings.xml><?xml version="1.0" encoding="utf-8"?>
<sst xmlns="http://schemas.openxmlformats.org/spreadsheetml/2006/main" count="199" uniqueCount="105">
  <si>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</si>
  <si>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</si>
  <si>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</si>
  <si>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</si>
  <si>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</si>
  <si>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</si>
  <si>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</si>
  <si>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</si>
  <si>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</si>
  <si>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</si>
  <si>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</si>
  <si>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</si>
  <si>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</si>
  <si>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</si>
  <si>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</si>
  <si>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</si>
  <si>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</si>
  <si>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</si>
  <si>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</si>
  <si>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</si>
  <si>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</si>
  <si>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</si>
  <si>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</si>
  <si>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</si>
  <si>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</si>
  <si>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</si>
  <si>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</si>
  <si>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</si>
  <si>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</si>
  <si>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</si>
  <si>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</si>
  <si>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</si>
  <si>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</si>
  <si>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</si>
  <si>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</si>
  <si>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</si>
  <si>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</si>
  <si>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</si>
  <si>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</si>
  <si>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</si>
  <si>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</si>
  <si>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</si>
  <si>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</si>
  <si>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</si>
  <si>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</si>
  <si>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</si>
  <si>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</si>
  <si>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</si>
  <si>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</si>
  <si>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</si>
  <si>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</si>
  <si>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</si>
  <si>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</si>
  <si>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</si>
  <si>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</si>
  <si>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</si>
  <si>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</si>
  <si>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</si>
  <si>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</si>
  <si>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</si>
  <si>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</si>
  <si>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</si>
  <si>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</si>
  <si>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</si>
  <si>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</si>
  <si>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</si>
  <si>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</si>
  <si>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</si>
  <si>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</si>
  <si>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</si>
  <si>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</si>
  <si>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</si>
  <si>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</si>
  <si>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</si>
  <si>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</si>
  <si>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</si>
  <si>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</si>
  <si>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</si>
  <si>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</si>
  <si>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</si>
  <si>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</si>
  <si>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</si>
  <si>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</si>
  <si>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</si>
  <si>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</si>
  <si>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</si>
  <si>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</si>
  <si>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</si>
  <si>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</si>
  <si>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</si>
  <si>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</si>
  <si>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</si>
  <si>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</si>
  <si>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</si>
  <si>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</si>
  <si>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</si>
  <si>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</si>
  <si>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Customer Contributions</t>
  </si>
  <si>
    <t>Discount factor</t>
  </si>
  <si>
    <t>2021-25</t>
  </si>
  <si>
    <t>Base regulatory year</t>
  </si>
  <si>
    <t>Ergon Energy</t>
  </si>
  <si>
    <t>DNSP</t>
  </si>
  <si>
    <t>2020-21</t>
  </si>
  <si>
    <t>Final 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</si>
</sst>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&quot;$&quot;#,##0.00"/>
    <numFmt numFmtId="169" formatCode="_-* #,##0_-;\-* #,##0_-;_-* &quot;-&quot;??_-;_-@_-"/>
    <numFmt numFmtId="170" formatCode="_-* #,##0.00_-;[Red]\(#,##0.00\)_-;_-* &quot;-&quot;??_-;_-@_-"/>
    <numFmt numFmtId="171" formatCode="_(#,##0_);\(#,##0\);_(&quot;-&quot;_)"/>
    <numFmt numFmtId="172" formatCode="&quot;Warning&quot;;&quot;Warning&quot;;&quot;OK&quot;"/>
    <numFmt numFmtId="173" formatCode="mm/dd/yy"/>
    <numFmt numFmtId="174" formatCode="_([$€-2]* #,##0.00_);_([$€-2]* \(#,##0.00\);_([$€-2]* &quot;-&quot;??_)"/>
    <numFmt numFmtId="175" formatCode="0_);[Red]\(0\)"/>
    <numFmt numFmtId="176" formatCode="0.0%"/>
    <numFmt numFmtId="177" formatCode="dd/mmm"/>
    <numFmt numFmtId="178" formatCode="_(* #,##0_);_(* \(#,##0\);_(* &quot;-&quot;?_);_(@_)"/>
    <numFmt numFmtId="179" formatCode="#,##0.0_);\(#,##0.0\)"/>
    <numFmt numFmtId="180" formatCode="#,##0_ ;\-#,##0\ "/>
    <numFmt numFmtId="181" formatCode="#,##0;[Red]\(#,##0.0\)"/>
    <numFmt numFmtId="182" formatCode="#,##0_ ;[Red]\(#,##0\)\ "/>
    <numFmt numFmtId="183" formatCode="#,##0.00;\(#,##0.00\)"/>
    <numFmt numFmtId="184" formatCode="_)d\-mmm\-yy_)"/>
    <numFmt numFmtId="185" formatCode="_(#,##0.0_);\(#,##0.0\);_(&quot;-&quot;_)"/>
    <numFmt numFmtId="186" formatCode="_(###0_);\(###0\);_(###0_)"/>
    <numFmt numFmtId="187" formatCode="#,##0.0000_);[Red]\(#,##0.0000\)"/>
    <numFmt numFmtId="188" formatCode="_(#\ ##0.00_);\(#\ ##0.00\);_(&quot;-&quot;_)"/>
    <numFmt numFmtId="189" formatCode="_-* #,##0.0000_-;\-* #,##0.0000_-;_-* &quot;-&quot;??_-;_-@_-"/>
    <numFmt numFmtId="190" formatCode="#,##0.000"/>
    <numFmt numFmtId="191" formatCode="0.000"/>
    <numFmt numFmtId="192" formatCode="_(* #,##0.0_);_(* \(#,##0.0\);_(* &quot;-&quot;?_);_(@_)"/>
    <numFmt numFmtId="193" formatCode="_-* #,##0.00000_-;\-* #,##0.00000_-;_-* &quot;-&quot;??_-;_-@_-"/>
  </numFmts>
  <fonts count="10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70" fontId="24" fillId="0" borderId="0"/>
    <xf numFmtId="170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71" fontId="24" fillId="0" borderId="8">
      <alignment horizontal="right" vertical="center"/>
      <protection locked="0"/>
    </xf>
    <xf numFmtId="164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72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165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4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6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7" fontId="17" fillId="37" borderId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78" fontId="23" fillId="5" borderId="0" applyFont="0" applyBorder="0">
      <alignment horizontal="right"/>
      <protection locked="0"/>
    </xf>
    <xf numFmtId="178" fontId="23" fillId="5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9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80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81" fontId="23" fillId="0" borderId="0" applyFill="0" applyBorder="0"/>
    <xf numFmtId="181" fontId="23" fillId="0" borderId="0" applyFill="0" applyBorder="0"/>
    <xf numFmtId="181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2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3" fontId="23" fillId="0" borderId="0"/>
    <xf numFmtId="183" fontId="23" fillId="0" borderId="0"/>
    <xf numFmtId="183" fontId="23" fillId="0" borderId="0"/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186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9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187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71" fontId="24" fillId="0" borderId="27">
      <alignment horizontal="right" vertical="center"/>
      <protection locked="0"/>
    </xf>
    <xf numFmtId="167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72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166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2" fontId="23" fillId="39" borderId="0" applyFont="0" applyBorder="0">
      <alignment horizontal="right"/>
    </xf>
    <xf numFmtId="176" fontId="23" fillId="39" borderId="0" applyFont="0" applyBorder="0" applyAlignment="0"/>
    <xf numFmtId="192" fontId="23" fillId="39" borderId="0" applyFont="0" applyBorder="0">
      <alignment horizontal="right"/>
    </xf>
    <xf numFmtId="165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5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6" fontId="51" fillId="49" borderId="0" applyBorder="0" applyAlignment="0">
      <protection locked="0"/>
    </xf>
    <xf numFmtId="176" fontId="95" fillId="50" borderId="0" applyBorder="0" applyAlignment="0"/>
    <xf numFmtId="192" fontId="96" fillId="28" borderId="35" applyFont="0" applyBorder="0" applyAlignment="0"/>
    <xf numFmtId="176" fontId="51" fillId="28" borderId="0" applyFont="0" applyBorder="0" applyAlignment="0"/>
    <xf numFmtId="167" fontId="11" fillId="0" borderId="0" applyFont="0" applyFill="0" applyBorder="0" applyAlignment="0" applyProtection="0"/>
    <xf numFmtId="165" fontId="23" fillId="28" borderId="0" applyNumberFormat="0" applyFont="0" applyBorder="0" applyAlignment="0">
      <alignment horizontal="right"/>
    </xf>
    <xf numFmtId="165" fontId="23" fillId="28" borderId="0" applyNumberFormat="0" applyFont="0" applyBorder="0" applyAlignment="0">
      <alignment horizontal="right"/>
    </xf>
    <xf numFmtId="167" fontId="23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38" borderId="0" applyFont="0" applyBorder="0" applyAlignment="0">
      <alignment horizontal="right"/>
      <protection locked="0"/>
    </xf>
    <xf numFmtId="165" fontId="23" fillId="38" borderId="0" applyFont="0" applyBorder="0" applyAlignment="0">
      <alignment horizontal="right"/>
      <protection locked="0"/>
    </xf>
    <xf numFmtId="165" fontId="23" fillId="39" borderId="0" applyFont="0" applyBorder="0">
      <alignment horizontal="right"/>
      <protection locked="0"/>
    </xf>
    <xf numFmtId="165" fontId="23" fillId="39" borderId="0" applyFont="0" applyBorder="0">
      <alignment horizontal="right"/>
      <protection locked="0"/>
    </xf>
    <xf numFmtId="167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3" fillId="48" borderId="0" applyFont="0" applyBorder="0" applyAlignment="0">
      <alignment horizontal="right"/>
      <protection locked="0"/>
    </xf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</cellStyleXfs>
  <cellXfs count="204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8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166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9" fontId="17" fillId="0" borderId="0" xfId="3" applyNumberFormat="1" applyFont="1" applyProtection="1"/>
    <xf numFmtId="169" fontId="19" fillId="0" borderId="0" xfId="3" applyNumberFormat="1" applyFont="1" applyAlignment="1" applyProtection="1">
      <alignment horizontal="center"/>
    </xf>
    <xf numFmtId="169" fontId="17" fillId="0" borderId="0" xfId="3" applyNumberFormat="1" applyFont="1" applyAlignment="1" applyProtection="1">
      <alignment horizontal="center"/>
    </xf>
    <xf numFmtId="169" fontId="22" fillId="0" borderId="0" xfId="3" applyNumberFormat="1" applyFont="1" applyProtection="1"/>
    <xf numFmtId="169" fontId="21" fillId="0" borderId="0" xfId="3" applyNumberFormat="1" applyFont="1" applyAlignment="1" applyProtection="1">
      <alignment horizontal="center"/>
    </xf>
    <xf numFmtId="169" fontId="22" fillId="0" borderId="20" xfId="3" applyNumberFormat="1" applyFont="1" applyBorder="1" applyAlignment="1" applyProtection="1">
      <alignment horizontal="center"/>
    </xf>
    <xf numFmtId="169" fontId="17" fillId="0" borderId="0" xfId="3" applyNumberFormat="1" applyFont="1" applyAlignment="1" applyProtection="1">
      <alignment horizontal="left" indent="1"/>
    </xf>
    <xf numFmtId="169" fontId="13" fillId="0" borderId="0" xfId="263" applyNumberFormat="1" applyFont="1" applyAlignment="1" applyProtection="1">
      <alignment horizontal="center"/>
    </xf>
    <xf numFmtId="169" fontId="17" fillId="0" borderId="0" xfId="3" applyNumberFormat="1" applyFont="1" applyBorder="1" applyProtection="1"/>
    <xf numFmtId="188" fontId="20" fillId="0" borderId="24" xfId="55" applyNumberFormat="1" applyFont="1" applyFill="1" applyBorder="1" applyAlignment="1" applyProtection="1">
      <alignment horizontal="center" vertical="center"/>
    </xf>
    <xf numFmtId="189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9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9" fontId="19" fillId="3" borderId="2" xfId="0" applyNumberFormat="1" applyFont="1" applyFill="1" applyBorder="1" applyAlignment="1" applyProtection="1">
      <alignment horizontal="center" vertical="center"/>
    </xf>
    <xf numFmtId="169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90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1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4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8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8" fillId="3" borderId="0" xfId="2" applyFont="1" applyFill="1" applyBorder="1" applyAlignment="1" applyProtection="1">
      <alignment vertical="center"/>
    </xf>
    <xf numFmtId="0" fontId="99" fillId="3" borderId="0" xfId="265" applyFont="1" applyFill="1" applyBorder="1" applyAlignment="1" applyProtection="1">
      <alignment horizontal="right" vertical="center"/>
    </xf>
    <xf numFmtId="0" fontId="99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8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7" fillId="3" borderId="33" xfId="0" applyFont="1" applyFill="1" applyBorder="1" applyAlignment="1"/>
    <xf numFmtId="0" fontId="97" fillId="3" borderId="20" xfId="0" applyFont="1" applyFill="1" applyBorder="1" applyAlignment="1"/>
    <xf numFmtId="0" fontId="12" fillId="0" borderId="37" xfId="0" applyFont="1" applyBorder="1" applyAlignment="1"/>
    <xf numFmtId="0" fontId="98" fillId="3" borderId="0" xfId="2" applyFont="1" applyFill="1" applyBorder="1" applyAlignment="1" applyProtection="1">
      <alignment horizontal="left" vertical="center"/>
    </xf>
    <xf numFmtId="191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3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9" fontId="22" fillId="0" borderId="0" xfId="3" applyNumberFormat="1" applyFont="1" applyBorder="1" applyAlignment="1" applyProtection="1">
      <alignment horizontal="center"/>
    </xf>
    <xf numFmtId="188" fontId="20" fillId="0" borderId="0" xfId="55" applyNumberFormat="1" applyFont="1" applyFill="1" applyBorder="1" applyAlignment="1" applyProtection="1">
      <alignment horizontal="center" vertical="center"/>
    </xf>
    <xf numFmtId="191" fontId="24" fillId="3" borderId="26" xfId="0" applyNumberFormat="1" applyFont="1" applyFill="1" applyBorder="1" applyAlignment="1">
      <alignment horizontal="center" vertical="center"/>
    </xf>
    <xf numFmtId="167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2" fillId="51" borderId="0" xfId="0" applyNumberFormat="1" applyFont="1" applyFill="1" applyBorder="1" applyAlignment="1" applyProtection="1">
      <alignment horizontal="left" vertical="center"/>
      <protection locked="0"/>
    </xf>
    <xf numFmtId="0" fontId="103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1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8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0" fillId="0" borderId="0" xfId="265" applyFont="1" applyFill="1" applyBorder="1" applyAlignment="1" applyProtection="1">
      <alignment horizontal="center" vertical="center"/>
    </xf>
    <xf numFmtId="49" fontId="102" fillId="52" borderId="0" xfId="0" applyNumberFormat="1" applyFont="1" applyFill="1" applyBorder="1" applyAlignment="1" applyProtection="1">
      <alignment horizontal="left" vertical="center"/>
      <protection locked="0"/>
    </xf>
    <xf numFmtId="168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0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0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167" fontId="24" fillId="0" borderId="2" xfId="304" applyFont="1" applyFill="1" applyBorder="1" applyAlignment="1">
      <alignment horizontal="right" vertical="center"/>
    </xf>
    <xf numFmtId="167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3" borderId="40" xfId="0" applyNumberFormat="1" applyFont="1" applyFill="1" applyBorder="1" applyAlignment="1">
      <alignment horizontal="center" vertical="center"/>
    </xf>
    <xf numFmtId="191" fontId="24" fillId="3" borderId="26" xfId="268" applyNumberFormat="1" applyFont="1" applyFill="1" applyBorder="1" applyAlignment="1">
      <alignment horizontal="center" vertical="center"/>
    </xf>
    <xf numFmtId="191" fontId="24" fillId="0" borderId="26" xfId="268" applyNumberFormat="1" applyFont="1" applyFill="1" applyBorder="1" applyAlignment="1">
      <alignment horizontal="center" vertical="center"/>
    </xf>
    <xf numFmtId="10" fontId="24" fillId="3" borderId="41" xfId="0" applyNumberFormat="1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horizontal="center" vertical="center"/>
    </xf>
    <xf numFmtId="0" fontId="96" fillId="4" borderId="2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/>
    <xf numFmtId="0" fontId="20" fillId="3" borderId="0" xfId="304" applyNumberFormat="1" applyFont="1" applyFill="1" applyBorder="1" applyAlignment="1" applyProtection="1">
      <alignment horizontal="center" vertical="center"/>
    </xf>
    <xf numFmtId="0" fontId="104" fillId="3" borderId="0" xfId="0" applyFont="1" applyFill="1"/>
    <xf numFmtId="10" fontId="24" fillId="53" borderId="26" xfId="0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FF99"/>
      <color rgb="FFDAEEF3"/>
      <color rgb="FFFF00FF"/>
      <color rgb="FF0000FF"/>
      <color rgb="FF006100"/>
      <color rgb="FFC6EFCE"/>
      <color rgb="FFFFCC99"/>
      <color rgb="FFCCFFCC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D1" sqref="D1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Ergon Energy 2021-25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79</v>
      </c>
      <c r="D8" s="32" t="s">
        <v>78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80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2.75" customHeight="1"/>
    <row r="13" spans="2:13" s="8" customFormat="1" ht="12.75" customHeight="1">
      <c r="C13" s="29" t="s">
        <v>34</v>
      </c>
      <c r="D13" s="7"/>
      <c r="E13" s="7"/>
    </row>
    <row r="14" spans="2:13" ht="18" hidden="1" customHeight="1"/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'Output | Models'!A1" display="Output | Model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workbookViewId="0">
      <selection activeCell="D7" sqref="D7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4" width="20.5703125" style="14" customWidth="1"/>
    <col min="5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Ergon Energy 2021-25 Final Decision - Capital expenditure sharing scheme model</v>
      </c>
      <c r="F1" s="105"/>
      <c r="G1" s="106" t="s">
        <v>47</v>
      </c>
      <c r="H1" s="159" t="s">
        <v>48</v>
      </c>
      <c r="I1" s="163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0" t="s">
        <v>101</v>
      </c>
      <c r="J6" s="79"/>
      <c r="K6" s="79"/>
      <c r="L6" s="79"/>
      <c r="M6" s="79"/>
    </row>
    <row r="7" spans="1:13" s="70" customFormat="1" ht="11.25" customHeight="1">
      <c r="C7" s="69" t="s">
        <v>88</v>
      </c>
      <c r="D7" s="160" t="s">
        <v>104</v>
      </c>
      <c r="I7" s="79"/>
      <c r="J7" s="79"/>
      <c r="K7" s="79"/>
      <c r="L7" s="79"/>
    </row>
    <row r="8" spans="1:13" s="70" customFormat="1" ht="11.25" customHeight="1">
      <c r="C8" s="69" t="s">
        <v>89</v>
      </c>
      <c r="D8" s="160" t="s">
        <v>99</v>
      </c>
      <c r="J8" s="79"/>
      <c r="K8" s="79"/>
      <c r="L8" s="79"/>
      <c r="M8" s="79"/>
    </row>
    <row r="9" spans="1:13" s="70" customFormat="1" ht="11.25" customHeight="1">
      <c r="C9" s="190" t="s">
        <v>100</v>
      </c>
      <c r="D9" s="160" t="s">
        <v>103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4" t="s">
        <v>87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63</v>
      </c>
      <c r="E12" s="71" t="s">
        <v>64</v>
      </c>
      <c r="F12" s="71" t="s">
        <v>65</v>
      </c>
      <c r="G12" s="71" t="s">
        <v>66</v>
      </c>
      <c r="H12" s="71" t="s">
        <v>67</v>
      </c>
      <c r="J12" s="79"/>
      <c r="K12" s="79"/>
      <c r="L12" s="79"/>
      <c r="M12" s="79"/>
    </row>
    <row r="13" spans="1:13" s="70" customFormat="1" ht="11.25" customHeight="1">
      <c r="C13" s="69" t="s">
        <v>61</v>
      </c>
      <c r="D13" s="189" t="str">
        <f t="shared" ref="D13:F13" si="0">IF(LEN(E13)&gt;4,CONCATENATE(LEFT(E13,4)-1&amp;"–"&amp;IF(RIGHT(E13,2)="00","99",IF(RIGHT(E13,2)-1&lt;10,"0","")&amp;RIGHT(E13,2)-1)),E13-1)</f>
        <v>2015–16</v>
      </c>
      <c r="E13" s="189" t="str">
        <f t="shared" si="0"/>
        <v>2016–17</v>
      </c>
      <c r="F13" s="189" t="str">
        <f t="shared" si="0"/>
        <v>2017–18</v>
      </c>
      <c r="G13" s="189" t="str">
        <f>IF(LEN(H13)&gt;4,CONCATENATE(LEFT(H13,4)-1&amp;"–"&amp;IF(RIGHT(H13,2)="00","99",IF(RIGHT(H13,2)-1&lt;10,"0","")&amp;RIGHT(H13,2)-1)),H13-1)</f>
        <v>2018–19</v>
      </c>
      <c r="H13" s="189" t="str">
        <f>IF(LEN(D9)&gt;4,CONCATENATE(LEFT(D9,4)-1&amp;"–"&amp;IF(RIGHT(D9,2)="00","99",IF(RIGHT(D9,2)-1&lt;10,"0","")&amp;RIGHT(D9,2)-1)),D9-1)</f>
        <v>2019–20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0" t="s">
        <v>8</v>
      </c>
      <c r="E14" s="160" t="s">
        <v>8</v>
      </c>
      <c r="F14" s="160" t="s">
        <v>8</v>
      </c>
      <c r="G14" s="160" t="s">
        <v>8</v>
      </c>
      <c r="H14" s="160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0" t="s">
        <v>7</v>
      </c>
      <c r="E15" s="160" t="s">
        <v>7</v>
      </c>
      <c r="F15" s="160" t="s">
        <v>7</v>
      </c>
      <c r="G15" s="160" t="s">
        <v>7</v>
      </c>
      <c r="H15" s="160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63</v>
      </c>
      <c r="E17" s="71" t="s">
        <v>64</v>
      </c>
      <c r="F17" s="71" t="s">
        <v>65</v>
      </c>
      <c r="G17" s="71" t="s">
        <v>66</v>
      </c>
      <c r="H17" s="71" t="s">
        <v>67</v>
      </c>
      <c r="J17" s="79"/>
      <c r="K17" s="79"/>
      <c r="L17" s="79"/>
      <c r="M17" s="79"/>
    </row>
    <row r="18" spans="1:13" s="70" customFormat="1" ht="11.25" customHeight="1">
      <c r="C18" s="69" t="s">
        <v>62</v>
      </c>
      <c r="D18" s="189" t="str">
        <f>D9</f>
        <v>2020-21</v>
      </c>
      <c r="E18" s="189" t="str">
        <f>IF(LEN(D18)&gt;4,CONCATENATE(LEFT(D18,4)+1&amp;"–"&amp;IF(RIGHT(D18,2)+1&gt;9,"","0")&amp;RIGHT(D18,2)+1),D18+1)</f>
        <v>2021–22</v>
      </c>
      <c r="F18" s="189" t="str">
        <f t="shared" ref="F18:H18" si="1">IF(LEN(E18)&gt;4,CONCATENATE(LEFT(E18,4)+1&amp;"–"&amp;IF(RIGHT(E18,2)+1&gt;9,"","0")&amp;RIGHT(E18,2)+1),E18+1)</f>
        <v>2022–23</v>
      </c>
      <c r="G18" s="189" t="str">
        <f t="shared" si="1"/>
        <v>2023–24</v>
      </c>
      <c r="H18" s="189" t="str">
        <f t="shared" si="1"/>
        <v>2024–25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tabSelected="1" zoomScaleNormal="100" workbookViewId="0">
      <selection activeCell="L21" sqref="L21:P21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Ergon Energy 2021-25 Final Decision - Capital expenditure sharing scheme model</v>
      </c>
      <c r="D1" s="12"/>
      <c r="E1" s="12"/>
      <c r="F1" s="12"/>
      <c r="G1" s="105"/>
      <c r="H1" s="106" t="s">
        <v>47</v>
      </c>
      <c r="I1" s="159" t="s">
        <v>48</v>
      </c>
      <c r="J1" s="163" t="s">
        <v>36</v>
      </c>
      <c r="K1" s="155"/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90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6" t="str">
        <f>IF(LEN(G7)&gt;4,CONCATENATE(LEFT(G7,4)-1&amp;"–"&amp;IF(RIGHT(G7,2)="00","99",IF(RIGHT(G7,2)-1&lt;10,"0","")&amp;RIGHT(G7,2)-1)),G7-1)</f>
        <v>2014–15</v>
      </c>
      <c r="G7" s="175" t="str">
        <f>'Input | General'!D13</f>
        <v>2015–16</v>
      </c>
      <c r="H7" s="175" t="str">
        <f>'Input | General'!E13</f>
        <v>2016–17</v>
      </c>
      <c r="I7" s="175" t="str">
        <f>'Input | General'!F13</f>
        <v>2017–18</v>
      </c>
      <c r="J7" s="175" t="str">
        <f>'Input | General'!G13</f>
        <v>2018–19</v>
      </c>
      <c r="K7" s="175" t="str">
        <f>'Input | General'!H13</f>
        <v>2019–20</v>
      </c>
      <c r="L7" s="175" t="str">
        <f>'Input | General'!D18</f>
        <v>2020-21</v>
      </c>
      <c r="M7" s="175" t="str">
        <f>'Input | General'!E18</f>
        <v>2021–22</v>
      </c>
      <c r="N7" s="175" t="str">
        <f>'Input | General'!F18</f>
        <v>2022–23</v>
      </c>
      <c r="O7" s="175" t="str">
        <f>'Input | General'!G18</f>
        <v>2023–24</v>
      </c>
      <c r="P7" s="175" t="str">
        <f>'Input | General'!H18</f>
        <v>2024–25</v>
      </c>
    </row>
    <row r="8" spans="1:20" ht="11.25" customHeight="1">
      <c r="A8" s="11"/>
      <c r="B8" s="11"/>
      <c r="C8" s="80" t="s">
        <v>81</v>
      </c>
      <c r="D8" s="78" t="s">
        <v>102</v>
      </c>
      <c r="E8" s="78" t="s">
        <v>51</v>
      </c>
      <c r="F8" s="78"/>
      <c r="G8" s="202">
        <v>1.6885553470919357E-2</v>
      </c>
      <c r="H8" s="202">
        <v>1.4760147601476037E-2</v>
      </c>
      <c r="I8" s="202">
        <v>1.9090909090909047E-2</v>
      </c>
      <c r="J8" s="202">
        <v>1.7841213202497874E-2</v>
      </c>
      <c r="K8" s="202">
        <v>1.7000000000000001E-2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82</v>
      </c>
      <c r="D9" s="78" t="s">
        <v>102</v>
      </c>
      <c r="E9" s="78" t="s">
        <v>51</v>
      </c>
      <c r="F9" s="78"/>
      <c r="G9" s="130"/>
      <c r="H9" s="130"/>
      <c r="I9" s="130"/>
      <c r="J9" s="130"/>
      <c r="K9" s="130"/>
      <c r="L9" s="202">
        <v>2.3699999999999999E-2</v>
      </c>
      <c r="M9" s="142">
        <f t="shared" ref="M9:P9" si="0">L9</f>
        <v>2.3699999999999999E-2</v>
      </c>
      <c r="N9" s="142">
        <f t="shared" si="0"/>
        <v>2.3699999999999999E-2</v>
      </c>
      <c r="O9" s="142">
        <f t="shared" si="0"/>
        <v>2.3699999999999999E-2</v>
      </c>
      <c r="P9" s="142">
        <f t="shared" si="0"/>
        <v>2.3699999999999999E-2</v>
      </c>
    </row>
    <row r="10" spans="1:20" ht="11.25" customHeight="1">
      <c r="A10" s="11"/>
      <c r="B10" s="11"/>
      <c r="C10" s="139" t="str">
        <f>"CPI Index (base year "&amp;F7&amp;")"</f>
        <v>CPI Index (base year 2014–15)</v>
      </c>
      <c r="D10" s="78" t="s">
        <v>102</v>
      </c>
      <c r="E10" s="78" t="s">
        <v>30</v>
      </c>
      <c r="F10" s="137">
        <v>1</v>
      </c>
      <c r="G10" s="123">
        <f>IF(G7&lt;&gt;"",(F10*(1+G8)),"")</f>
        <v>1.0168855534709194</v>
      </c>
      <c r="H10" s="123">
        <f>IF(H7&lt;&gt;"",(G10*(1+H8)),"")</f>
        <v>1.0318949343339587</v>
      </c>
      <c r="I10" s="123">
        <f>IF(I7&lt;&gt;"",(H10*(1+I8)),"")</f>
        <v>1.0515947467166979</v>
      </c>
      <c r="J10" s="123">
        <f>IF(J7&lt;&gt;"",(I10*(1+J8)),"")</f>
        <v>1.0703564727954973</v>
      </c>
      <c r="K10" s="123">
        <f>IF(K7&lt;&gt;"",(J10*(1+K8)),"")</f>
        <v>1.0885525328330206</v>
      </c>
      <c r="L10" s="87">
        <f t="shared" ref="L10:P10" si="1">IF(L7&lt;&gt;"",(K10*(1+L9)),"")</f>
        <v>1.1143512278611631</v>
      </c>
      <c r="M10" s="87">
        <f t="shared" si="1"/>
        <v>1.1407613519614728</v>
      </c>
      <c r="N10" s="87">
        <f t="shared" si="1"/>
        <v>1.1677973960029597</v>
      </c>
      <c r="O10" s="87">
        <f t="shared" si="1"/>
        <v>1.1954741942882299</v>
      </c>
      <c r="P10" s="87">
        <f t="shared" si="1"/>
        <v>1.2238069326928609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81</v>
      </c>
      <c r="D13" s="78" t="s">
        <v>49</v>
      </c>
      <c r="E13" s="78" t="s">
        <v>51</v>
      </c>
      <c r="F13" s="78"/>
      <c r="G13" s="202">
        <v>1.6885553470919357E-2</v>
      </c>
      <c r="H13" s="202">
        <v>1.4760147601476037E-2</v>
      </c>
      <c r="I13" s="202">
        <v>1.9090909090909047E-2</v>
      </c>
      <c r="J13" s="202">
        <v>1.7841213202497874E-2</v>
      </c>
      <c r="K13" s="202">
        <v>1.84049079754602E-2</v>
      </c>
      <c r="L13" s="192"/>
      <c r="M13" s="192"/>
      <c r="N13" s="192"/>
      <c r="O13" s="192"/>
      <c r="P13" s="192"/>
    </row>
    <row r="14" spans="1:20" ht="11.25" customHeight="1">
      <c r="A14" s="11"/>
      <c r="B14" s="11"/>
      <c r="C14" s="80" t="s">
        <v>82</v>
      </c>
      <c r="D14" s="78" t="s">
        <v>49</v>
      </c>
      <c r="E14" s="78" t="s">
        <v>51</v>
      </c>
      <c r="F14" s="78"/>
      <c r="G14" s="86"/>
      <c r="H14" s="86"/>
      <c r="I14" s="86"/>
      <c r="J14" s="131"/>
      <c r="K14" s="131"/>
      <c r="L14" s="202">
        <v>2.2739900899011012E-2</v>
      </c>
      <c r="M14" s="142">
        <f t="shared" ref="M14:P14" si="2">L14</f>
        <v>2.2739900899011012E-2</v>
      </c>
      <c r="N14" s="142">
        <f t="shared" si="2"/>
        <v>2.2739900899011012E-2</v>
      </c>
      <c r="O14" s="142">
        <f t="shared" si="2"/>
        <v>2.2739900899011012E-2</v>
      </c>
      <c r="P14" s="142">
        <f t="shared" si="2"/>
        <v>2.2739900899011012E-2</v>
      </c>
    </row>
    <row r="15" spans="1:20" ht="11.25" customHeight="1">
      <c r="A15" s="11"/>
      <c r="B15" s="11"/>
      <c r="C15" s="139" t="str">
        <f>"CPI Index (base year "&amp;F7&amp;")"</f>
        <v>CPI Index (base year 2014–15)</v>
      </c>
      <c r="D15" s="78" t="s">
        <v>49</v>
      </c>
      <c r="E15" s="78" t="s">
        <v>30</v>
      </c>
      <c r="F15" s="137">
        <v>1</v>
      </c>
      <c r="G15" s="123">
        <f>IF(G7&lt;&gt;"",(F15*(1+G13)),"")</f>
        <v>1.0168855534709194</v>
      </c>
      <c r="H15" s="123">
        <f>IF(H7&lt;&gt;"",(G15*(1+H13)),"")</f>
        <v>1.0318949343339587</v>
      </c>
      <c r="I15" s="123">
        <f>IF(I7&lt;&gt;"",(H15*(1+I13)),"")</f>
        <v>1.0515947467166979</v>
      </c>
      <c r="J15" s="193">
        <f>IF(J7&lt;&gt;"",(I15*(1+J13)),"")</f>
        <v>1.0703564727954973</v>
      </c>
      <c r="K15" s="194">
        <f>IF(K7&lt;&gt;"",(J15*(1+K13)),"")</f>
        <v>1.0900562851782367</v>
      </c>
      <c r="L15" s="194">
        <f t="shared" ref="L15:P15" si="3">IF(L7&lt;&gt;"",(K15*(1+L14)),"")</f>
        <v>1.114844057077534</v>
      </c>
      <c r="M15" s="194">
        <f t="shared" si="3"/>
        <v>1.1401955004533284</v>
      </c>
      <c r="N15" s="194">
        <f t="shared" si="3"/>
        <v>1.1661234331391352</v>
      </c>
      <c r="O15" s="194">
        <f t="shared" si="3"/>
        <v>1.1926409644447338</v>
      </c>
      <c r="P15" s="194">
        <f t="shared" si="3"/>
        <v>1.219761501784308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131"/>
      <c r="K16" s="195"/>
      <c r="L16" s="195"/>
      <c r="M16" s="195"/>
      <c r="N16" s="195"/>
      <c r="O16" s="195"/>
      <c r="P16" s="195"/>
    </row>
    <row r="17" spans="1:16" s="81" customFormat="1" ht="12.75" customHeight="1">
      <c r="C17" s="29" t="s">
        <v>68</v>
      </c>
      <c r="D17" s="82"/>
      <c r="E17" s="82"/>
      <c r="F17" s="82"/>
      <c r="J17" s="196"/>
      <c r="K17" s="196"/>
      <c r="L17" s="196"/>
      <c r="M17" s="197"/>
      <c r="N17" s="196"/>
      <c r="O17" s="196"/>
      <c r="P17" s="196"/>
    </row>
    <row r="18" spans="1:16" ht="11.25" customHeight="1">
      <c r="A18" s="16"/>
      <c r="B18" s="79"/>
      <c r="C18" s="79"/>
      <c r="D18" s="79"/>
      <c r="E18" s="79"/>
      <c r="F18" s="75"/>
      <c r="J18" s="14"/>
      <c r="K18" s="14"/>
      <c r="L18" s="14"/>
      <c r="M18" s="198"/>
      <c r="N18" s="14"/>
      <c r="O18" s="199"/>
      <c r="P18" s="199"/>
    </row>
    <row r="19" spans="1:16" ht="11.25" customHeight="1">
      <c r="C19" s="16"/>
      <c r="D19" s="75" t="s">
        <v>6</v>
      </c>
      <c r="E19" s="75" t="s">
        <v>52</v>
      </c>
      <c r="F19" s="79"/>
      <c r="G19" s="175" t="str">
        <f>G7</f>
        <v>2015–16</v>
      </c>
      <c r="H19" s="175" t="str">
        <f t="shared" ref="H19:P19" si="4">H7</f>
        <v>2016–17</v>
      </c>
      <c r="I19" s="175" t="str">
        <f t="shared" si="4"/>
        <v>2017–18</v>
      </c>
      <c r="J19" s="200" t="str">
        <f t="shared" si="4"/>
        <v>2018–19</v>
      </c>
      <c r="K19" s="200" t="str">
        <f t="shared" si="4"/>
        <v>2019–20</v>
      </c>
      <c r="L19" s="200" t="str">
        <f t="shared" si="4"/>
        <v>2020-21</v>
      </c>
      <c r="M19" s="200" t="str">
        <f t="shared" si="4"/>
        <v>2021–22</v>
      </c>
      <c r="N19" s="200" t="str">
        <f t="shared" si="4"/>
        <v>2022–23</v>
      </c>
      <c r="O19" s="200" t="str">
        <f t="shared" si="4"/>
        <v>2023–24</v>
      </c>
      <c r="P19" s="200" t="str">
        <f t="shared" si="4"/>
        <v>2024–25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202">
        <v>3.4223677885352854E-2</v>
      </c>
      <c r="H20" s="202">
        <v>3.4525892490292698E-2</v>
      </c>
      <c r="I20" s="202">
        <v>3.4583434536381352E-2</v>
      </c>
      <c r="J20" s="202">
        <v>3.4290771868183745E-2</v>
      </c>
      <c r="K20" s="202">
        <v>3.3975376840037708E-2</v>
      </c>
      <c r="L20" s="131"/>
      <c r="M20" s="131"/>
      <c r="N20" s="131"/>
      <c r="O20" s="131"/>
      <c r="P20" s="131"/>
    </row>
    <row r="21" spans="1:16" ht="11.25" customHeight="1">
      <c r="C21" s="154" t="s">
        <v>95</v>
      </c>
      <c r="D21" s="78" t="s">
        <v>49</v>
      </c>
      <c r="E21" s="78" t="s">
        <v>51</v>
      </c>
      <c r="F21" s="79"/>
      <c r="G21" s="79"/>
      <c r="H21" s="79"/>
      <c r="I21" s="79"/>
      <c r="J21" s="201"/>
      <c r="K21" s="201"/>
      <c r="L21" s="202">
        <v>2.3998445239976629E-2</v>
      </c>
      <c r="M21" s="202">
        <v>2.2745496891311889E-2</v>
      </c>
      <c r="N21" s="202">
        <v>2.149254854264715E-2</v>
      </c>
      <c r="O21" s="202">
        <v>2.023960019398241E-2</v>
      </c>
      <c r="P21" s="202">
        <v>1.8986651845317538E-2</v>
      </c>
    </row>
    <row r="22" spans="1:16" ht="11.25" customHeight="1">
      <c r="C22" s="80" t="s">
        <v>69</v>
      </c>
      <c r="D22" s="78" t="s">
        <v>60</v>
      </c>
      <c r="E22" s="78" t="s">
        <v>51</v>
      </c>
      <c r="F22" s="79"/>
      <c r="G22" s="143">
        <f>IF(AND(G13&lt;&gt;"",G20&lt;&gt;""),((1+G20)*(1+G13)-1),"")</f>
        <v>5.1687117099176838E-2</v>
      </c>
      <c r="H22" s="143">
        <f>IF(AND(H13&lt;&gt;"",H20&lt;&gt;""),((1+H20)*(1+H13)-1),"")</f>
        <v>4.9795647360998174E-2</v>
      </c>
      <c r="I22" s="143">
        <f>IF(AND(I13&lt;&gt;"",I20&lt;&gt;""),((1+I20)*(1+I13)-1),"")</f>
        <v>5.4334572832075878E-2</v>
      </c>
      <c r="J22" s="143">
        <f>IF(AND(J13&lt;&gt;"",J20&lt;&gt;""),((1+J20)*(1+J13)-1),"")</f>
        <v>5.2743774042460112E-2</v>
      </c>
      <c r="K22" s="143">
        <f>IF(AND(K13&lt;&gt;"",K20&lt;&gt;""),((1+K20)*(1+K13)-1),"")</f>
        <v>5.3005598499670459E-2</v>
      </c>
      <c r="L22" s="143">
        <f>IF(AND(L14&lt;&gt;"",L21&lt;&gt;""),((1+L21)*(1+L14)-1),"")</f>
        <v>4.7284068405474944E-2</v>
      </c>
      <c r="M22" s="143">
        <f t="shared" ref="M22:P22" si="5">IF(AND(M14&lt;&gt;"",M21&lt;&gt;""),((1+M21)*(1+M14)-1),"")</f>
        <v>4.6002628135530133E-2</v>
      </c>
      <c r="N22" s="143">
        <f t="shared" si="5"/>
        <v>4.4721187865585099E-2</v>
      </c>
      <c r="O22" s="143">
        <f t="shared" si="5"/>
        <v>4.3439747595640288E-2</v>
      </c>
      <c r="P22" s="143">
        <f t="shared" si="5"/>
        <v>4.2158307325695032E-2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spans="13:16" ht="18" hidden="1" customHeight="1"/>
    <row r="98" spans="13:16" ht="18" hidden="1" customHeight="1"/>
    <row r="99" spans="13:16" ht="18" hidden="1" customHeight="1"/>
    <row r="100" spans="13:16" ht="18" hidden="1" customHeight="1"/>
    <row r="101" spans="13:16" ht="18" hidden="1" customHeight="1"/>
    <row r="102" spans="13:16" ht="18" hidden="1" customHeight="1"/>
    <row r="103" spans="13:16" ht="18" hidden="1" customHeight="1"/>
    <row r="104" spans="13:16" ht="18" hidden="1" customHeight="1"/>
    <row r="105" spans="13:16" ht="18" hidden="1" customHeight="1"/>
    <row r="106" spans="13:16" ht="18" hidden="1" customHeight="1"/>
    <row r="107" spans="13:16" ht="18" customHeight="1"/>
    <row r="108" spans="13:16" ht="18" customHeight="1">
      <c r="M108" s="11"/>
      <c r="N108" s="11"/>
      <c r="O108" s="11"/>
      <c r="P108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workbookViewId="0">
      <selection activeCell="H29" sqref="H29:L29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Ergon Energy 2021-25 Final Decision - Capital expenditure sharing scheme model</v>
      </c>
      <c r="D1" s="12"/>
      <c r="E1" s="12"/>
      <c r="F1" s="12"/>
      <c r="G1" s="12"/>
      <c r="H1" s="105"/>
      <c r="I1" s="106" t="s">
        <v>47</v>
      </c>
      <c r="J1" s="159" t="s">
        <v>48</v>
      </c>
      <c r="K1" s="163" t="s">
        <v>36</v>
      </c>
      <c r="L1" s="79"/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7" t="str">
        <f>IF('Input | General'!D14="Yes",'Input | General'!D13,"n/a")</f>
        <v>2015–16</v>
      </c>
      <c r="I6" s="177" t="str">
        <f>IF('Input | General'!E14="Yes",'Input | General'!E13,"n/a")</f>
        <v>2016–17</v>
      </c>
      <c r="J6" s="177" t="str">
        <f>IF('Input | General'!F14="Yes",'Input | General'!F13,"n/a")</f>
        <v>2017–18</v>
      </c>
      <c r="K6" s="177" t="str">
        <f>IF('Input | General'!G14="Yes",'Input | General'!G13,"n/a")</f>
        <v>2018–19</v>
      </c>
      <c r="L6" s="177" t="str">
        <f>IF('Input | General'!H14="Yes",'Input | General'!H13,"n/a")</f>
        <v>2019–20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80" t="str">
        <f>'Input | Inflation and Disc Rate'!$F$7</f>
        <v>2014–15</v>
      </c>
      <c r="G8" s="68"/>
      <c r="H8" s="161">
        <v>696.62820898912275</v>
      </c>
      <c r="I8" s="161">
        <v>632.20989699665256</v>
      </c>
      <c r="J8" s="161">
        <v>585.59690832026251</v>
      </c>
      <c r="K8" s="161">
        <v>555.4274800165897</v>
      </c>
      <c r="L8" s="161">
        <v>547.06765487603479</v>
      </c>
      <c r="M8" s="2"/>
      <c r="N8" s="2"/>
    </row>
    <row r="9" spans="2:14" ht="10.5" customHeight="1">
      <c r="C9" s="80" t="s">
        <v>97</v>
      </c>
      <c r="D9" s="78" t="s">
        <v>49</v>
      </c>
      <c r="E9" s="78" t="s">
        <v>50</v>
      </c>
      <c r="F9" s="180" t="str">
        <f>'Input | Inflation and Disc Rate'!$F$7</f>
        <v>2014–15</v>
      </c>
      <c r="G9" s="68"/>
      <c r="H9" s="161">
        <v>29.619999999999994</v>
      </c>
      <c r="I9" s="161">
        <v>30.81</v>
      </c>
      <c r="J9" s="161">
        <v>32.030000000000008</v>
      </c>
      <c r="K9" s="161">
        <v>32.819999999999993</v>
      </c>
      <c r="L9" s="161">
        <v>33.519999999999996</v>
      </c>
      <c r="M9" s="2"/>
      <c r="N9" s="2"/>
    </row>
    <row r="10" spans="2:14" ht="10.5" customHeight="1">
      <c r="C10" s="80" t="s">
        <v>91</v>
      </c>
      <c r="D10" s="78" t="s">
        <v>49</v>
      </c>
      <c r="E10" s="78" t="s">
        <v>50</v>
      </c>
      <c r="F10" s="180" t="str">
        <f>'Input | Inflation and Disc Rate'!$F$7</f>
        <v>2014–15</v>
      </c>
      <c r="G10" s="68"/>
      <c r="H10" s="161">
        <v>7</v>
      </c>
      <c r="I10" s="161">
        <v>7</v>
      </c>
      <c r="J10" s="161">
        <v>7</v>
      </c>
      <c r="K10" s="161">
        <v>15.75</v>
      </c>
      <c r="L10" s="161">
        <v>16.689999999999998</v>
      </c>
      <c r="M10" s="2"/>
      <c r="N10" s="2"/>
    </row>
    <row r="11" spans="2:14" s="68" customFormat="1" ht="10.5" customHeight="1">
      <c r="H11" s="67"/>
      <c r="I11" s="67"/>
      <c r="J11" s="67"/>
      <c r="K11" s="67"/>
      <c r="L11" s="67"/>
      <c r="M11" s="108"/>
      <c r="N11" s="108"/>
    </row>
    <row r="12" spans="2:14" ht="10.5" customHeight="1">
      <c r="C12" s="77" t="s">
        <v>5</v>
      </c>
      <c r="D12" s="76" t="s">
        <v>60</v>
      </c>
      <c r="E12" s="178" t="s">
        <v>50</v>
      </c>
      <c r="F12" s="179" t="str">
        <f>'Input | Inflation and Disc Rate'!$F$7</f>
        <v>2014–15</v>
      </c>
      <c r="G12" s="68"/>
      <c r="H12" s="66">
        <f>IF(H6="", "", H8-H9-H10)</f>
        <v>660.00820898912275</v>
      </c>
      <c r="I12" s="66">
        <f t="shared" ref="I12:L12" si="0">IF(I6="", "", I8-I9-I10)</f>
        <v>594.39989699665261</v>
      </c>
      <c r="J12" s="66">
        <f t="shared" si="0"/>
        <v>546.56690832026254</v>
      </c>
      <c r="K12" s="66">
        <f t="shared" si="0"/>
        <v>506.85748001658976</v>
      </c>
      <c r="L12" s="66">
        <f t="shared" si="0"/>
        <v>496.85765487603481</v>
      </c>
      <c r="M12" s="2"/>
      <c r="N12" s="2"/>
    </row>
    <row r="13" spans="2:14" ht="10.5" customHeight="1">
      <c r="D13" s="68"/>
      <c r="E13" s="68"/>
      <c r="F13" s="68"/>
      <c r="G13" s="68"/>
      <c r="M13" s="72"/>
      <c r="N13" s="72"/>
    </row>
    <row r="14" spans="2:14" s="8" customFormat="1" ht="12.75" customHeight="1">
      <c r="B14" s="74" t="s">
        <v>41</v>
      </c>
      <c r="D14" s="18"/>
      <c r="E14" s="18"/>
      <c r="F14" s="18"/>
      <c r="G14" s="18"/>
    </row>
    <row r="15" spans="2:14" s="2" customFormat="1" ht="10.5" customHeight="1">
      <c r="B15" s="73"/>
      <c r="D15" s="21"/>
      <c r="E15" s="21"/>
      <c r="F15" s="21"/>
      <c r="G15" s="21"/>
    </row>
    <row r="16" spans="2:14" s="2" customFormat="1" ht="10.5" customHeight="1">
      <c r="B16" s="73"/>
      <c r="C16" s="68"/>
      <c r="D16" s="75" t="s">
        <v>6</v>
      </c>
      <c r="E16" s="75" t="s">
        <v>52</v>
      </c>
      <c r="F16" s="75" t="s">
        <v>4</v>
      </c>
      <c r="G16" s="64"/>
      <c r="H16" s="177" t="str">
        <f>H6</f>
        <v>2015–16</v>
      </c>
      <c r="I16" s="177" t="str">
        <f t="shared" ref="I16:L16" si="1">I6</f>
        <v>2016–17</v>
      </c>
      <c r="J16" s="177" t="str">
        <f t="shared" si="1"/>
        <v>2017–18</v>
      </c>
      <c r="K16" s="177" t="str">
        <f t="shared" si="1"/>
        <v>2018–19</v>
      </c>
      <c r="L16" s="177" t="str">
        <f t="shared" si="1"/>
        <v>2019–20</v>
      </c>
      <c r="M16" s="108"/>
      <c r="N16" s="108"/>
    </row>
    <row r="17" spans="2:14" s="2" customFormat="1" ht="10.5" customHeight="1">
      <c r="B17" s="73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08"/>
      <c r="N17" s="108"/>
    </row>
    <row r="18" spans="2:14" s="2" customFormat="1" ht="10.5" customHeight="1">
      <c r="B18" s="73"/>
      <c r="C18" s="80" t="s">
        <v>77</v>
      </c>
      <c r="D18" s="78" t="s">
        <v>49</v>
      </c>
      <c r="E18" s="78" t="s">
        <v>50</v>
      </c>
      <c r="F18" s="78" t="s">
        <v>53</v>
      </c>
      <c r="G18" s="68"/>
      <c r="H18" s="161">
        <v>636.24875315492409</v>
      </c>
      <c r="I18" s="161">
        <v>517.34486845620916</v>
      </c>
      <c r="J18" s="161">
        <v>532.46001055299405</v>
      </c>
      <c r="K18" s="161">
        <v>610.58480582840264</v>
      </c>
      <c r="L18" s="161">
        <v>587.97760116700772</v>
      </c>
    </row>
    <row r="19" spans="2:14" s="2" customFormat="1" ht="10.5" customHeight="1">
      <c r="B19" s="73"/>
      <c r="C19" s="80" t="s">
        <v>97</v>
      </c>
      <c r="D19" s="78" t="s">
        <v>49</v>
      </c>
      <c r="E19" s="78" t="s">
        <v>50</v>
      </c>
      <c r="F19" s="78" t="s">
        <v>53</v>
      </c>
      <c r="G19" s="141"/>
      <c r="H19" s="162">
        <v>25.621829000000002</v>
      </c>
      <c r="I19" s="161">
        <v>9.3205489499999992</v>
      </c>
      <c r="J19" s="161">
        <v>42.755462922527542</v>
      </c>
      <c r="K19" s="161">
        <v>71.36591700000001</v>
      </c>
      <c r="L19" s="161">
        <v>47.735027780554276</v>
      </c>
    </row>
    <row r="20" spans="2:14" s="2" customFormat="1" ht="10.5" customHeight="1">
      <c r="B20" s="73"/>
      <c r="C20" s="140" t="s">
        <v>91</v>
      </c>
      <c r="D20" s="78" t="s">
        <v>49</v>
      </c>
      <c r="E20" s="78" t="s">
        <v>50</v>
      </c>
      <c r="F20" s="78" t="s">
        <v>53</v>
      </c>
      <c r="G20" s="141"/>
      <c r="H20" s="162">
        <v>5.6313649999999997</v>
      </c>
      <c r="I20" s="161">
        <v>8.5529909999999987</v>
      </c>
      <c r="J20" s="161">
        <v>3.8312844199999998</v>
      </c>
      <c r="K20" s="161">
        <v>1.154325</v>
      </c>
      <c r="L20" s="161">
        <v>3.83</v>
      </c>
    </row>
    <row r="21" spans="2:14" s="2" customFormat="1" ht="10.5" customHeight="1">
      <c r="B21" s="73"/>
      <c r="C21" s="156" t="s">
        <v>96</v>
      </c>
      <c r="D21" s="78" t="s">
        <v>49</v>
      </c>
      <c r="E21" s="78" t="s">
        <v>50</v>
      </c>
      <c r="F21" s="78" t="s">
        <v>53</v>
      </c>
      <c r="G21" s="68"/>
      <c r="H21" s="162"/>
      <c r="I21" s="161"/>
      <c r="J21" s="161"/>
      <c r="K21" s="161"/>
      <c r="L21" s="161"/>
    </row>
    <row r="22" spans="2:14" s="2" customFormat="1" ht="10.5" customHeight="1">
      <c r="B22" s="73"/>
      <c r="C22" s="68"/>
      <c r="D22" s="68"/>
      <c r="E22" s="68"/>
      <c r="F22" s="68"/>
      <c r="G22" s="68"/>
      <c r="H22" s="67"/>
      <c r="I22" s="67"/>
      <c r="J22" s="67"/>
      <c r="K22" s="67"/>
      <c r="L22" s="67"/>
      <c r="M22" s="108"/>
      <c r="N22" s="108"/>
    </row>
    <row r="23" spans="2:14" s="2" customFormat="1" ht="10.5" customHeight="1">
      <c r="B23" s="73"/>
      <c r="C23" s="77" t="s">
        <v>76</v>
      </c>
      <c r="D23" s="76" t="s">
        <v>60</v>
      </c>
      <c r="E23" s="181" t="s">
        <v>50</v>
      </c>
      <c r="F23" s="181" t="s">
        <v>53</v>
      </c>
      <c r="G23" s="68"/>
      <c r="H23" s="66">
        <f>IF(H16="", "", H18-H19-H20-H21)</f>
        <v>604.99555915492408</v>
      </c>
      <c r="I23" s="66">
        <f t="shared" ref="I23:L23" si="2">IF(I16="", "", I18-I19-I20-I21)</f>
        <v>499.47132850620915</v>
      </c>
      <c r="J23" s="66">
        <f t="shared" si="2"/>
        <v>485.87326321046652</v>
      </c>
      <c r="K23" s="66">
        <f t="shared" si="2"/>
        <v>538.0645638284027</v>
      </c>
      <c r="L23" s="66">
        <f t="shared" si="2"/>
        <v>536.41257338645335</v>
      </c>
    </row>
    <row r="24" spans="2:14" s="2" customFormat="1" ht="10.5" customHeight="1">
      <c r="B24" s="73"/>
      <c r="D24" s="21"/>
      <c r="E24" s="21"/>
      <c r="F24" s="21"/>
      <c r="G24" s="21"/>
      <c r="M24" s="72"/>
      <c r="N24" s="72"/>
    </row>
    <row r="25" spans="2:14" s="8" customFormat="1" ht="12.75" customHeight="1">
      <c r="B25" s="74" t="s">
        <v>42</v>
      </c>
      <c r="D25" s="18"/>
      <c r="E25" s="18"/>
      <c r="F25" s="18"/>
      <c r="G25" s="18"/>
    </row>
    <row r="26" spans="2:14" ht="10.5" customHeight="1">
      <c r="D26" s="68"/>
      <c r="E26" s="68"/>
      <c r="F26" s="68"/>
      <c r="G26" s="68"/>
      <c r="M26" s="2"/>
      <c r="N26" s="2"/>
    </row>
    <row r="27" spans="2:14" ht="10.5" customHeight="1">
      <c r="D27" s="68"/>
      <c r="E27" s="68"/>
      <c r="F27" s="68"/>
      <c r="G27" s="68"/>
      <c r="H27" s="177" t="str">
        <f>'Input | General'!D18</f>
        <v>2020-21</v>
      </c>
      <c r="I27" s="177" t="str">
        <f>'Input | General'!E18</f>
        <v>2021–22</v>
      </c>
      <c r="J27" s="177" t="str">
        <f>'Input | General'!F18</f>
        <v>2022–23</v>
      </c>
      <c r="K27" s="177" t="str">
        <f>'Input | General'!G18</f>
        <v>2023–24</v>
      </c>
      <c r="L27" s="177" t="str">
        <f>'Input | General'!H18</f>
        <v>2024–25</v>
      </c>
      <c r="M27" s="2"/>
      <c r="N27" s="2"/>
    </row>
    <row r="28" spans="2:14" s="17" customFormat="1" ht="10.5" customHeight="1">
      <c r="C28" s="16"/>
      <c r="D28" s="68"/>
      <c r="E28" s="68"/>
      <c r="F28" s="68"/>
      <c r="G28" s="68"/>
      <c r="M28" s="19"/>
      <c r="N28" s="19"/>
    </row>
    <row r="29" spans="2:14" ht="11.25" customHeight="1">
      <c r="C29" s="84" t="s">
        <v>85</v>
      </c>
      <c r="D29" s="65" t="s">
        <v>102</v>
      </c>
      <c r="E29" s="78" t="s">
        <v>50</v>
      </c>
      <c r="F29" s="78" t="s">
        <v>53</v>
      </c>
      <c r="G29" s="68"/>
      <c r="H29" s="161">
        <v>19.401901055858673</v>
      </c>
      <c r="I29" s="161">
        <v>14.147878146201986</v>
      </c>
      <c r="J29" s="161">
        <v>18.08136445155192</v>
      </c>
      <c r="K29" s="161">
        <v>11.42598100329562</v>
      </c>
      <c r="L29" s="161">
        <v>0</v>
      </c>
      <c r="M29" s="2"/>
      <c r="N29" s="2"/>
    </row>
    <row r="30" spans="2:14" ht="11.25" customHeight="1">
      <c r="C30" s="84" t="s">
        <v>85</v>
      </c>
      <c r="D30" s="65" t="s">
        <v>60</v>
      </c>
      <c r="E30" s="78" t="s">
        <v>50</v>
      </c>
      <c r="F30" s="78" t="str">
        <f>'Input | Inflation and Disc Rate'!$F$7</f>
        <v>2014–15</v>
      </c>
      <c r="G30" s="68"/>
      <c r="H30" s="149">
        <f>IF(H29&lt;&gt;"",H29/('Input | Inflation and Disc Rate'!K10*(1+'Input | Inflation and Disc Rate'!L9)^0.5),"")</f>
        <v>17.616050279368853</v>
      </c>
      <c r="I30" s="149">
        <f>IF(I29&lt;&gt;"",I29/('Input | Inflation and Disc Rate'!L10*(1+'Input | Inflation and Disc Rate'!M9)^0.5),"")</f>
        <v>12.548241345112569</v>
      </c>
      <c r="J30" s="149">
        <f>IF(J29&lt;&gt;"",J29/('Input | Inflation and Disc Rate'!M10*(1+'Input | Inflation and Disc Rate'!N9)^0.5),"")</f>
        <v>15.66570878841763</v>
      </c>
      <c r="K30" s="149">
        <f>IF(K29&lt;&gt;"",K29/('Input | Inflation and Disc Rate'!N10*(1+'Input | Inflation and Disc Rate'!O9)^0.5),"")</f>
        <v>9.6702932350572546</v>
      </c>
      <c r="L30" s="149">
        <f>IF(L29&lt;&gt;"",L29/('Input | Inflation and Disc Rate'!O10*(1+'Input | Inflation and Disc Rate'!P9)^0.5),"")</f>
        <v>0</v>
      </c>
      <c r="M30" s="2"/>
      <c r="N30" s="2"/>
    </row>
    <row r="31" spans="2:14" ht="11.25" customHeight="1">
      <c r="C31" s="84" t="s">
        <v>85</v>
      </c>
      <c r="D31" s="65" t="s">
        <v>49</v>
      </c>
      <c r="E31" s="78" t="s">
        <v>50</v>
      </c>
      <c r="F31" s="78" t="s">
        <v>53</v>
      </c>
      <c r="G31" s="68"/>
      <c r="H31" s="149">
        <f>IF(H29&lt;&gt;"",H30*'Input | Inflation and Disc Rate'!K15*(1+'Input | Inflation and Disc Rate'!L14)^0.5,"")</f>
        <v>19.419590351995254</v>
      </c>
      <c r="I31" s="149">
        <f>IF(I29&lt;&gt;"",I30*'Input | Inflation and Disc Rate'!L15*(1+'Input | Inflation and Disc Rate'!M14)^0.5,"")</f>
        <v>14.147496201802548</v>
      </c>
      <c r="J31" s="149">
        <f>IF(J29&lt;&gt;"",J30*'Input | Inflation and Disc Rate'!M15*(1+'Input | Inflation and Disc Rate'!N14)^0.5,"")</f>
        <v>18.063918777041405</v>
      </c>
      <c r="K31" s="149">
        <f>IF(K29&lt;&gt;"",K30*'Input | Inflation and Disc Rate'!N15*(1+'Input | Inflation and Disc Rate'!O14)^0.5,"")</f>
        <v>11.404250964555507</v>
      </c>
      <c r="L31" s="149">
        <f>IF(L29&lt;&gt;"",L30*'Input | Inflation and Disc Rate'!O15*(1+'Input | Inflation and Disc Rate'!P14)^0.5,"")</f>
        <v>0</v>
      </c>
      <c r="M31" s="2"/>
      <c r="N31" s="2"/>
    </row>
    <row r="32" spans="2:14" ht="10.5" customHeight="1">
      <c r="D32" s="68"/>
      <c r="E32" s="68"/>
      <c r="F32" s="68"/>
      <c r="G32" s="68"/>
      <c r="M32" s="72"/>
      <c r="N32" s="72"/>
    </row>
    <row r="33" spans="1:6" s="62" customFormat="1" ht="12.75" customHeight="1">
      <c r="A33" s="8"/>
      <c r="B33" s="29" t="s">
        <v>34</v>
      </c>
      <c r="D33" s="63"/>
      <c r="E33" s="63"/>
      <c r="F33" s="63"/>
    </row>
    <row r="34" spans="1:6" ht="10.5" hidden="1" customHeight="1"/>
    <row r="35" spans="1:6" ht="18" hidden="1" customHeight="1"/>
    <row r="36" spans="1:6" s="2" customFormat="1" ht="18" hidden="1" customHeight="1"/>
    <row r="37" spans="1:6" ht="18" hidden="1" customHeight="1"/>
    <row r="38" spans="1:6" ht="18" hidden="1" customHeight="1"/>
    <row r="39" spans="1:6" s="17" customFormat="1" ht="18" hidden="1" customHeight="1"/>
    <row r="40" spans="1:6" ht="18" hidden="1" customHeight="1"/>
    <row r="41" spans="1:6" ht="18" hidden="1" customHeight="1"/>
    <row r="42" spans="1:6" ht="18" hidden="1" customHeight="1"/>
    <row r="43" spans="1:6" ht="18" hidden="1" customHeight="1"/>
    <row r="44" spans="1:6" s="17" customFormat="1" ht="18" hidden="1" customHeight="1"/>
    <row r="45" spans="1:6" ht="18" hidden="1" customHeight="1"/>
    <row r="46" spans="1:6" ht="18" hidden="1" customHeight="1"/>
    <row r="47" spans="1:6" ht="18" hidden="1" customHeight="1"/>
    <row r="48" spans="1:6" ht="18" hidden="1" customHeight="1"/>
    <row r="49" spans="3:14" ht="18" hidden="1" customHeight="1"/>
    <row r="50" spans="3:14" ht="18" hidden="1" customHeight="1"/>
    <row r="51" spans="3:14" s="2" customFormat="1" ht="18" hidden="1" customHeight="1"/>
    <row r="52" spans="3:14" ht="18" hidden="1" customHeight="1"/>
    <row r="53" spans="3:14" ht="18" hidden="1" customHeight="1"/>
    <row r="54" spans="3:14" ht="18" hidden="1" customHeight="1"/>
    <row r="55" spans="3:14" s="17" customFormat="1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/>
    <row r="63" spans="3:14" ht="18" hidden="1" customHeight="1">
      <c r="C63" s="21"/>
      <c r="D63" s="21"/>
      <c r="E63" s="21"/>
      <c r="F63" s="21"/>
      <c r="G63" s="21"/>
      <c r="H63" s="2"/>
      <c r="I63" s="2"/>
      <c r="J63" s="2"/>
      <c r="K63" s="2"/>
      <c r="L63" s="2"/>
      <c r="M63" s="2"/>
      <c r="N63" s="2"/>
    </row>
    <row r="64" spans="3:14" ht="18" hidden="1" customHeight="1">
      <c r="C64" s="21"/>
      <c r="D64" s="21"/>
      <c r="E64" s="21"/>
      <c r="F64" s="21"/>
      <c r="G64" s="21"/>
      <c r="H64" s="19"/>
      <c r="I64" s="19"/>
      <c r="J64" s="19"/>
      <c r="K64" s="19"/>
      <c r="L64" s="19"/>
      <c r="M64" s="19"/>
      <c r="N64" s="19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>
      <c r="C68" s="21"/>
      <c r="D68" s="21"/>
      <c r="E68" s="21"/>
      <c r="F68" s="21"/>
      <c r="G68" s="21"/>
      <c r="H68" s="2"/>
      <c r="I68" s="2"/>
      <c r="J68" s="2"/>
      <c r="K68" s="2"/>
      <c r="L68" s="2"/>
      <c r="M68" s="2"/>
      <c r="N68" s="2"/>
    </row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</sheetData>
  <conditionalFormatting sqref="H8:H10 I8:L9">
    <cfRule type="expression" dxfId="7" priority="19">
      <formula>IF($H$6&lt;&gt;"","FALSE","TRUE")</formula>
    </cfRule>
  </conditionalFormatting>
  <conditionalFormatting sqref="H18:L18">
    <cfRule type="expression" dxfId="6" priority="14">
      <formula>IF($H$6&lt;&gt;"","FALSE","TRUE")</formula>
    </cfRule>
  </conditionalFormatting>
  <conditionalFormatting sqref="H19:H20">
    <cfRule type="expression" dxfId="5" priority="9">
      <formula>IF($H$6&lt;&gt;"","FALSE","TRUE")</formula>
    </cfRule>
  </conditionalFormatting>
  <conditionalFormatting sqref="I10:L10">
    <cfRule type="expression" dxfId="4" priority="5">
      <formula>IF($H$6&lt;&gt;"","FALSE","TRUE")</formula>
    </cfRule>
  </conditionalFormatting>
  <conditionalFormatting sqref="I19:L20">
    <cfRule type="expression" dxfId="3" priority="4">
      <formula>IF($H$6&lt;&gt;"","FALSE","TRUE")</formula>
    </cfRule>
  </conditionalFormatting>
  <conditionalFormatting sqref="H29:L29">
    <cfRule type="expression" dxfId="2" priority="3">
      <formula>IF($H$6&lt;&gt;"","FALSE","TRUE")</formula>
    </cfRule>
  </conditionalFormatting>
  <conditionalFormatting sqref="H21">
    <cfRule type="expression" dxfId="1" priority="2">
      <formula>IF($H$6&lt;&gt;"","FALSE","TRUE")</formula>
    </cfRule>
  </conditionalFormatting>
  <conditionalFormatting sqref="I21:L21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9"/>
  <sheetViews>
    <sheetView zoomScaleNormal="100" workbookViewId="0">
      <selection activeCell="H12" sqref="H12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Ergon Energy 2021-25 Final Decision - Capital expenditure sharing scheme model</v>
      </c>
      <c r="J1" s="122"/>
      <c r="K1" s="106" t="s">
        <v>47</v>
      </c>
      <c r="L1" s="159" t="s">
        <v>48</v>
      </c>
      <c r="M1" s="163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84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7" t="str">
        <f>IF('Input | General'!D14="Yes",'Input | General'!D13,"n/a")</f>
        <v>2015–16</v>
      </c>
      <c r="E7" s="177" t="str">
        <f>IF('Input | General'!E14="Yes",'Input | General'!E13,"n/a")</f>
        <v>2016–17</v>
      </c>
      <c r="F7" s="177" t="str">
        <f>IF('Input | General'!F14="Yes",'Input | General'!F13,"n/a")</f>
        <v>2017–18</v>
      </c>
      <c r="G7" s="177" t="str">
        <f>IF('Input | General'!G14="Yes",'Input | General'!G13,"n/a")</f>
        <v>2018–19</v>
      </c>
      <c r="H7" s="182" t="str">
        <f>IF('Input | General'!H14="Yes",'Input | General'!H13,"n/a")</f>
        <v>2019–20</v>
      </c>
      <c r="I7" s="97"/>
    </row>
    <row r="8" spans="2:23" ht="11.25" customHeight="1">
      <c r="C8" s="144" t="s">
        <v>93</v>
      </c>
      <c r="D8" s="164">
        <f>'Input | Inflation and Disc Rate'!G20</f>
        <v>3.4223677885352854E-2</v>
      </c>
      <c r="E8" s="165">
        <f>'Input | Inflation and Disc Rate'!H20</f>
        <v>3.4525892490292698E-2</v>
      </c>
      <c r="F8" s="165">
        <f>'Input | Inflation and Disc Rate'!I20</f>
        <v>3.4583434536381352E-2</v>
      </c>
      <c r="G8" s="165">
        <f>'Input | Inflation and Disc Rate'!J20</f>
        <v>3.4290771868183745E-2</v>
      </c>
      <c r="H8" s="166">
        <f>'Input | Inflation and Disc Rate'!K20</f>
        <v>3.3975376840037708E-2</v>
      </c>
      <c r="I8" s="97"/>
      <c r="J8" s="79"/>
      <c r="K8" s="79"/>
    </row>
    <row r="9" spans="2:23" ht="11.25" customHeight="1">
      <c r="C9" s="147" t="s">
        <v>94</v>
      </c>
      <c r="D9" s="165">
        <f>'Input | Inflation and Disc Rate'!G22</f>
        <v>5.1687117099176838E-2</v>
      </c>
      <c r="E9" s="165">
        <f>'Input | Inflation and Disc Rate'!H22</f>
        <v>4.9795647360998174E-2</v>
      </c>
      <c r="F9" s="165">
        <f>'Input | Inflation and Disc Rate'!I22</f>
        <v>5.4334572832075878E-2</v>
      </c>
      <c r="G9" s="165">
        <f>'Input | Inflation and Disc Rate'!J22</f>
        <v>5.2743774042460112E-2</v>
      </c>
      <c r="H9" s="166">
        <f>'Input | Inflation and Disc Rate'!K22</f>
        <v>5.3005598499670459E-2</v>
      </c>
      <c r="I9" s="97"/>
      <c r="J9" s="79"/>
      <c r="K9" s="79"/>
    </row>
    <row r="10" spans="2:23" ht="11.25" customHeight="1">
      <c r="C10" s="113" t="s">
        <v>13</v>
      </c>
      <c r="D10" s="167">
        <f>'Input | Reported Capex'!H$12*'Input | Inflation and Disc Rate'!G$15*(1+'Input | Inflation and Disc Rate'!G$20)^0.5</f>
        <v>682.54085623199478</v>
      </c>
      <c r="E10" s="168">
        <f>'Input | Reported Capex'!I$12*'Input | Inflation and Disc Rate'!H$15*(1+'Input | Inflation and Disc Rate'!H$20)^0.5</f>
        <v>623.85676429109265</v>
      </c>
      <c r="F10" s="168">
        <f>'Input | Reported Capex'!J$12*'Input | Inflation and Disc Rate'!I$15*(1+'Input | Inflation and Disc Rate'!I$20)^0.5</f>
        <v>584.62112191121935</v>
      </c>
      <c r="G10" s="168">
        <f>'Input | Reported Capex'!K$12*'Input | Inflation and Disc Rate'!J$15*(1+'Input | Inflation and Disc Rate'!J$20)^0.5</f>
        <v>551.74146625835442</v>
      </c>
      <c r="H10" s="169">
        <f>'Input | Reported Capex'!L$12*'Input | Inflation and Disc Rate'!K$15*(1+'Input | Inflation and Disc Rate'!K$20)^0.5</f>
        <v>550.72654104352557</v>
      </c>
      <c r="I10" s="97"/>
      <c r="J10" s="79"/>
      <c r="K10" s="79"/>
      <c r="N10" s="138"/>
    </row>
    <row r="11" spans="2:23" ht="11.25" customHeight="1">
      <c r="C11" s="113" t="s">
        <v>15</v>
      </c>
      <c r="D11" s="170">
        <f>'Input | Reported Capex'!H23*(1+D$9)^0.5</f>
        <v>620.43382072361646</v>
      </c>
      <c r="E11" s="168">
        <f>'Input | Reported Capex'!I23*(1+E$9)^0.5</f>
        <v>511.75600457473342</v>
      </c>
      <c r="F11" s="168">
        <f>'Input | Reported Capex'!J23*(1+F$9)^0.5</f>
        <v>498.8985309300333</v>
      </c>
      <c r="G11" s="168">
        <f>'Input | Reported Capex'!K23*(1+G$9)^0.5</f>
        <v>552.07201355210145</v>
      </c>
      <c r="H11" s="169">
        <f>'Input | Reported Capex'!L23*(1+H$9)^0.5</f>
        <v>550.44545377512532</v>
      </c>
      <c r="I11" s="97"/>
      <c r="J11" s="79"/>
      <c r="K11" s="79"/>
    </row>
    <row r="12" spans="2:23" s="19" customFormat="1" ht="11.25" customHeight="1">
      <c r="C12" s="113" t="s">
        <v>17</v>
      </c>
      <c r="D12" s="158">
        <f>(D10-D11)</f>
        <v>62.107035508378317</v>
      </c>
      <c r="E12" s="145">
        <f>(E10-E11)</f>
        <v>112.10075971635922</v>
      </c>
      <c r="F12" s="145">
        <f t="shared" ref="F12:H12" si="0">(F10-F11)</f>
        <v>85.722590981186045</v>
      </c>
      <c r="G12" s="145">
        <f t="shared" si="0"/>
        <v>-0.33054729374703129</v>
      </c>
      <c r="H12" s="150">
        <f t="shared" si="0"/>
        <v>0.28108726840025611</v>
      </c>
      <c r="I12" s="97"/>
      <c r="J12" s="79"/>
      <c r="K12" s="79"/>
    </row>
    <row r="13" spans="2:23" ht="11.25" customHeight="1">
      <c r="C13" s="113" t="s">
        <v>71</v>
      </c>
      <c r="D13" s="89"/>
      <c r="E13" s="145">
        <f>$D$12*$E$8</f>
        <v>2.1443008308530609</v>
      </c>
      <c r="F13" s="145">
        <f>$D$12*$F$8*(1+'Input | Inflation and Disc Rate'!H13)</f>
        <v>2.1795775428302444</v>
      </c>
      <c r="G13" s="145">
        <f>$D$12*$G$8*(1+'Input | Inflation and Disc Rate'!H13)*(1+'Input | Inflation and Disc Rate'!I13)</f>
        <v>2.2023908362880564</v>
      </c>
      <c r="H13" s="150">
        <f>$D$12*$H$8*(1+'Input | Inflation and Disc Rate'!H13)*(1+'Input | Inflation and Disc Rate'!I13)*(1+'Input | Inflation and Disc Rate'!J13)</f>
        <v>2.2210659010743883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72</v>
      </c>
      <c r="D14" s="89"/>
      <c r="E14" s="146"/>
      <c r="F14" s="145">
        <f>$E$12*F$8</f>
        <v>3.8768292851293249</v>
      </c>
      <c r="G14" s="145">
        <f>$E$12*G$8*(1+'Input | Inflation and Disc Rate'!I13)</f>
        <v>3.9174074441668099</v>
      </c>
      <c r="H14" s="150">
        <f>$E$12*H$8*(1+'Input | Inflation and Disc Rate'!I13)*(1+'Input | Inflation and Disc Rate'!J13)</f>
        <v>3.9506249079379421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73</v>
      </c>
      <c r="D15" s="89"/>
      <c r="E15" s="145"/>
      <c r="F15" s="145"/>
      <c r="G15" s="145">
        <f>$F$12*G$8</f>
        <v>2.9394938112854758</v>
      </c>
      <c r="H15" s="150">
        <f>$F$12*$H$8*(1+'Input | Inflation and Disc Rate'!J13)</f>
        <v>2.9644191044987811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74</v>
      </c>
      <c r="D16" s="89"/>
      <c r="E16" s="145"/>
      <c r="F16" s="145"/>
      <c r="G16" s="145"/>
      <c r="H16" s="150">
        <f>$G$12*$H$8</f>
        <v>-1.1230468868510028E-2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75</v>
      </c>
      <c r="D17" s="89"/>
      <c r="E17" s="145"/>
      <c r="F17" s="145"/>
      <c r="G17" s="145"/>
      <c r="H17" s="150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>
        <f>SUM(D13:D17)</f>
        <v>0</v>
      </c>
      <c r="E18" s="151">
        <f>SUM(E13:E17)</f>
        <v>2.1443008308530609</v>
      </c>
      <c r="F18" s="151">
        <f t="shared" ref="F18:H18" si="1">SUM(F13:F17)</f>
        <v>6.0564068279595693</v>
      </c>
      <c r="G18" s="151">
        <f t="shared" si="1"/>
        <v>9.0592920917403426</v>
      </c>
      <c r="H18" s="152">
        <f t="shared" si="1"/>
        <v>9.1248794446426018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92</v>
      </c>
      <c r="D19" s="126">
        <f>E19*(1+E$9)</f>
        <v>1.2269774395007549</v>
      </c>
      <c r="E19" s="151">
        <f>F19*(1+F$9)</f>
        <v>1.1687774116659377</v>
      </c>
      <c r="F19" s="151">
        <f>G19*(1+G$9)</f>
        <v>1.1085450878523826</v>
      </c>
      <c r="G19" s="151">
        <f>H19*(1+H$9)</f>
        <v>1.0530055984996705</v>
      </c>
      <c r="H19" s="153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>
        <f>D12*D19</f>
        <v>76.203931403052493</v>
      </c>
      <c r="E20" s="145">
        <f>E12*E19</f>
        <v>131.02083578707155</v>
      </c>
      <c r="F20" s="145">
        <f t="shared" ref="F20:H20" si="2">F12*F19</f>
        <v>95.027357150172747</v>
      </c>
      <c r="G20" s="145">
        <f t="shared" si="2"/>
        <v>-0.34806815088453907</v>
      </c>
      <c r="H20" s="150">
        <f t="shared" si="2"/>
        <v>0.28108726840025611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>
        <f>D18*D19</f>
        <v>0</v>
      </c>
      <c r="E21" s="151">
        <f>E18*E19</f>
        <v>2.5062103749175604</v>
      </c>
      <c r="F21" s="151">
        <f t="shared" ref="F21:H21" si="3">F18*F19</f>
        <v>6.7138000391702102</v>
      </c>
      <c r="G21" s="151">
        <f t="shared" si="3"/>
        <v>9.5394852910463701</v>
      </c>
      <c r="H21" s="152">
        <f t="shared" si="3"/>
        <v>9.1248794446426018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3" t="str">
        <f>'Input | General'!$D$18</f>
        <v>2020-21</v>
      </c>
      <c r="E24" s="183" t="str">
        <f>'Input | General'!$E$18</f>
        <v>2021–22</v>
      </c>
      <c r="F24" s="183" t="str">
        <f>'Input | General'!$F$18</f>
        <v>2022–23</v>
      </c>
      <c r="G24" s="183" t="str">
        <f>'Input | General'!$G$18</f>
        <v>2023–24</v>
      </c>
      <c r="H24" s="184" t="str">
        <f>'Input | General'!$H$18</f>
        <v>2024–25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70</v>
      </c>
      <c r="D25" s="171">
        <f>'Input | Inflation and Disc Rate'!L$22</f>
        <v>4.7284068405474944E-2</v>
      </c>
      <c r="E25" s="171">
        <f>'Input | Inflation and Disc Rate'!M$22</f>
        <v>4.6002628135530133E-2</v>
      </c>
      <c r="F25" s="171">
        <f>'Input | Inflation and Disc Rate'!N$22</f>
        <v>4.4721187865585099E-2</v>
      </c>
      <c r="G25" s="171">
        <f>'Input | Inflation and Disc Rate'!O$22</f>
        <v>4.3439747595640288E-2</v>
      </c>
      <c r="H25" s="172">
        <f>'Input | Inflation and Disc Rate'!P$22</f>
        <v>4.2158307325695032E-2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68">
        <f>'Input | Reported Capex'!H31</f>
        <v>19.419590351995254</v>
      </c>
      <c r="E26" s="168">
        <f>'Input | Reported Capex'!I31</f>
        <v>14.147496201802548</v>
      </c>
      <c r="F26" s="168">
        <f>'Input | Reported Capex'!J31</f>
        <v>18.063918777041405</v>
      </c>
      <c r="G26" s="168">
        <f>'Input | Reported Capex'!K31</f>
        <v>11.404250964555507</v>
      </c>
      <c r="H26" s="169">
        <f>'Input | Reported Capex'!L31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0.97716465901854321</v>
      </c>
      <c r="E27" s="124">
        <f>1/((1+E25)^(0.5)*(1+D25))</f>
        <v>0.93361778272276674</v>
      </c>
      <c r="F27" s="124">
        <f>1/((1+F25)^(0.5)*(1+E25)*(1+D25))</f>
        <v>0.89310501075495252</v>
      </c>
      <c r="G27" s="124">
        <f>1/((1+G25)^(0.5)*(1+F25)*(1+E25)*(1+D25))</f>
        <v>0.85539879973374677</v>
      </c>
      <c r="H27" s="125">
        <f>1/((1+H25)^(0.5)*(1+G25)*(1+F25)*(1+E25)*(1+D25))</f>
        <v>0.82029129167890191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18.976137384587233</v>
      </c>
      <c r="E28" s="91">
        <f t="shared" ref="E28:G28" si="4">E26*E27</f>
        <v>13.208354035005659</v>
      </c>
      <c r="F28" s="91">
        <f t="shared" si="4"/>
        <v>16.132976373646152</v>
      </c>
      <c r="G28" s="91">
        <f t="shared" si="4"/>
        <v>9.7551825869432047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244.11249307763026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170.87874515434117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73.233747923289073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27.884375149776744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45.349372773512329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3"/>
      <c r="D40" s="185" t="str">
        <f>'Input | General'!D18</f>
        <v>2020-21</v>
      </c>
      <c r="E40" s="185" t="str">
        <f>'Input | General'!E18</f>
        <v>2021–22</v>
      </c>
      <c r="F40" s="185" t="str">
        <f>'Input | General'!F18</f>
        <v>2022–23</v>
      </c>
      <c r="G40" s="185" t="str">
        <f>'Input | General'!G18</f>
        <v>2023–24</v>
      </c>
      <c r="H40" s="185" t="str">
        <f>'Input | General'!H18</f>
        <v>2024–25</v>
      </c>
      <c r="I40" s="94"/>
      <c r="J40" s="94"/>
      <c r="K40" s="94"/>
      <c r="L40" s="94"/>
      <c r="M40" s="94"/>
      <c r="N40" s="94"/>
      <c r="O40" s="94"/>
    </row>
    <row r="41" spans="1:16382" s="30" customFormat="1" ht="11.25" customHeight="1">
      <c r="C41" s="100" t="s">
        <v>98</v>
      </c>
      <c r="D41" s="173">
        <f>1/(1+'Input | Inflation and Disc Rate'!L21)</f>
        <v>0.97656398273695377</v>
      </c>
      <c r="E41" s="173">
        <f>D41/(1+'Input | Inflation and Disc Rate'!M21)</f>
        <v>0.95484554633119456</v>
      </c>
      <c r="F41" s="173">
        <f>E41/(1+'Input | Inflation and Disc Rate'!N21)</f>
        <v>0.93475527324547092</v>
      </c>
      <c r="G41" s="173">
        <f>F41/(1+'Input | Inflation and Disc Rate'!O21)</f>
        <v>0.91621151841953796</v>
      </c>
      <c r="H41" s="174">
        <f>G41/(1+'Input | Inflation and Disc Rate'!P21)</f>
        <v>0.89913986288273695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91" t="str">
        <f>CONCATENATE("CESS Payment Per Year ($", 'Output | Models'!$F$8," million)")</f>
        <v>CESS Payment Per Year ($2019–20 million)</v>
      </c>
      <c r="D42" s="110">
        <f>D36/(SUM(D41:H41))</f>
        <v>9.6868986445509897</v>
      </c>
      <c r="E42" s="110">
        <f>D42</f>
        <v>9.6868986445509897</v>
      </c>
      <c r="F42" s="110">
        <f t="shared" ref="F42:H42" si="5">E42</f>
        <v>9.6868986445509897</v>
      </c>
      <c r="G42" s="110">
        <f t="shared" si="5"/>
        <v>9.6868986445509897</v>
      </c>
      <c r="H42" s="148">
        <f t="shared" si="5"/>
        <v>9.6868986445509897</v>
      </c>
      <c r="I42" s="94"/>
      <c r="J42" s="94"/>
      <c r="K42" s="94"/>
      <c r="L42" s="94"/>
      <c r="M42" s="94"/>
      <c r="N42" s="94"/>
      <c r="O42" s="94"/>
    </row>
    <row r="43" spans="1:16382" s="79" customFormat="1" ht="11.25" customHeight="1"/>
    <row r="44" spans="1:16382" s="30" customFormat="1" ht="11.25" customHeight="1">
      <c r="C44" s="191" t="str">
        <f>CONCATENATE("Total CESS Payment ($", 'Output | Models'!$F$8," million)")</f>
        <v>Total CESS Payment ($2019–20 million)</v>
      </c>
      <c r="D44" s="157">
        <f>SUM(D42:H42)</f>
        <v>48.434493222754952</v>
      </c>
      <c r="E44" s="70"/>
      <c r="F44" s="70"/>
      <c r="G44" s="70"/>
      <c r="H44" s="70"/>
      <c r="I44" s="94"/>
      <c r="J44" s="94"/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0" hidden="1" customHeight="1"/>
    <row r="55" ht="0" hidden="1" customHeight="1"/>
    <row r="56" ht="0" hidden="1" customHeight="1"/>
    <row r="57" ht="0" hidden="1" customHeight="1"/>
    <row r="58" ht="0" hidden="1" customHeight="1"/>
    <row r="59" ht="0" hidden="1" customHeight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workbookViewId="0">
      <selection activeCell="J8" sqref="J8:N8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Ergon Energy 2021-25 Final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59" t="s">
        <v>48</v>
      </c>
      <c r="M1" s="163" t="s">
        <v>36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80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203"/>
      <c r="K3" s="203"/>
      <c r="L3" s="203"/>
      <c r="M3" s="42"/>
      <c r="N3" s="203"/>
      <c r="O3" s="203"/>
      <c r="P3" s="203"/>
      <c r="Q3" s="203"/>
      <c r="R3" s="203"/>
      <c r="S3" s="203"/>
      <c r="T3" s="203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59</v>
      </c>
      <c r="D6" s="55" t="s">
        <v>6</v>
      </c>
      <c r="E6" s="55" t="s">
        <v>52</v>
      </c>
      <c r="F6" s="55" t="s">
        <v>4</v>
      </c>
      <c r="H6" s="55"/>
      <c r="I6" s="55"/>
      <c r="J6" s="186" t="str">
        <f>'Calc | CESS Revenue Increments'!D40</f>
        <v>2020-21</v>
      </c>
      <c r="K6" s="186" t="str">
        <f>'Calc | CESS Revenue Increments'!E40</f>
        <v>2021–22</v>
      </c>
      <c r="L6" s="186" t="str">
        <f>'Calc | CESS Revenue Increments'!F40</f>
        <v>2022–23</v>
      </c>
      <c r="M6" s="186" t="str">
        <f>'Calc | CESS Revenue Increments'!G40</f>
        <v>2023–24</v>
      </c>
      <c r="N6" s="186" t="str">
        <f>'Calc | CESS Revenue Increments'!H40</f>
        <v>2024–25</v>
      </c>
      <c r="O6" s="56" t="s">
        <v>86</v>
      </c>
      <c r="P6" s="135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83</v>
      </c>
      <c r="D8" s="188" t="s">
        <v>58</v>
      </c>
      <c r="E8" s="52" t="s">
        <v>50</v>
      </c>
      <c r="F8" s="187" t="str">
        <f>IF(LEN(J6)&gt;4,CONCATENATE(LEFT(J6,4)-1&amp;"–"&amp;IF(RIGHT(J6,2)="00","99",IF(RIGHT(J6,2)-1&lt;10,"0","")&amp;RIGHT(J6,2)-1)),J6-1)</f>
        <v>2019–20</v>
      </c>
      <c r="H8" s="55"/>
      <c r="I8" s="55"/>
      <c r="J8" s="132">
        <f>'Calc | CESS Revenue Increments'!D42</f>
        <v>9.6868986445509897</v>
      </c>
      <c r="K8" s="132">
        <f>'Calc | CESS Revenue Increments'!E42</f>
        <v>9.6868986445509897</v>
      </c>
      <c r="L8" s="132">
        <f>'Calc | CESS Revenue Increments'!F42</f>
        <v>9.6868986445509897</v>
      </c>
      <c r="M8" s="132">
        <f>'Calc | CESS Revenue Increments'!G42</f>
        <v>9.6868986445509897</v>
      </c>
      <c r="N8" s="132">
        <f>'Calc | CESS Revenue Increments'!H42</f>
        <v>9.6868986445509897</v>
      </c>
      <c r="O8" s="60">
        <f>SUM(J8:N8)</f>
        <v>48.434493222754952</v>
      </c>
      <c r="P8" s="136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3"/>
      <c r="K10" s="133"/>
      <c r="L10" s="133"/>
      <c r="M10" s="133"/>
      <c r="N10" s="133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C9BADB7961D94AA479786BE745AB6B" ma:contentTypeVersion="5" ma:contentTypeDescription="Create a new document." ma:contentTypeScope="" ma:versionID="cd2ee2c1adfa42f862662ca3fdc1150d">
  <xsd:schema xmlns:xsd="http://www.w3.org/2001/XMLSchema" xmlns:xs="http://www.w3.org/2001/XMLSchema" xmlns:p="http://schemas.microsoft.com/office/2006/metadata/properties" xmlns:ns2="65930c9a-4307-4bf5-9068-61a0eebb0c4e" targetNamespace="http://schemas.microsoft.com/office/2006/metadata/properties" ma:root="true" ma:fieldsID="ebcd64067fedc2813dfb0fdf83e74e36" ns2:_="">
    <xsd:import namespace="65930c9a-4307-4bf5-9068-61a0eebb0c4e"/>
    <xsd:element name="properties">
      <xsd:complexType>
        <xsd:sequence>
          <xsd:element name="documentManagement">
            <xsd:complexType>
              <xsd:all>
                <xsd:element ref="ns2:Internal_x0020__x002f__x0020_Public" minOccurs="0"/>
                <xsd:element ref="ns2:Stage" minOccurs="0"/>
                <xsd:element ref="ns2:Document_x0020_Section" minOccurs="0"/>
                <xsd:element ref="ns2:Responsibil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30c9a-4307-4bf5-9068-61a0eebb0c4e" elementFormDefault="qualified">
    <xsd:import namespace="http://schemas.microsoft.com/office/2006/documentManagement/types"/>
    <xsd:import namespace="http://schemas.microsoft.com/office/infopath/2007/PartnerControls"/>
    <xsd:element name="Internal_x0020__x002f__x0020_Public" ma:index="8" nillable="true" ma:displayName="Internal / Public" ma:format="Dropdown" ma:internalName="Internal_x0020__x002f__x0020_Public">
      <xsd:simpleType>
        <xsd:restriction base="dms:Choice">
          <xsd:enumeration value="Internal"/>
          <xsd:enumeration value="Public"/>
        </xsd:restriction>
      </xsd:simpleType>
    </xsd:element>
    <xsd:element name="Stage" ma:index="9" nillable="true" ma:displayName="Document Type" ma:format="Dropdown" ma:internalName="Stage">
      <xsd:simpleType>
        <xsd:restriction base="dms:Choice">
          <xsd:enumeration value="Forecast"/>
          <xsd:enumeration value="Historical"/>
          <xsd:enumeration value="Regulatory documents"/>
          <xsd:enumeration value="Submitted justification documents"/>
          <xsd:enumeration value="Management"/>
          <xsd:enumeration value="Internal Comms"/>
          <xsd:enumeration value="Governance"/>
          <xsd:enumeration value="Decision Support"/>
          <xsd:enumeration value="Customer Communications"/>
          <xsd:enumeration value="AER communications"/>
          <xsd:enumeration value="Government Relations"/>
          <xsd:enumeration value="Preliminary Proposal"/>
        </xsd:restriction>
      </xsd:simpleType>
    </xsd:element>
    <xsd:element name="Document_x0020_Section" ma:index="10" nillable="true" ma:displayName="Audience" ma:format="Dropdown" ma:internalName="Document_x0020_Section">
      <xsd:simpleType>
        <xsd:restriction base="dms:Choice">
          <xsd:enumeration value="Project internal"/>
          <xsd:enumeration value="GM Governance Group"/>
          <xsd:enumeration value="RSSC"/>
          <xsd:enumeration value="DNSP Boards"/>
          <xsd:enumeration value="Board Regulatory Committee"/>
          <xsd:enumeration value="EQL Board"/>
          <xsd:enumeration value="Public"/>
        </xsd:restriction>
      </xsd:simpleType>
    </xsd:element>
    <xsd:element name="Responsibility" ma:index="11" nillable="true" ma:displayName="Responsibility" ma:format="Dropdown" ma:indexed="true" ma:internalName="Responsibility">
      <xsd:simpleType>
        <xsd:restriction base="dms:Choice">
          <xsd:enumeration value="Central"/>
          <xsd:enumeration value="Regulatory"/>
          <xsd:enumeration value="Customer"/>
          <xsd:enumeration value="Investment"/>
          <xsd:enumeration value="Fin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ection xmlns="65930c9a-4307-4bf5-9068-61a0eebb0c4e" xsi:nil="true"/>
    <Internal_x0020__x002f__x0020_Public xmlns="65930c9a-4307-4bf5-9068-61a0eebb0c4e" xsi:nil="true"/>
    <Stage xmlns="65930c9a-4307-4bf5-9068-61a0eebb0c4e" xsi:nil="true"/>
    <Responsibility xmlns="65930c9a-4307-4bf5-9068-61a0eebb0c4e" xsi:nil="true"/>
  </documentManagement>
</p:properties>
</file>

<file path=customXml/itemProps1.xml><?xml version="1.0" encoding="utf-8"?>
<ds:datastoreItem xmlns:ds="http://schemas.openxmlformats.org/officeDocument/2006/customXml" ds:itemID="{80D77742-0A53-4EB0-A989-F2B9C6044F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26D70-69AF-467A-80D6-8E715790A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30c9a-4307-4bf5-9068-61a0eebb0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04DACF-E465-4A48-8AB6-8ED413C528DD}">
  <ds:schemaRefs>
    <ds:schemaRef ds:uri="http://schemas.microsoft.com/office/2006/metadata/properties"/>
    <ds:schemaRef ds:uri="http://schemas.microsoft.com/office/infopath/2007/PartnerControls"/>
    <ds:schemaRef ds:uri="65930c9a-4307-4bf5-9068-61a0eebb0c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 9.003 Capital Expenditure Efficiency Sharing Scheme (CESS) Model DEC19 PUBLIC</dc:title>
  <dc:subject/>
  <dc:creator/>
  <cp:keywords/>
  <dc:description>Ergon Energy 2020 - 2025</dc:description>
  <cp:lastModifiedBy/>
  <dcterms:created xsi:type="dcterms:W3CDTF">2019-11-27T22:11:01Z</dcterms:created>
  <dcterms:modified xsi:type="dcterms:W3CDTF">2020-05-16T00:10:44Z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0x0101001DC9BADB7961D94AA479786BE745AB6B</vt:lpwstr>
  </property>
</Properties>
</file>