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VIC 2021-25\Powercor\FD\Total opex\Published version\"/>
    </mc:Choice>
  </mc:AlternateContent>
  <bookViews>
    <workbookView xWindow="2130" yWindow="1560" windowWidth="8670" windowHeight="4790" tabRatio="807" firstSheet="1" activeTab="1"/>
  </bookViews>
  <sheets>
    <sheet name="Version history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8" i="55" l="1"/>
  <c r="F66" i="55" l="1"/>
  <c r="G66" i="55" l="1"/>
  <c r="F65" i="55"/>
  <c r="G65" i="55" s="1"/>
  <c r="G64" i="55"/>
  <c r="G63" i="55"/>
  <c r="G62" i="55"/>
  <c r="G61" i="55"/>
  <c r="G60" i="55"/>
  <c r="G59" i="55"/>
  <c r="G58" i="55"/>
  <c r="G57" i="55"/>
  <c r="G69" i="55"/>
  <c r="G70" i="55"/>
  <c r="G71" i="55"/>
  <c r="G72" i="55"/>
  <c r="G68" i="55" l="1"/>
  <c r="F67" i="55"/>
  <c r="G67" i="55" s="1"/>
  <c r="F86" i="42" l="1"/>
  <c r="E86" i="42"/>
  <c r="C86" i="42"/>
  <c r="F85" i="42"/>
  <c r="E85" i="42"/>
  <c r="C85" i="42"/>
  <c r="F84" i="42"/>
  <c r="E84" i="42"/>
  <c r="C84" i="42"/>
  <c r="F83" i="42"/>
  <c r="E83" i="42"/>
  <c r="C83" i="42"/>
  <c r="F82" i="42"/>
  <c r="E82" i="42"/>
  <c r="C82" i="42"/>
  <c r="F81" i="42"/>
  <c r="E81" i="42"/>
  <c r="C81" i="42"/>
  <c r="F80" i="42"/>
  <c r="E80" i="42"/>
  <c r="C80" i="42"/>
  <c r="F79" i="42"/>
  <c r="E79" i="42"/>
  <c r="C79" i="42"/>
  <c r="F78" i="42"/>
  <c r="E78" i="42"/>
  <c r="C78" i="42"/>
  <c r="F77" i="42"/>
  <c r="E77" i="42"/>
  <c r="C77" i="42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L16" i="42"/>
  <c r="M16" i="42"/>
  <c r="N16" i="42"/>
  <c r="P16" i="42"/>
  <c r="Q16" i="42"/>
  <c r="R16" i="42"/>
  <c r="S16" i="42"/>
  <c r="T16" i="42"/>
  <c r="J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S38" i="58"/>
  <c r="R38" i="58"/>
  <c r="Q38" i="58"/>
  <c r="P38" i="58"/>
  <c r="O38" i="58"/>
  <c r="O16" i="42" s="1"/>
  <c r="N38" i="58"/>
  <c r="M38" i="58"/>
  <c r="L38" i="58"/>
  <c r="K38" i="58"/>
  <c r="J38" i="58"/>
  <c r="F38" i="58"/>
  <c r="E38" i="58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8" i="53"/>
  <c r="T42" i="53" s="1"/>
  <c r="P38" i="53"/>
  <c r="Q10" i="53"/>
  <c r="R10" i="53"/>
  <c r="S38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Q38" i="53"/>
  <c r="R102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8" i="53"/>
  <c r="Q92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8" i="53"/>
  <c r="S92" i="42"/>
  <c r="S45" i="42"/>
  <c r="S37" i="42"/>
  <c r="S33" i="42"/>
  <c r="S48" i="42"/>
  <c r="S51" i="42"/>
  <c r="S39" i="42"/>
  <c r="S35" i="42"/>
  <c r="S42" i="42"/>
  <c r="S24" i="42"/>
  <c r="O63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2" i="42"/>
  <c r="L10" i="42"/>
  <c r="L30" i="42" s="1"/>
  <c r="Q60" i="42"/>
  <c r="P102" i="42"/>
  <c r="J10" i="42"/>
  <c r="J30" i="42" s="1"/>
  <c r="R64" i="2"/>
  <c r="S95" i="2"/>
  <c r="S28" i="53"/>
  <c r="Q64" i="2"/>
  <c r="R95" i="2"/>
  <c r="P28" i="53"/>
  <c r="T28" i="53"/>
  <c r="T34" i="53" s="1"/>
  <c r="O10" i="42"/>
  <c r="O30" i="42" s="1"/>
  <c r="P60" i="42"/>
  <c r="S102" i="42"/>
  <c r="Q49" i="2"/>
  <c r="Q75" i="2"/>
  <c r="Q95" i="2"/>
  <c r="Q105" i="2"/>
  <c r="Q28" i="53"/>
  <c r="M10" i="42"/>
  <c r="M30" i="42" s="1"/>
  <c r="S60" i="42"/>
  <c r="Q74" i="42"/>
  <c r="T92" i="42"/>
  <c r="S74" i="42"/>
  <c r="R92" i="42"/>
  <c r="Q102" i="42"/>
  <c r="T60" i="42"/>
  <c r="R74" i="42"/>
  <c r="T102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P12" i="2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K83" i="42" l="1"/>
  <c r="K81" i="42"/>
  <c r="Q80" i="42"/>
  <c r="K79" i="42"/>
  <c r="M78" i="42"/>
  <c r="O77" i="42"/>
  <c r="O81" i="42"/>
  <c r="M86" i="42"/>
  <c r="S85" i="42"/>
  <c r="M80" i="42"/>
  <c r="S79" i="42"/>
  <c r="K77" i="42"/>
  <c r="K85" i="42"/>
  <c r="O85" i="42"/>
  <c r="S83" i="42"/>
  <c r="P79" i="42"/>
  <c r="O83" i="42"/>
  <c r="O79" i="42"/>
  <c r="T80" i="42"/>
  <c r="T86" i="42"/>
  <c r="O84" i="42"/>
  <c r="O82" i="42"/>
  <c r="J82" i="42"/>
  <c r="O80" i="42"/>
  <c r="J80" i="42"/>
  <c r="L81" i="42"/>
  <c r="P83" i="42"/>
  <c r="T85" i="42"/>
  <c r="M77" i="42"/>
  <c r="M81" i="42"/>
  <c r="M85" i="42"/>
  <c r="J77" i="42"/>
  <c r="J79" i="42"/>
  <c r="J81" i="42"/>
  <c r="J83" i="42"/>
  <c r="J85" i="42"/>
  <c r="S80" i="42"/>
  <c r="T79" i="42"/>
  <c r="Q83" i="42"/>
  <c r="P80" i="42"/>
  <c r="R79" i="42"/>
  <c r="K84" i="42"/>
  <c r="J84" i="42"/>
  <c r="K82" i="42"/>
  <c r="N78" i="42"/>
  <c r="K80" i="42"/>
  <c r="M82" i="42"/>
  <c r="T83" i="42"/>
  <c r="J86" i="42"/>
  <c r="Q85" i="42"/>
  <c r="N77" i="42"/>
  <c r="N79" i="42"/>
  <c r="N81" i="42"/>
  <c r="N83" i="42"/>
  <c r="N85" i="42"/>
  <c r="L82" i="42"/>
  <c r="L86" i="42"/>
  <c r="N84" i="42"/>
  <c r="K78" i="42"/>
  <c r="L77" i="42"/>
  <c r="L83" i="42"/>
  <c r="R86" i="42"/>
  <c r="O86" i="42"/>
  <c r="P86" i="42"/>
  <c r="R83" i="42"/>
  <c r="R85" i="42"/>
  <c r="M84" i="42"/>
  <c r="O78" i="42"/>
  <c r="J78" i="42"/>
  <c r="R80" i="42"/>
  <c r="Q86" i="42"/>
  <c r="L79" i="42"/>
  <c r="L85" i="42"/>
  <c r="N86" i="42"/>
  <c r="M79" i="42"/>
  <c r="M83" i="42"/>
  <c r="K86" i="42"/>
  <c r="L78" i="42"/>
  <c r="L80" i="42"/>
  <c r="L84" i="42"/>
  <c r="S86" i="42"/>
  <c r="N82" i="42"/>
  <c r="N80" i="42"/>
  <c r="P85" i="42"/>
  <c r="Q79" i="42"/>
  <c r="E22" i="2"/>
  <c r="D22" i="2"/>
  <c r="C31" i="2"/>
  <c r="C32" i="2"/>
  <c r="E32" i="2" s="1"/>
  <c r="C27" i="2"/>
  <c r="C28" i="2"/>
  <c r="C29" i="2"/>
  <c r="C30" i="2"/>
  <c r="U80" i="2"/>
  <c r="D32" i="2" l="1"/>
  <c r="P32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8" i="53"/>
  <c r="L38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8" i="53"/>
  <c r="J10" i="53"/>
  <c r="L10" i="53"/>
  <c r="N28" i="53"/>
  <c r="N10" i="53"/>
  <c r="L28" i="53"/>
  <c r="J38" i="53"/>
  <c r="K38" i="53"/>
  <c r="K28" i="53"/>
  <c r="K10" i="53"/>
  <c r="M38" i="53"/>
  <c r="M28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4" i="42"/>
  <c r="E104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6" i="42"/>
  <c r="F105" i="42"/>
  <c r="F98" i="42"/>
  <c r="F96" i="42"/>
  <c r="F95" i="42"/>
  <c r="F94" i="42"/>
  <c r="F88" i="42"/>
  <c r="F76" i="42"/>
  <c r="S42" i="53"/>
  <c r="Q42" i="53"/>
  <c r="O42" i="53"/>
  <c r="N24" i="53"/>
  <c r="M42" i="53"/>
  <c r="L24" i="53"/>
  <c r="K42" i="53"/>
  <c r="J24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4" i="53"/>
  <c r="M24" i="53"/>
  <c r="K24" i="53"/>
  <c r="J34" i="53"/>
  <c r="L34" i="53"/>
  <c r="N34" i="53"/>
  <c r="P34" i="53"/>
  <c r="R34" i="53"/>
  <c r="J42" i="53"/>
  <c r="L42" i="53"/>
  <c r="N42" i="53"/>
  <c r="P42" i="53"/>
  <c r="R42" i="53"/>
  <c r="K34" i="53"/>
  <c r="M34" i="53"/>
  <c r="O34" i="53"/>
  <c r="Q34" i="53"/>
  <c r="S34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N22" i="2" l="1"/>
  <c r="O32" i="2"/>
  <c r="J70" i="42" a="1"/>
  <c r="J70" i="42" s="1"/>
  <c r="L70" i="42" a="1"/>
  <c r="L70" i="42" s="1"/>
  <c r="K70" i="42" a="1"/>
  <c r="K70" i="42" s="1"/>
  <c r="X42" i="53"/>
  <c r="X34" i="53"/>
  <c r="N21" i="42" l="1"/>
  <c r="M22" i="2"/>
  <c r="N32" i="2"/>
  <c r="P47" i="2"/>
  <c r="R81" i="42" l="1"/>
  <c r="Q81" i="42"/>
  <c r="T81" i="42"/>
  <c r="S81" i="42"/>
  <c r="L22" i="2"/>
  <c r="M32" i="2"/>
  <c r="M21" i="42"/>
  <c r="P81" i="42" l="1"/>
  <c r="L21" i="42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K21" i="42"/>
  <c r="E88" i="42"/>
  <c r="O42" i="42" l="1"/>
  <c r="J21" i="42"/>
  <c r="O48" i="42" l="1"/>
  <c r="E106" i="42"/>
  <c r="O39" i="42" l="1"/>
  <c r="O45" i="42"/>
  <c r="F15" i="42" l="1"/>
  <c r="F56" i="42"/>
  <c r="F54" i="42"/>
  <c r="C94" i="42" l="1"/>
  <c r="C95" i="42"/>
  <c r="C96" i="42"/>
  <c r="F13" i="44"/>
  <c r="E56" i="42"/>
  <c r="F35" i="42"/>
  <c r="E54" i="42"/>
  <c r="F13" i="42"/>
  <c r="E13" i="42"/>
  <c r="E15" i="42"/>
  <c r="E13" i="44"/>
  <c r="E105" i="42"/>
  <c r="E76" i="42"/>
  <c r="E94" i="42"/>
  <c r="E95" i="42"/>
  <c r="E96" i="42"/>
  <c r="E98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5" i="42"/>
  <c r="O95" i="42"/>
  <c r="M95" i="42"/>
  <c r="S94" i="42"/>
  <c r="S14" i="44" s="1"/>
  <c r="N94" i="42"/>
  <c r="L94" i="42"/>
  <c r="J76" i="42"/>
  <c r="R76" i="42"/>
  <c r="K76" i="42"/>
  <c r="J96" i="42"/>
  <c r="T96" i="42"/>
  <c r="T16" i="44" s="1"/>
  <c r="J94" i="42"/>
  <c r="R96" i="42"/>
  <c r="R16" i="44" s="1"/>
  <c r="J95" i="42"/>
  <c r="P95" i="42"/>
  <c r="P15" i="44" s="1"/>
  <c r="R95" i="42"/>
  <c r="R15" i="44" s="1"/>
  <c r="O94" i="42"/>
  <c r="R94" i="42"/>
  <c r="R14" i="44" s="1"/>
  <c r="T94" i="42"/>
  <c r="T14" i="44" s="1"/>
  <c r="Q76" i="42"/>
  <c r="P76" i="42"/>
  <c r="T76" i="42"/>
  <c r="N96" i="42"/>
  <c r="O96" i="42"/>
  <c r="K96" i="42"/>
  <c r="Q95" i="42"/>
  <c r="Q15" i="44" s="1"/>
  <c r="K95" i="42"/>
  <c r="P94" i="42"/>
  <c r="P14" i="44" s="1"/>
  <c r="S76" i="42"/>
  <c r="P96" i="42"/>
  <c r="P16" i="44" s="1"/>
  <c r="T95" i="42"/>
  <c r="T15" i="44" s="1"/>
  <c r="L95" i="42"/>
  <c r="S95" i="42"/>
  <c r="S15" i="44" s="1"/>
  <c r="Q94" i="42"/>
  <c r="Q14" i="44" s="1"/>
  <c r="K94" i="42"/>
  <c r="M94" i="42"/>
  <c r="M76" i="42"/>
  <c r="N76" i="42"/>
  <c r="O76" i="42"/>
  <c r="M96" i="42"/>
  <c r="L96" i="42"/>
  <c r="S96" i="42"/>
  <c r="S16" i="44" s="1"/>
  <c r="L76" i="42"/>
  <c r="Q96" i="42"/>
  <c r="Q16" i="44" s="1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 l="1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T98" i="42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8" i="42" l="1"/>
  <c r="K54" i="42"/>
  <c r="K56" i="42" s="1"/>
  <c r="L88" i="42"/>
  <c r="S54" i="42"/>
  <c r="S56" i="42" s="1"/>
  <c r="J88" i="42"/>
  <c r="P54" i="42"/>
  <c r="P56" i="42" s="1"/>
  <c r="K88" i="42"/>
  <c r="S98" i="42"/>
  <c r="L98" i="42"/>
  <c r="Q54" i="42"/>
  <c r="Q56" i="42" s="1"/>
  <c r="R98" i="42"/>
  <c r="N88" i="42"/>
  <c r="K98" i="42"/>
  <c r="R54" i="42"/>
  <c r="R56" i="42" s="1"/>
  <c r="O88" i="42"/>
  <c r="Q98" i="42"/>
  <c r="N98" i="42"/>
  <c r="M88" i="42"/>
  <c r="J54" i="42"/>
  <c r="O98" i="42"/>
  <c r="P98" i="42"/>
  <c r="M98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O54" i="42" s="1"/>
  <c r="O56" i="42" l="1"/>
  <c r="N54" i="42"/>
  <c r="N56" i="42" s="1"/>
  <c r="T60" i="2" l="1"/>
  <c r="Q60" i="2"/>
  <c r="R60" i="2"/>
  <c r="S60" i="2"/>
  <c r="U60" i="2" l="1"/>
  <c r="W60" i="2"/>
  <c r="S109" i="2"/>
  <c r="R67" i="42"/>
  <c r="R109" i="2"/>
  <c r="Q67" i="42"/>
  <c r="T67" i="42"/>
  <c r="U109" i="2"/>
  <c r="Q109" i="2"/>
  <c r="W109" i="2" s="1"/>
  <c r="P67" i="42"/>
  <c r="T109" i="2"/>
  <c r="S67" i="42"/>
  <c r="U47" i="2" l="1"/>
  <c r="T65" i="42"/>
  <c r="S47" i="2"/>
  <c r="R65" i="42"/>
  <c r="R47" i="2"/>
  <c r="Q65" i="42"/>
  <c r="T47" i="2"/>
  <c r="S65" i="42"/>
  <c r="Q47" i="2"/>
  <c r="P65" i="42"/>
  <c r="W47" i="2" l="1"/>
  <c r="Q77" i="42"/>
  <c r="R77" i="42"/>
  <c r="T77" i="42"/>
  <c r="S77" i="42"/>
  <c r="R78" i="42" l="1"/>
  <c r="S78" i="42"/>
  <c r="T78" i="42"/>
  <c r="Q78" i="42"/>
  <c r="P78" i="42" l="1"/>
  <c r="P77" i="42"/>
  <c r="Q78" i="2" l="1"/>
  <c r="R79" i="2"/>
  <c r="U78" i="2" l="1"/>
  <c r="T78" i="2"/>
  <c r="U79" i="2"/>
  <c r="S79" i="2"/>
  <c r="S78" i="2"/>
  <c r="U73" i="2"/>
  <c r="T77" i="2"/>
  <c r="S73" i="2"/>
  <c r="R78" i="2"/>
  <c r="U77" i="2"/>
  <c r="T73" i="2"/>
  <c r="S77" i="2"/>
  <c r="R73" i="2"/>
  <c r="T79" i="2"/>
  <c r="Q77" i="2"/>
  <c r="P73" i="2"/>
  <c r="W73" i="2" s="1"/>
  <c r="T1" i="2" s="1"/>
  <c r="G13" i="16" s="1"/>
  <c r="R77" i="2"/>
  <c r="Q73" i="2"/>
  <c r="Q79" i="2"/>
  <c r="R100" i="2" l="1"/>
  <c r="R101" i="2"/>
  <c r="R98" i="2"/>
  <c r="R97" i="2"/>
  <c r="R99" i="2"/>
  <c r="T101" i="2"/>
  <c r="T99" i="2"/>
  <c r="T97" i="2"/>
  <c r="S63" i="42" s="1"/>
  <c r="S69" i="42" s="1"/>
  <c r="T98" i="2"/>
  <c r="T100" i="2"/>
  <c r="Q100" i="2"/>
  <c r="Q98" i="2"/>
  <c r="Q101" i="2"/>
  <c r="Q97" i="2"/>
  <c r="Q99" i="2"/>
  <c r="S98" i="2"/>
  <c r="S101" i="2"/>
  <c r="S100" i="2"/>
  <c r="S99" i="2"/>
  <c r="S97" i="2"/>
  <c r="U98" i="2"/>
  <c r="U101" i="2"/>
  <c r="U100" i="2"/>
  <c r="U99" i="2"/>
  <c r="U97" i="2"/>
  <c r="R84" i="42" l="1"/>
  <c r="Q84" i="42"/>
  <c r="T84" i="42"/>
  <c r="S84" i="42"/>
  <c r="R63" i="42"/>
  <c r="R69" i="42" s="1"/>
  <c r="Q63" i="42"/>
  <c r="Q69" i="42" s="1"/>
  <c r="P63" i="42"/>
  <c r="T63" i="42"/>
  <c r="T69" i="42" s="1"/>
  <c r="S24" i="53" l="1"/>
  <c r="S82" i="42"/>
  <c r="S88" i="42" s="1"/>
  <c r="P69" i="42"/>
  <c r="Q82" i="42"/>
  <c r="Q88" i="42" s="1"/>
  <c r="Q24" i="53"/>
  <c r="T82" i="42"/>
  <c r="T88" i="42" s="1"/>
  <c r="T24" i="53"/>
  <c r="R82" i="42"/>
  <c r="R88" i="42" s="1"/>
  <c r="R24" i="53"/>
  <c r="Q70" i="42" l="1" a="1"/>
  <c r="Q70" i="42" s="1"/>
  <c r="R70" i="42" a="1"/>
  <c r="R70" i="42" s="1"/>
  <c r="T70" i="42" a="1"/>
  <c r="T70" i="42" s="1"/>
  <c r="S70" i="42" a="1"/>
  <c r="S70" i="42" s="1"/>
  <c r="P70" i="42" a="1"/>
  <c r="P70" i="42" s="1"/>
  <c r="S104" i="42" l="1"/>
  <c r="S13" i="44" s="1"/>
  <c r="S105" i="42"/>
  <c r="T105" i="42"/>
  <c r="T104" i="42"/>
  <c r="T13" i="44" s="1"/>
  <c r="Q104" i="42"/>
  <c r="Q13" i="44" s="1"/>
  <c r="Q105" i="42"/>
  <c r="R105" i="42"/>
  <c r="R104" i="42"/>
  <c r="R13" i="44" s="1"/>
  <c r="P24" i="53"/>
  <c r="X24" i="53" s="1"/>
  <c r="S1" i="53" s="1"/>
  <c r="G14" i="16" s="1"/>
  <c r="S1" i="16" s="1"/>
  <c r="P82" i="42"/>
  <c r="P84" i="42"/>
  <c r="V1" i="4" l="1"/>
  <c r="W1" i="42"/>
  <c r="W1" i="55"/>
  <c r="V1" i="54"/>
  <c r="W1" i="58"/>
  <c r="W1" i="2"/>
  <c r="W1" i="44"/>
  <c r="W1" i="53"/>
  <c r="T106" i="42"/>
  <c r="Q106" i="42"/>
  <c r="P88" i="42"/>
  <c r="S106" i="42"/>
  <c r="R106" i="42"/>
  <c r="P105" i="42" l="1"/>
  <c r="P104" i="42"/>
  <c r="P13" i="44" s="1"/>
  <c r="P106" i="42" l="1"/>
</calcChain>
</file>

<file path=xl/sharedStrings.xml><?xml version="1.0" encoding="utf-8"?>
<sst xmlns="http://schemas.openxmlformats.org/spreadsheetml/2006/main" count="778" uniqueCount="243">
  <si>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</si>
  <si>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</si>
  <si>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</si>
  <si>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</si>
  <si>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</si>
  <si>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</si>
  <si>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</si>
  <si>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</si>
  <si>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</si>
  <si>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</si>
  <si>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</si>
  <si>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</si>
  <si>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</si>
  <si>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</si>
  <si>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</si>
  <si>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</si>
  <si>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</si>
  <si>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</si>
  <si>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</si>
  <si>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</si>
  <si>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</si>
  <si>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</si>
  <si>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</si>
  <si>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</si>
  <si>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</si>
  <si>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</si>
  <si>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</si>
  <si>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</si>
  <si>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</si>
  <si>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</si>
  <si>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</si>
  <si>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</si>
  <si>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</si>
  <si>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</si>
  <si>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</si>
  <si>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</si>
  <si>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</si>
  <si>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</si>
  <si>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</si>
  <si>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</si>
  <si>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</si>
  <si>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</si>
  <si>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</si>
  <si>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</si>
  <si>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</si>
  <si>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</si>
  <si>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</si>
  <si>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</si>
  <si>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</si>
  <si>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</si>
  <si>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</si>
  <si>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</si>
  <si>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</si>
  <si>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</si>
  <si>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</si>
  <si>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</si>
  <si>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</si>
  <si>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</si>
  <si>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</si>
  <si>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</si>
  <si>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</si>
  <si>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</si>
  <si>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</si>
  <si>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</si>
  <si>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</si>
  <si>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</si>
  <si>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</si>
  <si>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</si>
  <si>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</si>
  <si>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</si>
  <si>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</si>
  <si>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</si>
  <si>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</si>
  <si>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</si>
  <si>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</si>
  <si>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</si>
  <si>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</si>
  <si>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</si>
  <si>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</si>
  <si>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</si>
  <si>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</si>
  <si>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</si>
  <si>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</si>
  <si>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</si>
  <si>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</si>
  <si>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</si>
  <si>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</si>
  <si>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</si>
  <si>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</si>
  <si>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</si>
  <si>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</si>
  <si>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</si>
  <si>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</si>
  <si>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</si>
  <si>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</si>
  <si>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</si>
  <si>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</si>
  <si>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</si>
  <si>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</si>
  <si>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</si>
  <si>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</si>
  <si>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</si>
  <si>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</si>
  <si>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</si>
  <si>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</si>
  <si>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</si>
  <si>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</si>
  <si>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</si>
  <si>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</si>
  <si>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</si>
  <si>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</si>
  <si>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</si>
  <si>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</si>
  <si>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</si>
  <si>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</si>
  <si>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</si>
  <si>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</si>
  <si>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</si>
  <si>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</si>
  <si>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</si>
  <si>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</si>
  <si>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</si>
  <si>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</si>
  <si>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</si>
  <si>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</si>
  <si>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</si>
  <si>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</si>
  <si>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</si>
  <si>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</si>
  <si>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</si>
  <si>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</si>
  <si>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</si>
  <si>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</si>
  <si>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</si>
  <si>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</si>
  <si>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</si>
  <si>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</si>
  <si>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</si>
  <si>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</si>
  <si>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</si>
  <si>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</si>
  <si>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</si>
  <si>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</si>
  <si>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</si>
  <si>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</si>
  <si>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</si>
  <si>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</si>
  <si>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</si>
  <si>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</si>
  <si>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</si>
  <si>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</si>
  <si>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</si>
  <si>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</si>
  <si>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</si>
  <si>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</si>
  <si>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</si>
  <si>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</si>
  <si>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</si>
  <si>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</si>
  <si>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</si>
  <si>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</si>
  <si>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</si>
  <si>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</si>
  <si>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</si>
  <si>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Version</t>
  </si>
  <si>
    <t>Version history</t>
  </si>
  <si>
    <t>AER opex model version history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</si>
  <si>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</si>
  <si>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</si>
  <si>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</si>
  <si>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</si>
  <si>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</si>
  <si>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</si>
  <si>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</si>
  <si>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</si>
  <si>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</si>
  <si>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</si>
  <si>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</si>
  <si>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</si>
  <si>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</si>
  <si>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</si>
  <si>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</si>
  <si>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</si>
  <si>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</si>
  <si>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</si>
  <si>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</si>
  <si>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</si>
  <si>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</si>
  <si>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</si>
  <si>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</si>
  <si>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</si>
  <si>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</si>
  <si>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</si>
  <si>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</si>
  <si>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</si>
  <si>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</si>
  <si>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</si>
  <si>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</si>
  <si>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</si>
  <si>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Minor bug fixes and tidying up</t>
  </si>
  <si>
    <t>Allows applying the rate of change from the base year of final year</t>
  </si>
  <si>
    <t>DMIA expenditure</t>
  </si>
  <si>
    <t>GSL payments</t>
  </si>
  <si>
    <t>Scrapping of assets</t>
  </si>
  <si>
    <t>Previous period year 5.5</t>
  </si>
  <si>
    <t>HY 2021</t>
  </si>
  <si>
    <t>For VIC 2021-26 period. Adjusted to account for 6 month extension of 2016-20 period.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</si>
  <si>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</si>
  <si>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</si>
  <si>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</si>
  <si>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</si>
  <si>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</si>
  <si>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</si>
  <si>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</si>
  <si>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</si>
  <si>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</si>
  <si>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</si>
  <si>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</si>
  <si>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</si>
  <si>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</si>
  <si>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</si>
  <si>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</si>
  <si>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Emergency recoverable works</t>
  </si>
  <si>
    <t>Communications network</t>
  </si>
  <si>
    <t>Wasted truck visits</t>
  </si>
  <si>
    <t>Replacement expenditure on faults and minor repairs</t>
  </si>
  <si>
    <t>Security of critical infrastructure</t>
  </si>
  <si>
    <t>EPA regulations change</t>
  </si>
  <si>
    <t>IT cloud solutions</t>
  </si>
  <si>
    <t>5 minute settlement</t>
  </si>
  <si>
    <t>Financial year RIN</t>
  </si>
  <si>
    <t>ESV levy</t>
  </si>
  <si>
    <t>Solar enablement</t>
  </si>
  <si>
    <t>GSLs</t>
  </si>
  <si>
    <t>Powercor</t>
  </si>
  <si>
    <t>HBRA zone reclassification</t>
  </si>
  <si>
    <t xml:space="preserve">REFCL on-going operating expenditure </t>
  </si>
  <si>
    <t>Replacing EDO fuses with fault tamers</t>
  </si>
  <si>
    <t>Increasing insurance premiums</t>
  </si>
  <si>
    <t>final</t>
  </si>
  <si>
    <t>WPI - BIS Oxford</t>
  </si>
  <si>
    <t>WPI - average</t>
  </si>
  <si>
    <t>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</si>
</sst>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.0_ ;\-#,##0.0\ "/>
    <numFmt numFmtId="207" formatCode="#,##0_);\(#,##0\);\-\-_)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72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9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7" fontId="20" fillId="0" borderId="0" applyFill="0" applyBorder="0">
      <alignment vertical="center"/>
    </xf>
    <xf numFmtId="44" fontId="90" fillId="0" borderId="0" applyFont="0" applyFill="0" applyBorder="0" applyAlignment="0" applyProtection="0"/>
  </cellStyleXfs>
  <cellXfs count="22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206" fontId="5" fillId="0" borderId="0" xfId="0" applyNumberFormat="1" applyFont="1" applyAlignment="1">
      <alignment horizontal="left"/>
    </xf>
    <xf numFmtId="168" fontId="4" fillId="0" borderId="0" xfId="0" quotePrefix="1" applyNumberFormat="1" applyFont="1"/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0" fontId="4" fillId="0" borderId="29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164" fontId="4" fillId="0" borderId="0" xfId="0" applyNumberFormat="1" applyFont="1" applyProtection="1"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72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8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6"/>
    <cellStyle name="Currency 7" xfId="271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0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2" xfId="267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69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5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BE5F1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U34"/>
  <sheetViews>
    <sheetView showGridLines="0" workbookViewId="0"/>
  </sheetViews>
  <sheetFormatPr defaultColWidth="0" defaultRowHeight="11.25" customHeight="1" zeroHeight="1"/>
  <cols>
    <col min="1" max="2" width="1.44140625" style="8" customWidth="1"/>
    <col min="3" max="3" width="11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165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166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 ht="10"/>
    <row r="6" spans="1:47" ht="10.5">
      <c r="C6" s="9" t="s">
        <v>164</v>
      </c>
      <c r="D6" s="9" t="s">
        <v>167</v>
      </c>
    </row>
    <row r="7" spans="1:47" ht="10">
      <c r="C7" s="207">
        <v>1.4</v>
      </c>
      <c r="D7" s="208" t="s">
        <v>168</v>
      </c>
    </row>
    <row r="8" spans="1:47" ht="10">
      <c r="C8" s="19"/>
      <c r="D8" s="8" t="s">
        <v>169</v>
      </c>
    </row>
    <row r="9" spans="1:47" ht="10">
      <c r="C9" s="19"/>
      <c r="D9" s="8" t="s">
        <v>170</v>
      </c>
    </row>
    <row r="10" spans="1:47" ht="10">
      <c r="C10" s="207">
        <v>1.5</v>
      </c>
      <c r="D10" s="8" t="s">
        <v>171</v>
      </c>
    </row>
    <row r="11" spans="1:47" ht="10">
      <c r="C11" s="19"/>
      <c r="D11" s="8" t="s">
        <v>172</v>
      </c>
    </row>
    <row r="12" spans="1:47" ht="10">
      <c r="C12" s="19"/>
      <c r="D12" s="8" t="s">
        <v>173</v>
      </c>
    </row>
    <row r="13" spans="1:47" ht="10">
      <c r="C13" s="207">
        <v>1.6</v>
      </c>
      <c r="D13" s="8" t="s">
        <v>174</v>
      </c>
    </row>
    <row r="14" spans="1:47" ht="10">
      <c r="C14" s="207">
        <v>1.7</v>
      </c>
      <c r="D14" s="8" t="s">
        <v>200</v>
      </c>
    </row>
    <row r="15" spans="1:47" ht="10">
      <c r="C15" s="207">
        <v>1.8</v>
      </c>
      <c r="D15" s="8" t="s">
        <v>199</v>
      </c>
    </row>
    <row r="16" spans="1:47" ht="10">
      <c r="C16" s="207">
        <v>1.9</v>
      </c>
      <c r="D16" s="8" t="s">
        <v>206</v>
      </c>
    </row>
    <row r="17" spans="1:47" ht="10">
      <c r="C17" s="19"/>
      <c r="D17" s="7"/>
    </row>
    <row r="18" spans="1:47" ht="13">
      <c r="C18" s="10"/>
      <c r="D18" s="7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t="10" hidden="1">
      <c r="D20" s="7"/>
      <c r="F20" s="25"/>
    </row>
    <row r="21" spans="1:47" ht="10" hidden="1">
      <c r="D21" s="7"/>
      <c r="F21" s="25"/>
    </row>
    <row r="22" spans="1:47" ht="10" hidden="1">
      <c r="D22" s="7"/>
      <c r="F22" s="25"/>
    </row>
    <row r="23" spans="1:47" ht="10" hidden="1">
      <c r="D23" s="7"/>
      <c r="F23" s="25"/>
    </row>
    <row r="24" spans="1:47" ht="10" hidden="1">
      <c r="D24" s="7"/>
      <c r="F24" s="25"/>
    </row>
    <row r="25" spans="1:47" ht="10" hidden="1">
      <c r="C25" s="7"/>
      <c r="D25" s="7"/>
      <c r="F25" s="25"/>
    </row>
    <row r="26" spans="1:47" ht="10" hidden="1">
      <c r="C26" s="7"/>
      <c r="D26" s="7"/>
      <c r="F26" s="25"/>
    </row>
    <row r="27" spans="1:47" ht="10" hidden="1">
      <c r="C27" s="7"/>
      <c r="D27" s="7"/>
    </row>
    <row r="28" spans="1:47" ht="10" hidden="1">
      <c r="D28" s="7"/>
    </row>
    <row r="29" spans="1:47" ht="10" hidden="1">
      <c r="D29" s="7"/>
    </row>
    <row r="30" spans="1:47" ht="10" hidden="1">
      <c r="D30" s="7"/>
    </row>
    <row r="31" spans="1:47" ht="10" hidden="1">
      <c r="D31" s="7"/>
    </row>
    <row r="32" spans="1:47" ht="10" hidden="1">
      <c r="D32" s="7"/>
    </row>
    <row r="33" spans="3:4" ht="13" hidden="1">
      <c r="C33" s="10"/>
      <c r="D33" s="7"/>
    </row>
    <row r="34" spans="3:4" ht="10" hidden="1"/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221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96</v>
      </c>
    </row>
    <row r="9" spans="1:47">
      <c r="C9" s="19" t="s">
        <v>56</v>
      </c>
      <c r="D9" s="7" t="s">
        <v>57</v>
      </c>
    </row>
    <row r="10" spans="1:47">
      <c r="C10" s="19" t="s">
        <v>211</v>
      </c>
      <c r="D10" s="7" t="s">
        <v>194</v>
      </c>
    </row>
    <row r="11" spans="1:47">
      <c r="C11" s="19" t="s">
        <v>59</v>
      </c>
      <c r="D11" s="7" t="s">
        <v>50</v>
      </c>
    </row>
    <row r="12" spans="1:47">
      <c r="C12" s="19" t="s">
        <v>212</v>
      </c>
      <c r="D12" s="7" t="s">
        <v>195</v>
      </c>
    </row>
    <row r="13" spans="1:47">
      <c r="C13" s="19" t="s">
        <v>213</v>
      </c>
      <c r="D13" s="7" t="s">
        <v>196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J1" sqref="J1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 ht="10.5">
      <c r="C7" s="29" t="s">
        <v>63</v>
      </c>
      <c r="D7" s="30" t="s">
        <v>67</v>
      </c>
      <c r="E7" s="29"/>
      <c r="F7" s="29"/>
      <c r="G7" s="52" t="s">
        <v>234</v>
      </c>
      <c r="H7" s="29"/>
      <c r="I7" s="29"/>
      <c r="S7" s="131" t="str">
        <f>IF(COUNTBLANK($G7),"Check","Ok")</f>
        <v>Ok</v>
      </c>
    </row>
    <row r="8" spans="1:47" ht="10.5">
      <c r="C8" s="29" t="s">
        <v>134</v>
      </c>
      <c r="D8" s="30" t="s">
        <v>68</v>
      </c>
      <c r="E8" s="29"/>
      <c r="F8" s="29"/>
      <c r="G8" s="52" t="s">
        <v>239</v>
      </c>
      <c r="H8" s="29"/>
      <c r="I8" s="29"/>
      <c r="S8" s="131" t="str">
        <f>IF(COUNTBLANK($G8),"Check","Ok")</f>
        <v>Ok</v>
      </c>
    </row>
    <row r="9" spans="1:47" ht="10.5">
      <c r="C9" s="29" t="s">
        <v>207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 ht="10.5">
      <c r="C10" s="29" t="s">
        <v>208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 ht="10.5">
      <c r="C11" s="29" t="s">
        <v>209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 ht="10.5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 ht="10.5">
      <c r="C13" s="29" t="s">
        <v>148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 ht="10.5">
      <c r="C14" s="29" t="s">
        <v>210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 ht="10.5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 ht="10.5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5" priority="13" operator="equal">
      <formula>"Check"</formula>
    </cfRule>
    <cfRule type="cellIs" dxfId="254" priority="14" operator="equal">
      <formula>"Ok"</formula>
    </cfRule>
  </conditionalFormatting>
  <conditionalFormatting sqref="V1">
    <cfRule type="cellIs" dxfId="253" priority="3" operator="equal">
      <formula>"Check"</formula>
    </cfRule>
    <cfRule type="cellIs" dxfId="252" priority="4" operator="equal">
      <formula>"Ok"</formula>
    </cfRule>
  </conditionalFormatting>
  <conditionalFormatting sqref="S7:S16">
    <cfRule type="cellIs" dxfId="251" priority="5" operator="equal">
      <formula>"Check"</formula>
    </cfRule>
    <cfRule type="cellIs" dxfId="250" priority="6" operator="equal">
      <formula>"Ok"</formula>
    </cfRule>
  </conditionalFormatting>
  <conditionalFormatting sqref="S1">
    <cfRule type="cellIs" dxfId="249" priority="1" operator="equal">
      <formula>"Check"</formula>
    </cfRule>
    <cfRule type="cellIs" dxfId="248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zoomScaleNormal="100" workbookViewId="0">
      <selection activeCell="K1" sqref="K1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97</v>
      </c>
      <c r="E6" s="62" t="s">
        <v>132</v>
      </c>
      <c r="F6" s="62" t="s">
        <v>97</v>
      </c>
      <c r="G6" s="62" t="s">
        <v>132</v>
      </c>
      <c r="H6" s="62"/>
      <c r="I6" s="29"/>
      <c r="J6" s="29"/>
    </row>
    <row r="7" spans="1:48" ht="10.5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1" thickBot="1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1" thickBot="1">
      <c r="C66" s="64">
        <v>44377</v>
      </c>
      <c r="D66" s="29"/>
      <c r="E66" s="29"/>
      <c r="F66" s="63">
        <f>F62*(1+3%)</f>
        <v>117.83200000000001</v>
      </c>
      <c r="G66" s="221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 ht="10.5">
      <c r="C67" s="64">
        <v>44469</v>
      </c>
      <c r="D67" s="29"/>
      <c r="E67" s="29"/>
      <c r="F67" s="63">
        <f>AVERAGE(F66,F68)</f>
        <v>118.39500000000001</v>
      </c>
      <c r="G67" s="117">
        <f t="shared" si="1"/>
        <v>1.8889845094664404E-2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 ht="10.5">
      <c r="C68" s="64">
        <v>44561</v>
      </c>
      <c r="D68" s="29"/>
      <c r="E68" s="29"/>
      <c r="F68" s="63">
        <f>F64*(1+1.5%)</f>
        <v>118.958</v>
      </c>
      <c r="G68" s="117">
        <f t="shared" si="1"/>
        <v>1.4999999999999902E-2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 ht="10.5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 ht="10.5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 ht="10.5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 ht="10.5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 ht="10.5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 ht="10.5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 ht="10.5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 ht="10.5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 ht="10.5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 ht="10.5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 ht="10.5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 ht="10.5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 ht="10.5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 ht="10.5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 ht="10.5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 ht="10.5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 ht="10.5">
      <c r="F85" s="29"/>
      <c r="G85" s="29"/>
      <c r="H85" s="29"/>
      <c r="I85" s="29"/>
      <c r="J85" s="29"/>
      <c r="T85" s="132"/>
    </row>
    <row r="86" spans="1:48" s="103" customFormat="1" ht="13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t="10" hidden="1">
      <c r="H87" s="32"/>
      <c r="I87" s="32"/>
    </row>
    <row r="88" spans="1:48" ht="10" hidden="1">
      <c r="H88" s="32"/>
      <c r="I88" s="32"/>
    </row>
    <row r="89" spans="1:48" s="30" customFormat="1" ht="10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t="10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t="10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t="10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t="10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7" priority="11" operator="equal">
      <formula>"Check"</formula>
    </cfRule>
    <cfRule type="cellIs" dxfId="246" priority="12" operator="equal">
      <formula>"Ok"</formula>
    </cfRule>
  </conditionalFormatting>
  <conditionalFormatting sqref="W1">
    <cfRule type="cellIs" dxfId="245" priority="7" operator="equal">
      <formula>"Check"</formula>
    </cfRule>
    <cfRule type="cellIs" dxfId="244" priority="8" operator="equal">
      <formula>"Ok"</formula>
    </cfRule>
  </conditionalFormatting>
  <conditionalFormatting sqref="T1">
    <cfRule type="cellIs" dxfId="243" priority="5" operator="equal">
      <formula>"Check"</formula>
    </cfRule>
    <cfRule type="cellIs" dxfId="242" priority="6" operator="equal">
      <formula>"Ok"</formula>
    </cfRule>
  </conditionalFormatting>
  <conditionalFormatting sqref="X51:X57">
    <cfRule type="cellIs" dxfId="241" priority="3" operator="equal">
      <formula>"Check"</formula>
    </cfRule>
    <cfRule type="cellIs" dxfId="240" priority="4" operator="equal">
      <formula>"Ok"</formula>
    </cfRule>
  </conditionalFormatting>
  <conditionalFormatting sqref="X58:X62 T9:T84">
    <cfRule type="cellIs" dxfId="239" priority="1" operator="equal">
      <formula>"Check"</formula>
    </cfRule>
    <cfRule type="cellIs" dxfId="238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zoomScaleNormal="100" workbookViewId="0">
      <selection activeCell="J1" sqref="J1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4" width="10.77734375" style="103" customWidth="1"/>
    <col min="25" max="16384" width="9.33203125" style="103" hidden="1"/>
  </cols>
  <sheetData>
    <row r="1" spans="1:24" ht="15.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0.5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118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">
      <c r="A8" s="94"/>
      <c r="B8" s="95" t="s">
        <v>217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0.5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227.20857397562551</v>
      </c>
      <c r="K13" s="161">
        <v>233.16231007995322</v>
      </c>
      <c r="L13" s="161">
        <v>243.09902232346829</v>
      </c>
      <c r="M13" s="161">
        <v>245.72964969332111</v>
      </c>
      <c r="N13" s="161">
        <v>251.19971114109896</v>
      </c>
      <c r="O13" s="150"/>
      <c r="P13" s="150"/>
      <c r="Q13" s="150"/>
      <c r="R13" s="150"/>
      <c r="S13" s="150"/>
      <c r="T13" s="150"/>
      <c r="U13" s="29" t="s">
        <v>175</v>
      </c>
      <c r="V13" s="29"/>
      <c r="W13" s="29"/>
      <c r="X13" s="29"/>
    </row>
    <row r="14" spans="1:24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0.5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227.20857397562551</v>
      </c>
      <c r="K15" s="129">
        <f t="shared" ref="K15:T15" si="1">K13</f>
        <v>233.16231007995322</v>
      </c>
      <c r="L15" s="129">
        <f t="shared" si="1"/>
        <v>243.09902232346829</v>
      </c>
      <c r="M15" s="129">
        <f t="shared" si="1"/>
        <v>245.72964969332111</v>
      </c>
      <c r="N15" s="129">
        <f t="shared" si="1"/>
        <v>251.19971114109896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0.5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1.6620102906657084</v>
      </c>
      <c r="K19" s="161">
        <v>1.7490670445742109</v>
      </c>
      <c r="L19" s="161">
        <v>1.8565094484111484</v>
      </c>
      <c r="M19" s="161">
        <v>1.9712092113177384</v>
      </c>
      <c r="N19" s="161">
        <v>2.0619088757803503</v>
      </c>
      <c r="O19" s="150"/>
      <c r="P19" s="150"/>
      <c r="Q19" s="150"/>
      <c r="R19" s="150"/>
      <c r="S19" s="150"/>
      <c r="T19" s="150"/>
      <c r="U19" s="29" t="s">
        <v>185</v>
      </c>
      <c r="V19" s="29"/>
      <c r="W19" s="29"/>
      <c r="X19" s="29"/>
    </row>
    <row r="20" spans="1:24">
      <c r="A20" s="29"/>
      <c r="B20" s="29"/>
      <c r="C20" s="61" t="s">
        <v>202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3.0996437859920776</v>
      </c>
      <c r="K20" s="161">
        <v>3.0996437859920776</v>
      </c>
      <c r="L20" s="161">
        <v>3.0996437859920776</v>
      </c>
      <c r="M20" s="161">
        <v>3.0996437859920776</v>
      </c>
      <c r="N20" s="161">
        <v>3.0996437859920776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 ht="10.5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4.761654076657786</v>
      </c>
      <c r="K29" s="129">
        <f t="shared" ref="K29:S29" si="4">SUM(K19:K27)</f>
        <v>4.8487108305662883</v>
      </c>
      <c r="L29" s="129">
        <f t="shared" si="4"/>
        <v>4.9561532344032262</v>
      </c>
      <c r="M29" s="129">
        <f t="shared" si="4"/>
        <v>5.0708529973098155</v>
      </c>
      <c r="N29" s="129">
        <f t="shared" si="4"/>
        <v>5.1615526617724274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">
      <c r="A31" s="94"/>
      <c r="B31" s="95" t="s">
        <v>218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0.5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 ht="10.5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0.5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138.73097438447596</v>
      </c>
      <c r="P36" s="161"/>
      <c r="Q36" s="161"/>
      <c r="R36" s="161"/>
      <c r="S36" s="161"/>
      <c r="T36" s="161"/>
      <c r="U36" s="29" t="s">
        <v>175</v>
      </c>
      <c r="V36" s="29"/>
      <c r="W36" s="29"/>
      <c r="X36" s="29"/>
    </row>
    <row r="37" spans="1:24" ht="10.5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0.5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138.73097438447596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 ht="10.5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0.5">
      <c r="A40" s="29"/>
      <c r="B40" s="29"/>
      <c r="C40" s="67" t="s">
        <v>157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0.5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1.0857735077898052</v>
      </c>
      <c r="P42" s="150"/>
      <c r="Q42" s="150"/>
      <c r="R42" s="150"/>
      <c r="S42" s="150"/>
      <c r="T42" s="150"/>
      <c r="U42" s="29" t="s">
        <v>185</v>
      </c>
      <c r="V42" s="29"/>
      <c r="W42" s="29"/>
      <c r="X42" s="29"/>
    </row>
    <row r="43" spans="1:24">
      <c r="A43" s="29"/>
      <c r="B43" s="29"/>
      <c r="C43" s="61" t="s">
        <v>202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1.6821071980232147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 ht="10.5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 ht="10.5">
      <c r="A52" s="29"/>
      <c r="B52" s="29"/>
      <c r="C52" s="139" t="s">
        <v>155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2.7678807058130199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3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 ht="10.5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5" t="str">
        <f>$E$79</f>
        <v>$millions</v>
      </c>
      <c r="F60" s="216" t="s">
        <v>100</v>
      </c>
      <c r="G60" s="32"/>
      <c r="H60" s="32"/>
      <c r="I60" s="30"/>
      <c r="J60" s="161">
        <v>197.13364757204533</v>
      </c>
      <c r="K60" s="161">
        <v>214.07976014771</v>
      </c>
      <c r="L60" s="161">
        <v>223.88679698387105</v>
      </c>
      <c r="M60" s="161">
        <v>225.69319940000003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 t="s">
        <v>176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 ht="10.5">
      <c r="A62" s="29"/>
      <c r="B62" s="29"/>
      <c r="C62" s="67" t="s">
        <v>190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 ht="10.5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186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-7.9954070000000002</v>
      </c>
      <c r="K64" s="161">
        <v>1.7305429999999999</v>
      </c>
      <c r="L64" s="161">
        <v>5.2668002325138916</v>
      </c>
      <c r="M64" s="161">
        <v>-9.8760068599999986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 t="s">
        <v>189</v>
      </c>
      <c r="V64" s="29"/>
      <c r="W64" s="29"/>
      <c r="X64" s="29"/>
    </row>
    <row r="65" spans="1:24">
      <c r="A65" s="29"/>
      <c r="B65" s="29"/>
      <c r="C65" s="61" t="s">
        <v>201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</v>
      </c>
      <c r="K65" s="161">
        <v>5.6903000000000002E-2</v>
      </c>
      <c r="L65" s="161">
        <v>0</v>
      </c>
      <c r="M65" s="161">
        <v>0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203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10.5">
      <c r="A70" s="29"/>
      <c r="B70" s="29"/>
      <c r="C70" s="139" t="s">
        <v>187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205.12905457204533</v>
      </c>
      <c r="K70" s="129">
        <f t="shared" ref="K70:S70" si="12">K60-SUM(K64:K68)</f>
        <v>212.29231414771002</v>
      </c>
      <c r="L70" s="129">
        <f t="shared" si="12"/>
        <v>218.61999675135715</v>
      </c>
      <c r="M70" s="129">
        <f t="shared" si="12"/>
        <v>235.56920626000002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10.5">
      <c r="A72" s="29"/>
      <c r="B72" s="29"/>
      <c r="C72" s="67" t="s">
        <v>111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 t="s">
        <v>185</v>
      </c>
      <c r="V74" s="29"/>
      <c r="W74" s="29"/>
      <c r="X74" s="29"/>
    </row>
    <row r="75" spans="1:24">
      <c r="A75" s="29"/>
      <c r="B75" s="29"/>
      <c r="C75" s="61" t="s">
        <v>202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3.2959469800000001</v>
      </c>
      <c r="K75" s="161">
        <v>3.0511071699999999</v>
      </c>
      <c r="L75" s="161">
        <v>2.2502399999999998</v>
      </c>
      <c r="M75" s="161">
        <v>1.412155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ht="10.5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100</v>
      </c>
      <c r="G79" s="32"/>
      <c r="H79" s="32"/>
      <c r="I79" s="30"/>
      <c r="J79" s="184">
        <f>SUM(J74:J77)</f>
        <v>3.2959469800000001</v>
      </c>
      <c r="K79" s="184">
        <f t="shared" ref="K79:S79" si="14">SUM(K74:K77)</f>
        <v>3.0511071699999999</v>
      </c>
      <c r="L79" s="184">
        <f t="shared" si="14"/>
        <v>2.2502399999999998</v>
      </c>
      <c r="M79" s="184">
        <f t="shared" si="14"/>
        <v>1.412155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3">
      <c r="A81" s="94"/>
      <c r="B81" s="95" t="s">
        <v>112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10.5">
      <c r="A83" s="29"/>
      <c r="B83" s="29"/>
      <c r="C83" s="67" t="s">
        <v>113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 ht="10.5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222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0.24592608489294873</v>
      </c>
      <c r="P85" s="161"/>
      <c r="Q85" s="161"/>
      <c r="R85" s="161"/>
      <c r="S85" s="161"/>
      <c r="T85" s="161"/>
      <c r="U85" s="29" t="s">
        <v>198</v>
      </c>
      <c r="V85" s="142"/>
      <c r="W85" s="142"/>
      <c r="X85" s="29"/>
    </row>
    <row r="86" spans="1:24" ht="10.5">
      <c r="A86" s="29"/>
      <c r="B86" s="29"/>
      <c r="C86" s="61" t="s">
        <v>223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0.35202456046019787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 ht="10.5">
      <c r="A87" s="29"/>
      <c r="B87" s="29"/>
      <c r="C87" s="61" t="s">
        <v>224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>
        <v>1.1900450340531952</v>
      </c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 ht="10.5">
      <c r="A88" s="29"/>
      <c r="B88" s="29"/>
      <c r="C88" s="61" t="s">
        <v>225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2.7035313475228118</v>
      </c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 ht="10.5">
      <c r="A89" s="29"/>
      <c r="B89" s="29"/>
      <c r="C89" s="61" t="s">
        <v>231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>
        <v>-2.787980097947754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 ht="10.5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 ht="10.5">
      <c r="A91" s="29"/>
      <c r="B91" s="29"/>
      <c r="C91" s="61" t="s">
        <v>188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 ht="10.5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 ht="10.5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3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7" priority="55" operator="equal">
      <formula>"Check"</formula>
    </cfRule>
    <cfRule type="cellIs" dxfId="236" priority="56" operator="equal">
      <formula>"Ok"</formula>
    </cfRule>
  </conditionalFormatting>
  <conditionalFormatting sqref="X79">
    <cfRule type="cellIs" dxfId="235" priority="53" operator="equal">
      <formula>"Check"</formula>
    </cfRule>
    <cfRule type="cellIs" dxfId="234" priority="54" operator="equal">
      <formula>"Ok"</formula>
    </cfRule>
  </conditionalFormatting>
  <conditionalFormatting sqref="X15">
    <cfRule type="cellIs" dxfId="233" priority="51" operator="equal">
      <formula>"Check"</formula>
    </cfRule>
    <cfRule type="cellIs" dxfId="232" priority="52" operator="equal">
      <formula>"Ok"</formula>
    </cfRule>
  </conditionalFormatting>
  <conditionalFormatting sqref="W1">
    <cfRule type="cellIs" dxfId="231" priority="49" operator="equal">
      <formula>"Check"</formula>
    </cfRule>
    <cfRule type="cellIs" dxfId="230" priority="50" operator="equal">
      <formula>"Ok"</formula>
    </cfRule>
  </conditionalFormatting>
  <conditionalFormatting sqref="S1:T1">
    <cfRule type="cellIs" dxfId="229" priority="47" operator="equal">
      <formula>"Check"</formula>
    </cfRule>
    <cfRule type="cellIs" dxfId="228" priority="48" operator="equal">
      <formula>"Ok"</formula>
    </cfRule>
  </conditionalFormatting>
  <conditionalFormatting sqref="J15:T15">
    <cfRule type="cellIs" dxfId="227" priority="46" operator="equal">
      <formula>0</formula>
    </cfRule>
  </conditionalFormatting>
  <conditionalFormatting sqref="J79:S79">
    <cfRule type="cellIs" dxfId="226" priority="45" operator="equal">
      <formula>0</formula>
    </cfRule>
  </conditionalFormatting>
  <conditionalFormatting sqref="X71:X73">
    <cfRule type="cellIs" dxfId="225" priority="43" operator="equal">
      <formula>"Check"</formula>
    </cfRule>
    <cfRule type="cellIs" dxfId="224" priority="44" operator="equal">
      <formula>"Ok"</formula>
    </cfRule>
  </conditionalFormatting>
  <conditionalFormatting sqref="J56:T56 N60:T60 J64:T68 J74:S77">
    <cfRule type="expression" dxfId="223" priority="41">
      <formula>J$57=J$4</formula>
    </cfRule>
  </conditionalFormatting>
  <conditionalFormatting sqref="P13:T13 J21:T27 O19:T20">
    <cfRule type="expression" dxfId="222" priority="40">
      <formula>J$10=J$4</formula>
    </cfRule>
  </conditionalFormatting>
  <conditionalFormatting sqref="J60:O60">
    <cfRule type="expression" dxfId="221" priority="37">
      <formula>J$10=J$4</formula>
    </cfRule>
  </conditionalFormatting>
  <conditionalFormatting sqref="X70">
    <cfRule type="cellIs" dxfId="220" priority="35" operator="equal">
      <formula>"Check"</formula>
    </cfRule>
    <cfRule type="cellIs" dxfId="219" priority="36" operator="equal">
      <formula>"Ok"</formula>
    </cfRule>
  </conditionalFormatting>
  <conditionalFormatting sqref="J70:S70">
    <cfRule type="cellIs" dxfId="218" priority="33" operator="equal">
      <formula>0</formula>
    </cfRule>
  </conditionalFormatting>
  <conditionalFormatting sqref="J89:T89 J91:T91 J93:T93 J85:N88 P85:T88">
    <cfRule type="expression" dxfId="217" priority="32">
      <formula>J$83=J$4</formula>
    </cfRule>
  </conditionalFormatting>
  <conditionalFormatting sqref="X29">
    <cfRule type="cellIs" dxfId="216" priority="28" operator="equal">
      <formula>"Check"</formula>
    </cfRule>
    <cfRule type="cellIs" dxfId="215" priority="29" operator="equal">
      <formula>"Ok"</formula>
    </cfRule>
  </conditionalFormatting>
  <conditionalFormatting sqref="J29:T29">
    <cfRule type="cellIs" dxfId="214" priority="27" operator="equal">
      <formula>0</formula>
    </cfRule>
  </conditionalFormatting>
  <conditionalFormatting sqref="N13">
    <cfRule type="expression" dxfId="213" priority="24">
      <formula>N$57=N$4</formula>
    </cfRule>
  </conditionalFormatting>
  <conditionalFormatting sqref="J13:N13">
    <cfRule type="expression" dxfId="212" priority="23">
      <formula>J$10=J$4</formula>
    </cfRule>
  </conditionalFormatting>
  <conditionalFormatting sqref="O60">
    <cfRule type="expression" dxfId="211" priority="21">
      <formula>O$10=O$4</formula>
    </cfRule>
  </conditionalFormatting>
  <conditionalFormatting sqref="T79">
    <cfRule type="cellIs" dxfId="210" priority="20" operator="equal">
      <formula>0</formula>
    </cfRule>
  </conditionalFormatting>
  <conditionalFormatting sqref="T74:T77">
    <cfRule type="expression" dxfId="209" priority="19">
      <formula>T$57=T$4</formula>
    </cfRule>
  </conditionalFormatting>
  <conditionalFormatting sqref="T70">
    <cfRule type="cellIs" dxfId="208" priority="18" operator="equal">
      <formula>0</formula>
    </cfRule>
  </conditionalFormatting>
  <conditionalFormatting sqref="O12:O13">
    <cfRule type="expression" dxfId="207" priority="16">
      <formula>O$10=O$4</formula>
    </cfRule>
  </conditionalFormatting>
  <conditionalFormatting sqref="X38">
    <cfRule type="cellIs" dxfId="206" priority="14" operator="equal">
      <formula>"Check"</formula>
    </cfRule>
    <cfRule type="cellIs" dxfId="205" priority="15" operator="equal">
      <formula>"Ok"</formula>
    </cfRule>
  </conditionalFormatting>
  <conditionalFormatting sqref="J38:T38">
    <cfRule type="cellIs" dxfId="204" priority="13" operator="equal">
      <formula>0</formula>
    </cfRule>
  </conditionalFormatting>
  <conditionalFormatting sqref="J42:N50 P42:T50">
    <cfRule type="expression" dxfId="203" priority="12">
      <formula>J$33=J$4</formula>
    </cfRule>
  </conditionalFormatting>
  <conditionalFormatting sqref="X52">
    <cfRule type="cellIs" dxfId="202" priority="10" operator="equal">
      <formula>"Check"</formula>
    </cfRule>
    <cfRule type="cellIs" dxfId="201" priority="11" operator="equal">
      <formula>"Ok"</formula>
    </cfRule>
  </conditionalFormatting>
  <conditionalFormatting sqref="J52:T52">
    <cfRule type="cellIs" dxfId="200" priority="9" operator="equal">
      <formula>0</formula>
    </cfRule>
  </conditionalFormatting>
  <conditionalFormatting sqref="J36">
    <cfRule type="expression" dxfId="199" priority="7">
      <formula>J$33=J$4</formula>
    </cfRule>
  </conditionalFormatting>
  <conditionalFormatting sqref="O35">
    <cfRule type="expression" dxfId="198" priority="6">
      <formula>O$10=O$4</formula>
    </cfRule>
  </conditionalFormatting>
  <conditionalFormatting sqref="K36:T36">
    <cfRule type="expression" dxfId="197" priority="4">
      <formula>K$33=K$4</formula>
    </cfRule>
  </conditionalFormatting>
  <conditionalFormatting sqref="O42:O50">
    <cfRule type="expression" dxfId="196" priority="3">
      <formula>O$33=O$4</formula>
    </cfRule>
  </conditionalFormatting>
  <conditionalFormatting sqref="J19:N20">
    <cfRule type="expression" dxfId="195" priority="2">
      <formula>J$10=J$4</formula>
    </cfRule>
  </conditionalFormatting>
  <conditionalFormatting sqref="O85:O88">
    <cfRule type="expression" dxfId="194" priority="1">
      <formula>O$83=O$4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workbookViewId="0">
      <selection activeCell="K1" sqref="K1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0"/>
      <c r="E3" s="180"/>
      <c r="F3" s="180"/>
      <c r="G3" s="180"/>
      <c r="H3" s="180"/>
      <c r="I3" s="180"/>
      <c r="J3" s="155" t="s">
        <v>118</v>
      </c>
      <c r="K3" s="224"/>
      <c r="L3" s="224"/>
      <c r="M3" s="224"/>
      <c r="N3" s="180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20">
        <f>DATE(PPFirstYear,MONTH('Input|General'!$G$9),1)</f>
        <v>42705</v>
      </c>
      <c r="L4" s="220">
        <f>DATE(PPFirstYear+1,MONTH('Input|General'!$G$9),1)</f>
        <v>43070</v>
      </c>
      <c r="M4" s="220">
        <f>DATE(PPFirstYear+2,MONTH('Input|General'!$G$9),1)</f>
        <v>43435</v>
      </c>
      <c r="N4" s="220">
        <f>DATE(PPFirstYear+3,MONTH('Input|General'!$G$9),1)</f>
        <v>43800</v>
      </c>
      <c r="O4" s="220">
        <f>DATE(PPFirstYear+4,MONTH('Input|General'!$G$9),1)</f>
        <v>44166</v>
      </c>
      <c r="P4" s="220">
        <f>DATE(PPFirstYear+5,MONTH('Input|General'!$G$10),1)</f>
        <v>44348</v>
      </c>
      <c r="Q4" s="220">
        <f>DATE(PPFirstYear+6,MONTH('Input|General'!$G$10),1)</f>
        <v>44713</v>
      </c>
      <c r="R4" s="220">
        <f>DATE(PPFirstYear+7,MONTH('Input|General'!$G$10),1)</f>
        <v>45078</v>
      </c>
      <c r="S4" s="220">
        <f>DATE(PPFirstYear+8,MONTH('Input|General'!$G$10),1)</f>
        <v>45444</v>
      </c>
      <c r="T4" s="220">
        <f>DATE(PPFirstYear+9,MONTH('Input|General'!$G$10),1)</f>
        <v>45809</v>
      </c>
      <c r="U4" s="220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 t="shared" si="32"/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 t="shared" si="32"/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3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240</v>
      </c>
      <c r="D38" s="30" t="s">
        <v>101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9.8370311036397595E-3</v>
      </c>
      <c r="R38" s="165">
        <v>1.2419523308236181E-2</v>
      </c>
      <c r="S38" s="165">
        <v>1.3751461961990695E-2</v>
      </c>
      <c r="T38" s="165">
        <v>1.6196532715190247E-2</v>
      </c>
      <c r="U38" s="165">
        <v>1.6184913955027823E-2</v>
      </c>
    </row>
    <row r="39" spans="1:50" ht="11.25" customHeight="1" outlineLevel="1">
      <c r="C39" s="61" t="s">
        <v>117</v>
      </c>
      <c r="D39" s="30" t="s">
        <v>101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6.4497697426096857E-3</v>
      </c>
      <c r="R39" s="165">
        <v>8.3420163328395535E-4</v>
      </c>
      <c r="S39" s="165">
        <v>-1.568922575407865E-3</v>
      </c>
      <c r="T39" s="165">
        <v>-1.5410768712433897E-3</v>
      </c>
      <c r="U39" s="165">
        <v>2.8340225190333036E-3</v>
      </c>
    </row>
    <row r="40" spans="1:50" ht="11.25" customHeight="1" outlineLevel="1">
      <c r="C40" s="61" t="s">
        <v>241</v>
      </c>
      <c r="D40" s="30" t="s">
        <v>101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v>8.1434004231247231E-3</v>
      </c>
      <c r="R40" s="165">
        <v>6.6268624707600688E-3</v>
      </c>
      <c r="S40" s="165">
        <v>6.0912696932914154E-3</v>
      </c>
      <c r="T40" s="165">
        <v>7.3277279219734291E-3</v>
      </c>
      <c r="U40" s="165">
        <v>9.5094682370305637E-3</v>
      </c>
    </row>
    <row r="41" spans="1:50" ht="11.25" customHeight="1" outlineLevel="1">
      <c r="C41" s="61" t="s">
        <v>80</v>
      </c>
      <c r="D41" s="30" t="s">
        <v>101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165">
        <v>0</v>
      </c>
      <c r="R41" s="165">
        <v>0</v>
      </c>
      <c r="S41" s="165">
        <v>0</v>
      </c>
      <c r="T41" s="165">
        <v>0</v>
      </c>
      <c r="U41" s="165">
        <v>0</v>
      </c>
    </row>
    <row r="42" spans="1:50" ht="11.25" customHeight="1" outlineLevel="1">
      <c r="C42" s="61"/>
      <c r="D42" s="30" t="s">
        <v>101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9"/>
      <c r="U42" s="60"/>
    </row>
    <row r="43" spans="1:50" ht="11.25" customHeight="1" outlineLevel="1">
      <c r="C43" s="61"/>
      <c r="D43" s="30" t="s">
        <v>101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9"/>
      <c r="U43" s="60"/>
    </row>
    <row r="44" spans="1:50" ht="11.25" customHeight="1" outlineLevel="1">
      <c r="C44" s="61"/>
      <c r="D44" s="30" t="s">
        <v>101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9"/>
      <c r="U44" s="60"/>
    </row>
    <row r="45" spans="1:50" ht="11.25" customHeight="1" outlineLevel="1">
      <c r="C45" s="61"/>
      <c r="D45" s="30" t="s">
        <v>101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/>
      <c r="R45" s="60"/>
      <c r="S45" s="60"/>
      <c r="T45" s="209"/>
      <c r="U45" s="60"/>
    </row>
    <row r="46" spans="1:50" ht="11.25" customHeight="1" outlineLevel="1"/>
    <row r="47" spans="1:50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BIS Oxford</v>
      </c>
      <c r="D51" s="30" t="s">
        <v>101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37"/>
        <v>WPI - DAE</v>
      </c>
      <c r="D52" s="30" t="s">
        <v>101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0" ht="11.25" customHeight="1" outlineLevel="1">
      <c r="C53" s="146" t="str">
        <f t="shared" si="37"/>
        <v>WPI - average</v>
      </c>
      <c r="D53" s="30" t="s">
        <v>101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>
        <v>0.59199999999999997</v>
      </c>
      <c r="R53" s="60">
        <v>0.59199999999999997</v>
      </c>
      <c r="S53" s="60">
        <v>0.59199999999999997</v>
      </c>
      <c r="T53" s="60">
        <v>0.59199999999999997</v>
      </c>
      <c r="U53" s="60">
        <v>0.59199999999999997</v>
      </c>
    </row>
    <row r="54" spans="1:50" ht="11.25" customHeight="1" outlineLevel="1">
      <c r="C54" s="146" t="str">
        <f t="shared" si="37"/>
        <v>CPI</v>
      </c>
      <c r="D54" s="30" t="s">
        <v>101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>
        <v>0.40800000000000003</v>
      </c>
      <c r="R54" s="60">
        <v>0.40800000000000003</v>
      </c>
      <c r="S54" s="60">
        <v>0.40800000000000003</v>
      </c>
      <c r="T54" s="60">
        <v>0.40800000000000003</v>
      </c>
      <c r="U54" s="60">
        <v>0.40800000000000003</v>
      </c>
    </row>
    <row r="55" spans="1:50" ht="11.25" customHeight="1" outlineLevel="1">
      <c r="C55" s="146">
        <f t="shared" si="37"/>
        <v>0</v>
      </c>
      <c r="D55" s="30" t="s">
        <v>101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101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101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>
        <f t="shared" si="37"/>
        <v>0</v>
      </c>
      <c r="D58" s="30" t="s">
        <v>101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/>
      <c r="R58" s="60"/>
      <c r="S58" s="60"/>
      <c r="T58" s="60"/>
      <c r="U58" s="60"/>
    </row>
    <row r="59" spans="1:50" ht="11.25" customHeight="1" outlineLevel="1"/>
    <row r="60" spans="1:50" ht="10.5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3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ht="10.5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ht="10.5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177</v>
      </c>
      <c r="D66" s="30" t="s">
        <v>101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880121.6032931275</v>
      </c>
      <c r="Q66" s="194">
        <v>888396.4607707836</v>
      </c>
      <c r="R66" s="194">
        <v>903125.34191961354</v>
      </c>
      <c r="S66" s="194">
        <v>922089.92647309322</v>
      </c>
      <c r="T66" s="194">
        <v>940970.4853925365</v>
      </c>
      <c r="U66" s="194">
        <v>959726.23127424764</v>
      </c>
    </row>
    <row r="67" spans="3:23" outlineLevel="1">
      <c r="C67" s="61" t="s">
        <v>178</v>
      </c>
      <c r="D67" s="30" t="s">
        <v>101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76525.406826970167</v>
      </c>
      <c r="Q67" s="194">
        <v>76850.785588484214</v>
      </c>
      <c r="R67" s="194">
        <v>77312.313295204527</v>
      </c>
      <c r="S67" s="194">
        <v>77803.185152502541</v>
      </c>
      <c r="T67" s="194">
        <v>78325.154892489067</v>
      </c>
      <c r="U67" s="194">
        <v>78880.081102392229</v>
      </c>
    </row>
    <row r="68" spans="3:23" outlineLevel="1">
      <c r="C68" s="61" t="s">
        <v>179</v>
      </c>
      <c r="D68" s="30" t="s">
        <v>101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2574.01467</v>
      </c>
      <c r="Q68" s="194">
        <v>2574.01467</v>
      </c>
      <c r="R68" s="194">
        <v>2579.5769587330001</v>
      </c>
      <c r="S68" s="194">
        <v>2579.5769587330001</v>
      </c>
      <c r="T68" s="194">
        <v>2579.5769587330001</v>
      </c>
      <c r="U68" s="194">
        <v>2579.5769587330001</v>
      </c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194"/>
      <c r="S69" s="194"/>
      <c r="T69" s="194"/>
      <c r="U69" s="194"/>
    </row>
    <row r="70" spans="3:23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ht="10.5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ht="10.5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9.3580247024860341E-3</v>
      </c>
      <c r="R77" s="117">
        <f t="shared" si="44"/>
        <v>1.6443241708470779E-2</v>
      </c>
      <c r="S77" s="117">
        <f t="shared" si="44"/>
        <v>2.0781403039288548E-2</v>
      </c>
      <c r="T77" s="117">
        <f t="shared" si="44"/>
        <v>2.0269021005962173E-2</v>
      </c>
      <c r="U77" s="117">
        <f t="shared" si="44"/>
        <v>1.9736294093464224E-2</v>
      </c>
    </row>
    <row r="78" spans="3:23" outlineLevel="1">
      <c r="C78" s="146" t="str">
        <f t="shared" ref="C78:C82" si="45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4.2428912142806752E-3</v>
      </c>
      <c r="R78" s="117">
        <f t="shared" si="46"/>
        <v>5.9875429191720286E-3</v>
      </c>
      <c r="S78" s="117">
        <f t="shared" si="46"/>
        <v>6.3291353967773745E-3</v>
      </c>
      <c r="T78" s="117">
        <f t="shared" si="46"/>
        <v>6.6864437877587335E-3</v>
      </c>
      <c r="U78" s="117">
        <f t="shared" si="46"/>
        <v>7.059924070592416E-3</v>
      </c>
    </row>
    <row r="79" spans="3:23" outlineLevel="1">
      <c r="C79" s="146" t="str">
        <f t="shared" si="45"/>
        <v>Ratcheted Maximum Demand (MW)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2.1586075473347677E-3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>
        <f t="shared" si="45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  <c r="U80" s="117" t="str">
        <f t="shared" si="48"/>
        <v/>
      </c>
    </row>
    <row r="81" spans="3:23" outlineLevel="1">
      <c r="C81" s="146">
        <f t="shared" si="45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ht="10.5" outlineLevel="1">
      <c r="C83" s="111"/>
      <c r="G83" s="32"/>
      <c r="H83" s="32"/>
      <c r="K83" s="23"/>
      <c r="L83" s="23"/>
      <c r="M83" s="23"/>
      <c r="N83" s="23"/>
      <c r="O83" s="23"/>
    </row>
    <row r="84" spans="3:23" ht="10.5" outlineLevel="1">
      <c r="C84" s="67" t="s">
        <v>180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181</v>
      </c>
      <c r="K84" s="211" t="s">
        <v>182</v>
      </c>
      <c r="L84" s="211" t="s">
        <v>183</v>
      </c>
      <c r="M84" s="211" t="s">
        <v>214</v>
      </c>
      <c r="N84" s="211"/>
      <c r="O84" s="160"/>
      <c r="P84" s="160"/>
      <c r="Q84" s="160"/>
      <c r="R84" s="160"/>
      <c r="S84" s="160"/>
      <c r="T84" s="160"/>
    </row>
    <row r="85" spans="3:23" ht="10.5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0.50870010235414531</v>
      </c>
      <c r="K86" s="218">
        <v>0.63313008130081305</v>
      </c>
      <c r="L86" s="218">
        <v>0.49481327800829877</v>
      </c>
      <c r="M86" s="218">
        <v>0.59285714285714286</v>
      </c>
      <c r="N86" s="218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8">
        <v>0.1494370522006141</v>
      </c>
      <c r="K87" s="218">
        <v>0.1636178861788618</v>
      </c>
      <c r="L87" s="218">
        <v>0.16597510373443985</v>
      </c>
      <c r="M87" s="218">
        <v>0.14183673469387756</v>
      </c>
      <c r="N87" s="218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101</v>
      </c>
      <c r="E88" s="30" t="s">
        <v>18</v>
      </c>
      <c r="F88" s="30" t="s">
        <v>36</v>
      </c>
      <c r="G88" s="32"/>
      <c r="H88" s="32"/>
      <c r="J88" s="218">
        <v>0.34186284544524054</v>
      </c>
      <c r="K88" s="218">
        <v>0.20325203252032523</v>
      </c>
      <c r="L88" s="218">
        <v>0.33921161825726143</v>
      </c>
      <c r="M88" s="218">
        <v>0.26530612244897961</v>
      </c>
      <c r="N88" s="218"/>
      <c r="O88" s="191"/>
      <c r="P88" s="191"/>
      <c r="Q88" s="191"/>
      <c r="R88" s="191"/>
      <c r="S88" s="191"/>
      <c r="T88" s="191"/>
    </row>
    <row r="89" spans="3:23" outlineLevel="1">
      <c r="C89" s="146">
        <f t="shared" si="51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8"/>
      <c r="K89" s="218"/>
      <c r="L89" s="218"/>
      <c r="M89" s="218"/>
      <c r="N89" s="218"/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218"/>
      <c r="K90" s="218"/>
      <c r="L90" s="218"/>
      <c r="M90" s="218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218"/>
      <c r="K91" s="218"/>
      <c r="L91" s="218"/>
      <c r="M91" s="218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ht="10.5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67" t="s">
        <v>184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ht="10.5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ht="10.5" outlineLevel="1">
      <c r="C97" s="146" t="str">
        <f t="array" ref="C97:C101">TRANSPOSE(J84:N84)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5.394473279857254E-3</v>
      </c>
      <c r="R97" s="117">
        <f t="shared" si="53"/>
        <v>9.9973872222301995E-3</v>
      </c>
      <c r="S97" s="117">
        <f t="shared" si="53"/>
        <v>1.1517309189821806E-2</v>
      </c>
      <c r="T97" s="117">
        <f>IF(T$95=T$4,SUMPRODUCT(T$77:T$82,$J$86:$J$91),"")</f>
        <v>1.1310055509699053E-2</v>
      </c>
      <c r="U97" s="117">
        <f>IF(U$95=U$4,SUMPRODUCT(U$77:U$82,$J$86:$J$91),"")</f>
        <v>1.1094869067306256E-2</v>
      </c>
      <c r="W97" s="132"/>
    </row>
    <row r="98" spans="1:50" ht="10.5" outlineLevel="1">
      <c r="C98" s="146" t="str">
        <v>LSE CD</v>
      </c>
      <c r="D98" s="30" t="s">
        <v>98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6.6190598324674683E-3</v>
      </c>
      <c r="R98" s="117">
        <f t="shared" si="54"/>
        <v>1.1829121446982668E-2</v>
      </c>
      <c r="S98" s="117">
        <f t="shared" si="54"/>
        <v>1.4192891150770248E-2</v>
      </c>
      <c r="T98" s="117">
        <f>IF(T$95=T$4,SUMPRODUCT(T$77:T$82,$K$86:$K$91),"")</f>
        <v>1.3926948715999584E-2</v>
      </c>
      <c r="U98" s="117">
        <f>IF(U$95=U$4,SUMPRODUCT(U$77:U$82,$K$86:$K$91),"")</f>
        <v>1.3650771336985357E-2</v>
      </c>
      <c r="W98" s="132"/>
    </row>
    <row r="99" spans="1:50" ht="10.5" outlineLevel="1">
      <c r="C99" s="146" t="str">
        <v>LSE TLG</v>
      </c>
      <c r="D99" s="30" t="s">
        <v>98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5.3346891881439285E-3</v>
      </c>
      <c r="R99" s="117">
        <f t="shared" si="55"/>
        <v>9.8623421472889584E-3</v>
      </c>
      <c r="S99" s="117">
        <f t="shared" si="55"/>
        <v>1.1333393063511429E-2</v>
      </c>
      <c r="T99" s="117">
        <f>IF(T$95=T$4,SUMPRODUCT(T$77:T$82,$L$86:$L$91),"")</f>
        <v>1.1139163927266965E-2</v>
      </c>
      <c r="U99" s="117">
        <f>IF(U$95=U$4,SUMPRODUCT(U$77:U$82,$L$86:$L$91),"")</f>
        <v>1.0937552006096703E-2</v>
      </c>
      <c r="W99" s="132"/>
    </row>
    <row r="100" spans="1:50" ht="10.5" outlineLevel="1">
      <c r="C100" s="146" t="str">
        <v>SFA TLG</v>
      </c>
      <c r="D100" s="30" t="s">
        <v>98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6.149769623397347E-3</v>
      </c>
      <c r="R100" s="117">
        <f t="shared" si="56"/>
        <v>1.1170438633360688E-2</v>
      </c>
      <c r="S100" s="117">
        <f t="shared" si="56"/>
        <v>1.3218107128549695E-2</v>
      </c>
      <c r="T100" s="117">
        <f>IF(T$95=T$4,SUMPRODUCT(T$77:T$82,$M$86:$M$91),"")</f>
        <v>1.2965017235676007E-2</v>
      </c>
      <c r="U100" s="117">
        <f>IF(U$95=U$4,SUMPRODUCT(U$77:U$82,$M$86:$M$91),"")</f>
        <v>1.2702159504199041E-2</v>
      </c>
      <c r="W100" s="132"/>
    </row>
    <row r="101" spans="1:50" ht="10.5" outlineLevel="1">
      <c r="C101" s="222">
        <v>0</v>
      </c>
      <c r="D101" s="30" t="s">
        <v>98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57">IF(R$95=R$4,SUMPRODUCT(R$77:R$82,$N$86:$N$91),"")</f>
        <v>0</v>
      </c>
      <c r="S101" s="117">
        <f t="shared" si="57"/>
        <v>0</v>
      </c>
      <c r="T101" s="117">
        <f t="shared" si="57"/>
        <v>0</v>
      </c>
      <c r="U101" s="117">
        <f t="shared" si="57"/>
        <v>0</v>
      </c>
      <c r="W101" s="132"/>
    </row>
    <row r="102" spans="1:50" ht="10.5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3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ht="10.5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ht="10.5" outlineLevel="1">
      <c r="C106" s="111"/>
      <c r="G106" s="32"/>
      <c r="H106" s="32"/>
      <c r="K106" s="23"/>
      <c r="L106" s="23"/>
      <c r="M106" s="23"/>
      <c r="N106" s="23"/>
      <c r="O106" s="23"/>
    </row>
    <row r="107" spans="1:50" ht="10.5" outlineLevel="1">
      <c r="C107" s="111" t="s">
        <v>47</v>
      </c>
      <c r="D107" s="30" t="s">
        <v>101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3.7476611191240572E-3</v>
      </c>
      <c r="R107" s="167" t="s">
        <v>242</v>
      </c>
      <c r="S107" s="167" t="s">
        <v>242</v>
      </c>
      <c r="T107" s="167" t="s">
        <v>242</v>
      </c>
      <c r="U107" s="167" t="s">
        <v>242</v>
      </c>
    </row>
    <row r="108" spans="1:50" ht="10.5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ht="10.5" outlineLevel="1">
      <c r="C109" s="29" t="s">
        <v>40</v>
      </c>
      <c r="D109" s="30" t="s">
        <v>98</v>
      </c>
      <c r="E109" s="30" t="s">
        <v>28</v>
      </c>
      <c r="F109" s="30" t="s">
        <v>36</v>
      </c>
      <c r="J109" s="132" t="str">
        <f t="shared" ref="J109:S109" si="59">IF(J105=J$4,IF(ISBLANK(J107),"Check","Ok"),"")</f>
        <v/>
      </c>
      <c r="K109" s="132" t="str">
        <f t="shared" si="59"/>
        <v/>
      </c>
      <c r="L109" s="132" t="str">
        <f t="shared" si="59"/>
        <v/>
      </c>
      <c r="M109" s="132" t="str">
        <f t="shared" si="59"/>
        <v/>
      </c>
      <c r="N109" s="132" t="str">
        <f t="shared" si="59"/>
        <v/>
      </c>
      <c r="O109" s="132" t="str">
        <f t="shared" si="59"/>
        <v/>
      </c>
      <c r="P109" s="132" t="str">
        <f t="shared" si="59"/>
        <v/>
      </c>
      <c r="Q109" s="132" t="str">
        <f t="shared" si="59"/>
        <v>Ok</v>
      </c>
      <c r="R109" s="132" t="str">
        <f t="shared" si="59"/>
        <v>Ok</v>
      </c>
      <c r="S109" s="132" t="str">
        <f t="shared" si="59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ht="10.5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3" priority="130" operator="equal">
      <formula>"Check"</formula>
    </cfRule>
    <cfRule type="cellIs" dxfId="192" priority="131" operator="equal">
      <formula>"Ok"</formula>
    </cfRule>
  </conditionalFormatting>
  <conditionalFormatting sqref="T1">
    <cfRule type="cellIs" dxfId="191" priority="94" operator="equal">
      <formula>"Check"</formula>
    </cfRule>
    <cfRule type="cellIs" dxfId="190" priority="95" operator="equal">
      <formula>"Ok"</formula>
    </cfRule>
  </conditionalFormatting>
  <conditionalFormatting sqref="W60">
    <cfRule type="cellIs" dxfId="189" priority="82" operator="equal">
      <formula>"Check"</formula>
    </cfRule>
    <cfRule type="cellIs" dxfId="188" priority="83" operator="equal">
      <formula>"Ok"</formula>
    </cfRule>
  </conditionalFormatting>
  <conditionalFormatting sqref="J60:T60">
    <cfRule type="cellIs" dxfId="187" priority="74" operator="equal">
      <formula>"Check"</formula>
    </cfRule>
    <cfRule type="cellIs" dxfId="186" priority="75" operator="equal">
      <formula>"Ok"</formula>
    </cfRule>
  </conditionalFormatting>
  <conditionalFormatting sqref="J36:U36">
    <cfRule type="expression" dxfId="185" priority="65">
      <formula>J$36=J$4</formula>
    </cfRule>
  </conditionalFormatting>
  <conditionalFormatting sqref="J38:T45 Q38:U41">
    <cfRule type="expression" dxfId="184" priority="63">
      <formula>J$36=J$4</formula>
    </cfRule>
  </conditionalFormatting>
  <conditionalFormatting sqref="J51:U58">
    <cfRule type="expression" dxfId="183" priority="62">
      <formula>J$49=J$4</formula>
    </cfRule>
  </conditionalFormatting>
  <conditionalFormatting sqref="W109">
    <cfRule type="cellIs" dxfId="182" priority="56" operator="equal">
      <formula>"Check"</formula>
    </cfRule>
    <cfRule type="cellIs" dxfId="181" priority="57" operator="equal">
      <formula>"Ok"</formula>
    </cfRule>
  </conditionalFormatting>
  <conditionalFormatting sqref="J109:T109">
    <cfRule type="cellIs" dxfId="180" priority="54" operator="equal">
      <formula>"Check"</formula>
    </cfRule>
    <cfRule type="cellIs" dxfId="179" priority="55" operator="equal">
      <formula>"Ok"</formula>
    </cfRule>
  </conditionalFormatting>
  <conditionalFormatting sqref="W47">
    <cfRule type="cellIs" dxfId="178" priority="52" operator="equal">
      <formula>"Check"</formula>
    </cfRule>
    <cfRule type="cellIs" dxfId="177" priority="53" operator="equal">
      <formula>"Ok"</formula>
    </cfRule>
  </conditionalFormatting>
  <conditionalFormatting sqref="J47:T47">
    <cfRule type="cellIs" dxfId="176" priority="50" operator="equal">
      <formula>"Check"</formula>
    </cfRule>
    <cfRule type="cellIs" dxfId="175" priority="51" operator="equal">
      <formula>"Ok"</formula>
    </cfRule>
  </conditionalFormatting>
  <conditionalFormatting sqref="W73">
    <cfRule type="cellIs" dxfId="174" priority="48" operator="equal">
      <formula>"Check"</formula>
    </cfRule>
    <cfRule type="cellIs" dxfId="173" priority="49" operator="equal">
      <formula>"Ok"</formula>
    </cfRule>
  </conditionalFormatting>
  <conditionalFormatting sqref="J73:T73">
    <cfRule type="cellIs" dxfId="172" priority="46" operator="equal">
      <formula>"Check"</formula>
    </cfRule>
    <cfRule type="cellIs" dxfId="171" priority="47" operator="equal">
      <formula>"Ok"</formula>
    </cfRule>
  </conditionalFormatting>
  <conditionalFormatting sqref="J64:U64">
    <cfRule type="expression" dxfId="170" priority="40">
      <formula>J$64=J$4</formula>
    </cfRule>
  </conditionalFormatting>
  <conditionalFormatting sqref="J70:T71 J66:U69">
    <cfRule type="expression" dxfId="169" priority="38">
      <formula>J$64=J$4</formula>
    </cfRule>
  </conditionalFormatting>
  <conditionalFormatting sqref="J49:U49">
    <cfRule type="expression" dxfId="168" priority="35">
      <formula>J$36=J$4</formula>
    </cfRule>
  </conditionalFormatting>
  <conditionalFormatting sqref="J75:U75">
    <cfRule type="expression" dxfId="167" priority="34">
      <formula>J$36=J$4</formula>
    </cfRule>
  </conditionalFormatting>
  <conditionalFormatting sqref="J105:U105">
    <cfRule type="expression" dxfId="166" priority="33">
      <formula>J$36=J$4</formula>
    </cfRule>
  </conditionalFormatting>
  <conditionalFormatting sqref="J26:T32">
    <cfRule type="cellIs" dxfId="165" priority="31" operator="equal">
      <formula>0</formula>
    </cfRule>
  </conditionalFormatting>
  <conditionalFormatting sqref="J16:T22">
    <cfRule type="cellIs" dxfId="164" priority="30" operator="equal">
      <formula>0</formula>
    </cfRule>
  </conditionalFormatting>
  <conditionalFormatting sqref="W93:W101">
    <cfRule type="cellIs" dxfId="163" priority="26" operator="equal">
      <formula>"Check"</formula>
    </cfRule>
    <cfRule type="cellIs" dxfId="162" priority="27" operator="equal">
      <formula>"Ok"</formula>
    </cfRule>
  </conditionalFormatting>
  <conditionalFormatting sqref="K90:M91">
    <cfRule type="expression" dxfId="161" priority="25">
      <formula>K$84=K$4</formula>
    </cfRule>
  </conditionalFormatting>
  <conditionalFormatting sqref="J96:T96 J93:T94">
    <cfRule type="cellIs" dxfId="160" priority="23" operator="equal">
      <formula>"Check"</formula>
    </cfRule>
    <cfRule type="cellIs" dxfId="159" priority="24" operator="equal">
      <formula>"Ok"</formula>
    </cfRule>
  </conditionalFormatting>
  <conditionalFormatting sqref="J95:U95">
    <cfRule type="expression" dxfId="158" priority="22">
      <formula>J$95=J$4</formula>
    </cfRule>
  </conditionalFormatting>
  <conditionalFormatting sqref="J107:U107">
    <cfRule type="expression" dxfId="157" priority="135">
      <formula>J$105=J$4</formula>
    </cfRule>
  </conditionalFormatting>
  <conditionalFormatting sqref="K86:M89">
    <cfRule type="expression" dxfId="156" priority="21">
      <formula>K$84=K$4</formula>
    </cfRule>
  </conditionalFormatting>
  <conditionalFormatting sqref="U26:U32">
    <cfRule type="cellIs" dxfId="155" priority="20" operator="equal">
      <formula>0</formula>
    </cfRule>
  </conditionalFormatting>
  <conditionalFormatting sqref="U16:U22">
    <cfRule type="cellIs" dxfId="154" priority="19" operator="equal">
      <formula>0</formula>
    </cfRule>
  </conditionalFormatting>
  <conditionalFormatting sqref="U109">
    <cfRule type="cellIs" dxfId="153" priority="1" operator="equal">
      <formula>"Check"</formula>
    </cfRule>
    <cfRule type="cellIs" dxfId="152" priority="2" operator="equal">
      <formula>"Ok"</formula>
    </cfRule>
  </conditionalFormatting>
  <conditionalFormatting sqref="U47">
    <cfRule type="cellIs" dxfId="151" priority="14" operator="equal">
      <formula>"Check"</formula>
    </cfRule>
    <cfRule type="cellIs" dxfId="150" priority="15" operator="equal">
      <formula>"Ok"</formula>
    </cfRule>
  </conditionalFormatting>
  <conditionalFormatting sqref="U38:U45">
    <cfRule type="expression" dxfId="149" priority="13">
      <formula>U$36=U$4</formula>
    </cfRule>
  </conditionalFormatting>
  <conditionalFormatting sqref="U51:U58">
    <cfRule type="expression" dxfId="148" priority="10">
      <formula>U$49=U$4</formula>
    </cfRule>
  </conditionalFormatting>
  <conditionalFormatting sqref="U60">
    <cfRule type="cellIs" dxfId="147" priority="8" operator="equal">
      <formula>"Check"</formula>
    </cfRule>
    <cfRule type="cellIs" dxfId="146" priority="9" operator="equal">
      <formula>"Ok"</formula>
    </cfRule>
  </conditionalFormatting>
  <conditionalFormatting sqref="U73">
    <cfRule type="cellIs" dxfId="145" priority="5" operator="equal">
      <formula>"Check"</formula>
    </cfRule>
    <cfRule type="cellIs" dxfId="144" priority="6" operator="equal">
      <formula>"Ok"</formula>
    </cfRule>
  </conditionalFormatting>
  <conditionalFormatting sqref="U70:U71">
    <cfRule type="expression" dxfId="143" priority="4">
      <formula>U$64=U$4</formula>
    </cfRule>
  </conditionalFormatting>
  <conditionalFormatting sqref="U107">
    <cfRule type="expression" dxfId="142" priority="3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4"/>
  <sheetViews>
    <sheetView showGridLines="0" workbookViewId="0">
      <selection activeCell="J1" sqref="J1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10.44140625" style="29" hidden="1" customWidth="1"/>
    <col min="49" max="16384" width="0" style="29" hidden="1"/>
  </cols>
  <sheetData>
    <row r="1" spans="1:48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IF(COUNTA($X$8:$X$237)=COUNTIF($X$8:$X$237,"OK"),"OK","Check")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55" t="s">
        <v>118</v>
      </c>
      <c r="K3" s="170"/>
      <c r="L3" s="170"/>
      <c r="M3" s="180"/>
      <c r="N3" s="224"/>
      <c r="O3" s="224"/>
      <c r="P3" s="224"/>
      <c r="Q3" s="224"/>
      <c r="R3" s="224"/>
      <c r="S3" s="224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ht="10.5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235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3">
        <v>0</v>
      </c>
      <c r="Q12" s="223">
        <v>0</v>
      </c>
      <c r="R12" s="223">
        <v>0</v>
      </c>
      <c r="S12" s="223">
        <v>0</v>
      </c>
      <c r="T12" s="223">
        <v>0</v>
      </c>
    </row>
    <row r="13" spans="1:48" outlineLevel="1">
      <c r="C13" s="61" t="s">
        <v>226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3">
        <v>2.4251035537586172</v>
      </c>
      <c r="Q13" s="223">
        <v>1.7106556613458606</v>
      </c>
      <c r="R13" s="223">
        <v>1.6469972308981122</v>
      </c>
      <c r="S13" s="223">
        <v>1.5213500252587602</v>
      </c>
      <c r="T13" s="223">
        <v>1.5233064989313434</v>
      </c>
    </row>
    <row r="14" spans="1:48" outlineLevel="1">
      <c r="C14" s="61" t="s">
        <v>236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3">
        <v>9.2891946858172897E-2</v>
      </c>
      <c r="Q14" s="223">
        <v>0.18868495697286145</v>
      </c>
      <c r="R14" s="223">
        <v>0.69805168302866549</v>
      </c>
      <c r="S14" s="223">
        <v>0.81100820412238483</v>
      </c>
      <c r="T14" s="223">
        <v>0.81205117002324301</v>
      </c>
    </row>
    <row r="15" spans="1:48" outlineLevel="1">
      <c r="C15" s="61" t="s">
        <v>237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23">
        <v>0</v>
      </c>
      <c r="Q15" s="223">
        <v>0</v>
      </c>
      <c r="R15" s="223">
        <v>0</v>
      </c>
      <c r="S15" s="223">
        <v>0</v>
      </c>
      <c r="T15" s="223">
        <v>0</v>
      </c>
    </row>
    <row r="16" spans="1:48" outlineLevel="1">
      <c r="C16" s="61" t="s">
        <v>227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23">
        <v>0</v>
      </c>
      <c r="Q16" s="223">
        <v>0</v>
      </c>
      <c r="R16" s="223">
        <v>0</v>
      </c>
      <c r="S16" s="223">
        <v>0</v>
      </c>
      <c r="T16" s="223">
        <v>0</v>
      </c>
    </row>
    <row r="17" spans="1:48" outlineLevel="1">
      <c r="C17" s="61" t="s">
        <v>232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3">
        <v>0.44800000000000001</v>
      </c>
      <c r="Q17" s="223">
        <v>0.48799999999999999</v>
      </c>
      <c r="R17" s="223">
        <v>0.56200000000000006</v>
      </c>
      <c r="S17" s="223">
        <v>0.38700000000000001</v>
      </c>
      <c r="T17" s="223">
        <v>0.40699999999999997</v>
      </c>
    </row>
    <row r="18" spans="1:48" outlineLevel="1">
      <c r="C18" s="61" t="s">
        <v>228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3">
        <v>0.83087223845753</v>
      </c>
      <c r="Q18" s="223">
        <v>0.81974435982273253</v>
      </c>
      <c r="R18" s="223">
        <v>1.1682453204581198</v>
      </c>
      <c r="S18" s="223">
        <v>1.3784078649644289</v>
      </c>
      <c r="T18" s="223">
        <v>1.3628907482446837</v>
      </c>
    </row>
    <row r="19" spans="1:48" outlineLevel="1">
      <c r="C19" s="61" t="s">
        <v>238</v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3">
        <v>7.7689699687106701</v>
      </c>
      <c r="Q19" s="223">
        <v>12.138544383710668</v>
      </c>
      <c r="R19" s="223">
        <v>14.75491833371067</v>
      </c>
      <c r="S19" s="223">
        <v>15.902605053710671</v>
      </c>
      <c r="T19" s="223">
        <v>17.165060445710676</v>
      </c>
    </row>
    <row r="20" spans="1:48" outlineLevel="1">
      <c r="C20" s="61" t="s">
        <v>229</v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23">
        <v>0.50507829730429477</v>
      </c>
      <c r="Q20" s="223">
        <v>0.70468157444738166</v>
      </c>
      <c r="R20" s="223">
        <v>0.89469475375367113</v>
      </c>
      <c r="S20" s="223">
        <v>1.0916244100827943</v>
      </c>
      <c r="T20" s="223">
        <v>1.3027509181900965</v>
      </c>
    </row>
    <row r="21" spans="1:48" outlineLevel="1">
      <c r="C21" s="61" t="s">
        <v>231</v>
      </c>
      <c r="D21" s="30" t="s">
        <v>68</v>
      </c>
      <c r="E21" s="148" t="s">
        <v>15</v>
      </c>
      <c r="F21" s="169">
        <v>44348</v>
      </c>
      <c r="G21" s="32"/>
      <c r="H21" s="32"/>
      <c r="J21" s="150"/>
      <c r="K21" s="150"/>
      <c r="L21" s="150"/>
      <c r="M21" s="150"/>
      <c r="N21" s="150"/>
      <c r="O21" s="168"/>
      <c r="P21" s="223">
        <v>0</v>
      </c>
      <c r="Q21" s="223">
        <v>0</v>
      </c>
      <c r="R21" s="223">
        <v>0</v>
      </c>
      <c r="S21" s="223">
        <v>0</v>
      </c>
      <c r="T21" s="223">
        <v>0</v>
      </c>
    </row>
    <row r="22" spans="1:48" outlineLevel="1">
      <c r="C22" s="61" t="s">
        <v>230</v>
      </c>
      <c r="D22" s="30" t="s">
        <v>68</v>
      </c>
      <c r="E22" s="148" t="s">
        <v>15</v>
      </c>
      <c r="F22" s="169">
        <v>44348</v>
      </c>
      <c r="G22" s="32"/>
      <c r="H22" s="32"/>
      <c r="J22" s="150"/>
      <c r="K22" s="150"/>
      <c r="L22" s="150"/>
      <c r="M22" s="150"/>
      <c r="N22" s="150"/>
      <c r="O22" s="168"/>
      <c r="P22" s="223">
        <v>0</v>
      </c>
      <c r="Q22" s="223">
        <v>0</v>
      </c>
      <c r="R22" s="223">
        <v>0</v>
      </c>
      <c r="S22" s="223">
        <v>0</v>
      </c>
      <c r="T22" s="223">
        <v>0</v>
      </c>
    </row>
    <row r="23" spans="1:48" outlineLevel="1">
      <c r="G23" s="32"/>
      <c r="H23" s="32"/>
    </row>
    <row r="24" spans="1:48" ht="10.5" outlineLevel="1">
      <c r="C24" s="29" t="s">
        <v>40</v>
      </c>
      <c r="D24" s="30" t="s">
        <v>98</v>
      </c>
      <c r="E24" s="30" t="s">
        <v>28</v>
      </c>
      <c r="F24" s="30" t="s">
        <v>36</v>
      </c>
      <c r="J24" s="132" t="str">
        <f t="shared" ref="J24:T24" si="2">IF(J10=J4,IF(COUNTA($C12:$C22)=COUNT(J12:J22),"Ok","Check"),"")</f>
        <v/>
      </c>
      <c r="K24" s="132" t="str">
        <f t="shared" si="2"/>
        <v/>
      </c>
      <c r="L24" s="132" t="str">
        <f t="shared" si="2"/>
        <v/>
      </c>
      <c r="M24" s="132" t="str">
        <f t="shared" si="2"/>
        <v/>
      </c>
      <c r="N24" s="132" t="str">
        <f t="shared" si="2"/>
        <v/>
      </c>
      <c r="O24" s="132" t="str">
        <f t="shared" si="2"/>
        <v/>
      </c>
      <c r="P24" s="132" t="str">
        <f t="shared" si="2"/>
        <v>Ok</v>
      </c>
      <c r="Q24" s="132" t="str">
        <f t="shared" si="2"/>
        <v>Ok</v>
      </c>
      <c r="R24" s="132" t="str">
        <f t="shared" si="2"/>
        <v>Ok</v>
      </c>
      <c r="S24" s="132" t="str">
        <f t="shared" si="2"/>
        <v>Ok</v>
      </c>
      <c r="T24" s="132" t="str">
        <f t="shared" si="2"/>
        <v>Ok</v>
      </c>
      <c r="U24" s="132"/>
      <c r="V24" s="24"/>
      <c r="X24" s="131" t="str">
        <f>IF(COUNTIF(J24:U24,"Check")=0,"Ok","Check")</f>
        <v>Ok</v>
      </c>
    </row>
    <row r="25" spans="1:48">
      <c r="G25" s="32"/>
      <c r="H25" s="32"/>
    </row>
    <row r="26" spans="1:48" s="103" customFormat="1" ht="13">
      <c r="A26" s="94"/>
      <c r="B26" s="95" t="s">
        <v>114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98"/>
      <c r="Y26" s="99"/>
      <c r="Z26" s="99"/>
      <c r="AA26" s="99"/>
      <c r="AB26" s="99"/>
      <c r="AC26" s="100"/>
      <c r="AD26" s="101"/>
      <c r="AE26" s="101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</row>
    <row r="27" spans="1:48" outlineLevel="1">
      <c r="G27" s="32"/>
      <c r="H27" s="32"/>
    </row>
    <row r="28" spans="1:48" ht="10.5" outlineLevel="1">
      <c r="C28" s="67" t="s">
        <v>110</v>
      </c>
      <c r="D28" s="32" t="s">
        <v>7</v>
      </c>
      <c r="E28" s="32" t="s">
        <v>8</v>
      </c>
      <c r="F28" s="32" t="s">
        <v>22</v>
      </c>
      <c r="G28" s="32"/>
      <c r="H28" s="32"/>
      <c r="J28" s="160" t="str">
        <f t="shared" ref="J28:N28" si="3">IF(YEAR(J$4)&gt;=FPFirstYear,IF(YEAR(J$4)&lt;=FPLastYear,J$4,""),"")</f>
        <v/>
      </c>
      <c r="K28" s="160" t="str">
        <f t="shared" si="3"/>
        <v/>
      </c>
      <c r="L28" s="160" t="str">
        <f t="shared" si="3"/>
        <v/>
      </c>
      <c r="M28" s="160" t="str">
        <f t="shared" si="3"/>
        <v/>
      </c>
      <c r="N28" s="160" t="str">
        <f t="shared" si="3"/>
        <v/>
      </c>
      <c r="O28" s="160"/>
      <c r="P28" s="160">
        <f t="shared" ref="P28:T28" si="4">P$4</f>
        <v>44713</v>
      </c>
      <c r="Q28" s="160">
        <f t="shared" si="4"/>
        <v>45078</v>
      </c>
      <c r="R28" s="160">
        <f t="shared" si="4"/>
        <v>45444</v>
      </c>
      <c r="S28" s="160">
        <f t="shared" si="4"/>
        <v>45809</v>
      </c>
      <c r="T28" s="160">
        <f t="shared" si="4"/>
        <v>46174</v>
      </c>
    </row>
    <row r="29" spans="1:48" outlineLevel="1">
      <c r="G29" s="32"/>
      <c r="H29" s="32"/>
    </row>
    <row r="30" spans="1:48" outlineLevel="1">
      <c r="C30" s="61" t="s">
        <v>233</v>
      </c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>
        <v>2.8944685902263974</v>
      </c>
      <c r="Q30" s="168">
        <v>2.8944685902263974</v>
      </c>
      <c r="R30" s="168">
        <v>2.8944685902263974</v>
      </c>
      <c r="S30" s="168">
        <v>2.8944685902263974</v>
      </c>
      <c r="T30" s="168">
        <v>2.8944685902263974</v>
      </c>
    </row>
    <row r="31" spans="1:48" outlineLevel="1">
      <c r="C31" s="61"/>
      <c r="D31" s="30" t="s">
        <v>68</v>
      </c>
      <c r="E31" s="148" t="s">
        <v>15</v>
      </c>
      <c r="F31" s="169">
        <v>44348</v>
      </c>
      <c r="G31" s="32"/>
      <c r="H31" s="32"/>
      <c r="J31" s="150"/>
      <c r="K31" s="150"/>
      <c r="L31" s="150"/>
      <c r="M31" s="150"/>
      <c r="N31" s="168"/>
      <c r="O31" s="168"/>
      <c r="P31" s="168"/>
      <c r="Q31" s="168"/>
      <c r="R31" s="168"/>
      <c r="S31" s="168"/>
      <c r="T31" s="168"/>
    </row>
    <row r="32" spans="1:48" outlineLevel="1">
      <c r="C32" s="61"/>
      <c r="D32" s="30" t="s">
        <v>68</v>
      </c>
      <c r="E32" s="148" t="s">
        <v>15</v>
      </c>
      <c r="F32" s="169">
        <v>44348</v>
      </c>
      <c r="G32" s="32"/>
      <c r="H32" s="32"/>
      <c r="J32" s="150"/>
      <c r="K32" s="150"/>
      <c r="L32" s="150"/>
      <c r="M32" s="150"/>
      <c r="N32" s="168"/>
      <c r="O32" s="168"/>
      <c r="P32" s="168"/>
      <c r="Q32" s="168"/>
      <c r="R32" s="168"/>
      <c r="S32" s="168"/>
      <c r="T32" s="168"/>
    </row>
    <row r="33" spans="1:48" outlineLevel="1">
      <c r="G33" s="32"/>
      <c r="H33" s="32"/>
    </row>
    <row r="34" spans="1:48" ht="10.5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2" t="str">
        <f t="shared" ref="J34:R34" si="5">IF(J28=J4,IF(COUNTA($C30:$C32)=COUNT(J30:J32),"Ok","Check"),"")</f>
        <v/>
      </c>
      <c r="K34" s="132" t="str">
        <f t="shared" si="5"/>
        <v/>
      </c>
      <c r="L34" s="132" t="str">
        <f t="shared" si="5"/>
        <v/>
      </c>
      <c r="M34" s="132" t="str">
        <f t="shared" si="5"/>
        <v/>
      </c>
      <c r="N34" s="132" t="str">
        <f t="shared" si="5"/>
        <v/>
      </c>
      <c r="O34" s="132" t="str">
        <f t="shared" si="5"/>
        <v/>
      </c>
      <c r="P34" s="132" t="str">
        <f t="shared" si="5"/>
        <v>Ok</v>
      </c>
      <c r="Q34" s="132" t="str">
        <f t="shared" si="5"/>
        <v>Ok</v>
      </c>
      <c r="R34" s="132" t="str">
        <f t="shared" si="5"/>
        <v>Ok</v>
      </c>
      <c r="S34" s="132" t="str">
        <f>IF(S28=S4,IF(COUNTA($C30:$C32)=COUNT(S30:S32),"Ok","Check"),"")</f>
        <v>Ok</v>
      </c>
      <c r="T34" s="132" t="str">
        <f>IF(T28=T4,IF(COUNTA($C30:$C32)=COUNT(T30:T32),"Ok","Check"),"")</f>
        <v>Ok</v>
      </c>
      <c r="U34" s="132"/>
      <c r="V34" s="24"/>
      <c r="X34" s="131" t="str">
        <f>IF(COUNTIF(J34:U34,"Check")=0,"Ok","Check")</f>
        <v>Ok</v>
      </c>
    </row>
    <row r="35" spans="1:48">
      <c r="G35" s="32"/>
      <c r="H35" s="32"/>
    </row>
    <row r="36" spans="1:48" s="103" customFormat="1" ht="13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98"/>
      <c r="Y36" s="99"/>
      <c r="Z36" s="99"/>
      <c r="AA36" s="99"/>
      <c r="AB36" s="99"/>
      <c r="AC36" s="100"/>
      <c r="AD36" s="101"/>
      <c r="AE36" s="101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</row>
    <row r="37" spans="1:48" outlineLevel="1">
      <c r="G37" s="32"/>
      <c r="H37" s="32"/>
    </row>
    <row r="38" spans="1:48" ht="10.5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0" t="str">
        <f t="shared" ref="J38:N38" si="6">IF(YEAR(J$4)&gt;=FPFirstYear,IF(YEAR(J$4)&lt;=FPLastYear,J$4,""),"")</f>
        <v/>
      </c>
      <c r="K38" s="160" t="str">
        <f t="shared" si="6"/>
        <v/>
      </c>
      <c r="L38" s="160" t="str">
        <f t="shared" si="6"/>
        <v/>
      </c>
      <c r="M38" s="160" t="str">
        <f t="shared" si="6"/>
        <v/>
      </c>
      <c r="N38" s="160" t="str">
        <f t="shared" si="6"/>
        <v/>
      </c>
      <c r="O38" s="160"/>
      <c r="P38" s="160">
        <f t="shared" ref="P38:T38" si="7">P$4</f>
        <v>44713</v>
      </c>
      <c r="Q38" s="160">
        <f t="shared" si="7"/>
        <v>45078</v>
      </c>
      <c r="R38" s="160">
        <f t="shared" si="7"/>
        <v>45444</v>
      </c>
      <c r="S38" s="160">
        <f t="shared" si="7"/>
        <v>45809</v>
      </c>
      <c r="T38" s="160">
        <f t="shared" si="7"/>
        <v>46174</v>
      </c>
    </row>
    <row r="39" spans="1:48" outlineLevel="1">
      <c r="G39" s="32"/>
      <c r="H39" s="32"/>
    </row>
    <row r="40" spans="1:48" outlineLevel="1">
      <c r="C40" s="111" t="s">
        <v>39</v>
      </c>
      <c r="D40" s="30" t="s">
        <v>71</v>
      </c>
      <c r="E40" s="30" t="s">
        <v>15</v>
      </c>
      <c r="F40" s="210">
        <v>44348</v>
      </c>
      <c r="G40" s="32"/>
      <c r="H40" s="32"/>
      <c r="J40" s="168"/>
      <c r="K40" s="168"/>
      <c r="L40" s="168"/>
      <c r="M40" s="168"/>
      <c r="N40" s="168"/>
      <c r="O40" s="168"/>
      <c r="P40" s="168">
        <v>2.1565514233899501</v>
      </c>
      <c r="Q40" s="168">
        <v>2.2397029958839472</v>
      </c>
      <c r="R40" s="168">
        <v>2.3332137481511426</v>
      </c>
      <c r="S40" s="168">
        <v>2.3795232438785527</v>
      </c>
      <c r="T40" s="168">
        <v>2.3993521128038755</v>
      </c>
    </row>
    <row r="41" spans="1:48" outlineLevel="1">
      <c r="G41" s="32"/>
      <c r="H41" s="32"/>
    </row>
    <row r="42" spans="1:48" ht="10.5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2" t="str">
        <f t="shared" ref="J42:R42" si="8">IF(J38=J4,IF(ISBLANK(J40),"Check","Ok"),"")</f>
        <v/>
      </c>
      <c r="K42" s="132" t="str">
        <f t="shared" si="8"/>
        <v/>
      </c>
      <c r="L42" s="132" t="str">
        <f t="shared" si="8"/>
        <v/>
      </c>
      <c r="M42" s="132" t="str">
        <f t="shared" si="8"/>
        <v/>
      </c>
      <c r="N42" s="132" t="str">
        <f t="shared" si="8"/>
        <v/>
      </c>
      <c r="O42" s="132" t="str">
        <f t="shared" si="8"/>
        <v/>
      </c>
      <c r="P42" s="132" t="str">
        <f t="shared" si="8"/>
        <v>Ok</v>
      </c>
      <c r="Q42" s="132" t="str">
        <f t="shared" si="8"/>
        <v>Ok</v>
      </c>
      <c r="R42" s="132" t="str">
        <f t="shared" si="8"/>
        <v>Ok</v>
      </c>
      <c r="S42" s="132" t="str">
        <f>IF(S38=S4,IF(ISBLANK(S40),"Check","Ok"),"")</f>
        <v>Ok</v>
      </c>
      <c r="T42" s="132" t="str">
        <f>IF(T38=T4,IF(ISBLANK(T40),"Check","Ok"),"")</f>
        <v>Ok</v>
      </c>
      <c r="U42" s="132"/>
      <c r="V42" s="24"/>
      <c r="X42" s="131" t="str">
        <f>IF(COUNTIF(J42:U42,"Check")=0,"Ok","Check")</f>
        <v>Ok</v>
      </c>
    </row>
    <row r="43" spans="1:48">
      <c r="G43" s="32"/>
      <c r="H43" s="32"/>
    </row>
    <row r="44" spans="1:48" s="103" customFormat="1" ht="13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98"/>
      <c r="Y44" s="99"/>
      <c r="Z44" s="99"/>
      <c r="AA44" s="99"/>
      <c r="AB44" s="99"/>
      <c r="AC44" s="100"/>
      <c r="AD44" s="101"/>
      <c r="AE44" s="101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:T1">
    <cfRule type="cellIs" dxfId="141" priority="33" operator="equal">
      <formula>"Check"</formula>
    </cfRule>
    <cfRule type="cellIs" dxfId="140" priority="34" operator="equal">
      <formula>"Ok"</formula>
    </cfRule>
  </conditionalFormatting>
  <conditionalFormatting sqref="W1">
    <cfRule type="cellIs" dxfId="139" priority="35" operator="equal">
      <formula>"Check"</formula>
    </cfRule>
    <cfRule type="cellIs" dxfId="138" priority="36" operator="equal">
      <formula>"Ok"</formula>
    </cfRule>
  </conditionalFormatting>
  <conditionalFormatting sqref="J10:T10">
    <cfRule type="expression" dxfId="137" priority="31">
      <formula>J$10=J$4</formula>
    </cfRule>
  </conditionalFormatting>
  <conditionalFormatting sqref="J12:O22">
    <cfRule type="expression" dxfId="136" priority="30">
      <formula>J$10=J$4</formula>
    </cfRule>
  </conditionalFormatting>
  <conditionalFormatting sqref="X24">
    <cfRule type="cellIs" dxfId="135" priority="26" operator="equal">
      <formula>"Check"</formula>
    </cfRule>
    <cfRule type="cellIs" dxfId="134" priority="27" operator="equal">
      <formula>"Ok"</formula>
    </cfRule>
  </conditionalFormatting>
  <conditionalFormatting sqref="J24:U24">
    <cfRule type="cellIs" dxfId="133" priority="24" operator="equal">
      <formula>"Check"</formula>
    </cfRule>
    <cfRule type="cellIs" dxfId="132" priority="25" operator="equal">
      <formula>"Ok"</formula>
    </cfRule>
  </conditionalFormatting>
  <conditionalFormatting sqref="X34">
    <cfRule type="cellIs" dxfId="131" priority="22" operator="equal">
      <formula>"Check"</formula>
    </cfRule>
    <cfRule type="cellIs" dxfId="130" priority="23" operator="equal">
      <formula>"Ok"</formula>
    </cfRule>
  </conditionalFormatting>
  <conditionalFormatting sqref="J34:U34">
    <cfRule type="cellIs" dxfId="129" priority="20" operator="equal">
      <formula>"Check"</formula>
    </cfRule>
    <cfRule type="cellIs" dxfId="128" priority="21" operator="equal">
      <formula>"Ok"</formula>
    </cfRule>
  </conditionalFormatting>
  <conditionalFormatting sqref="J30:M32 O31:T32">
    <cfRule type="expression" dxfId="127" priority="19">
      <formula>J$28=J$4</formula>
    </cfRule>
  </conditionalFormatting>
  <conditionalFormatting sqref="X42">
    <cfRule type="cellIs" dxfId="126" priority="17" operator="equal">
      <formula>"Check"</formula>
    </cfRule>
    <cfRule type="cellIs" dxfId="125" priority="18" operator="equal">
      <formula>"Ok"</formula>
    </cfRule>
  </conditionalFormatting>
  <conditionalFormatting sqref="J42:U42">
    <cfRule type="cellIs" dxfId="124" priority="15" operator="equal">
      <formula>"Check"</formula>
    </cfRule>
    <cfRule type="cellIs" dxfId="123" priority="16" operator="equal">
      <formula>"Ok"</formula>
    </cfRule>
  </conditionalFormatting>
  <conditionalFormatting sqref="O30">
    <cfRule type="expression" dxfId="122" priority="14">
      <formula>O$10=O$4</formula>
    </cfRule>
  </conditionalFormatting>
  <conditionalFormatting sqref="N30:N32">
    <cfRule type="expression" dxfId="121" priority="13">
      <formula>N$10=N$4</formula>
    </cfRule>
  </conditionalFormatting>
  <conditionalFormatting sqref="J40:T40">
    <cfRule type="expression" dxfId="120" priority="10">
      <formula>J$38=J$4</formula>
    </cfRule>
  </conditionalFormatting>
  <conditionalFormatting sqref="J28:N28">
    <cfRule type="expression" dxfId="119" priority="9">
      <formula>J$10=J$4</formula>
    </cfRule>
  </conditionalFormatting>
  <conditionalFormatting sqref="J38:N38">
    <cfRule type="expression" dxfId="118" priority="8">
      <formula>J$10=J$4</formula>
    </cfRule>
  </conditionalFormatting>
  <conditionalFormatting sqref="O28">
    <cfRule type="expression" dxfId="117" priority="7">
      <formula>O$10=O$4</formula>
    </cfRule>
  </conditionalFormatting>
  <conditionalFormatting sqref="O38">
    <cfRule type="expression" dxfId="116" priority="6">
      <formula>O$10=O$4</formula>
    </cfRule>
  </conditionalFormatting>
  <conditionalFormatting sqref="P28:T28">
    <cfRule type="expression" dxfId="115" priority="5">
      <formula>P$10=P$4</formula>
    </cfRule>
  </conditionalFormatting>
  <conditionalFormatting sqref="P38:T38">
    <cfRule type="expression" dxfId="114" priority="4">
      <formula>P$10=P$4</formula>
    </cfRule>
  </conditionalFormatting>
  <conditionalFormatting sqref="P12:T21">
    <cfRule type="expression" dxfId="113" priority="3">
      <formula>P$10=P$4</formula>
    </cfRule>
  </conditionalFormatting>
  <conditionalFormatting sqref="P30:T30">
    <cfRule type="expression" dxfId="112" priority="2">
      <formula>P$10=P$4</formula>
    </cfRule>
  </conditionalFormatting>
  <conditionalFormatting sqref="P22:T22">
    <cfRule type="expression" dxfId="111" priority="1">
      <formula>P$10=P$4</formula>
    </cfRule>
  </conditionalFormatting>
  <dataValidations count="2">
    <dataValidation type="list" allowBlank="1" showInputMessage="1" showErrorMessage="1" sqref="F25 F33 F35 F43">
      <formula1>"Real 2010,Real 2011,Real 2012,Real 2013,Real 2014,Real 2015,Nominal"</formula1>
    </dataValidation>
    <dataValidation type="list" allowBlank="1" showInputMessage="1" showErrorMessage="1" sqref="V30:V33 I40 V25 I25 V12:V23 I30:I33 V35 I35 V43 I43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>
          <x14:formula1>
            <xm:f>'Lookup|Tables'!$C$67:$C$76</xm:f>
          </x14:formula1>
          <xm:sqref>F23</xm:sqref>
        </x14:dataValidation>
        <x14:dataValidation type="list" allowBlank="1" showInputMessage="1" showErrorMessage="1">
          <x14:formula1>
            <xm:f>'Lookup|Tables'!$H$41:$H$60</xm:f>
          </x14:formula1>
          <xm:sqref>F40 F30:F32 F12:F22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6"/>
  <sheetViews>
    <sheetView showGridLines="0" workbookViewId="0">
      <selection activeCell="J1" sqref="J1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70" t="s">
        <v>118</v>
      </c>
      <c r="K3" s="170"/>
      <c r="L3" s="170"/>
      <c r="M3" s="180"/>
      <c r="N3" s="224"/>
      <c r="O3" s="224"/>
      <c r="P3" s="224"/>
      <c r="Q3" s="224"/>
      <c r="R3" s="224"/>
      <c r="S3" s="224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235.56920626000002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241.06595549428505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245.72964969332111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267.1108494710648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215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138.73097438447596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215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139.47907998013287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216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278.95815996026573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1.412155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1.4451060891435212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5.0708529973098155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5.5120733429798001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219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2.7678807058130199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219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2.7828064789023874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220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5.5656129578047748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ht="10.5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241.06595549428505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ht="10.5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ht="10.5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ht="10.5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ht="10.5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ht="10.5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11.847310489200936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ht="10.5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ht="10.5" outlineLevel="1">
      <c r="C35" s="123" t="s">
        <v>105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252.91326598348599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ht="10.5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ht="10.5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-1.4986457039684957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ht="10.5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ht="10.5" outlineLevel="1">
      <c r="C39" s="123" t="str">
        <f>'Input|Reported opex'!$C$85</f>
        <v>Emergency recoverable works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0.24592608489294873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ht="10.5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0.24592608489294873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ht="10.5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ht="10.5" outlineLevel="1">
      <c r="C42" s="123" t="str">
        <f>'Input|Reported opex'!$C$86</f>
        <v>Communications network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0.35202456046019787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ht="10.5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0.35202456046019787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ht="10.5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ht="10.5" outlineLevel="1">
      <c r="C45" s="123" t="str">
        <f>'Input|Reported opex'!$C$87</f>
        <v>Wasted truck visits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1.1900450340531952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ht="10.5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1.1900450340531952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ht="10.5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ht="10.5" outlineLevel="1">
      <c r="C48" s="123" t="str">
        <f>'Input|Reported opex'!$C$88</f>
        <v>Replacement expenditure on faults and minor repairs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2.7035313475228118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ht="10.5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2.7035313475228118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ht="10.5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ht="10.5" outlineLevel="1">
      <c r="C51" s="123" t="str">
        <f>'Input|Reported opex'!$C$89</f>
        <v>ESV levy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-2.787980097947754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ht="10.5" outlineLevel="1">
      <c r="C52" s="123" t="str">
        <f>C51</f>
        <v>ESV levy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-2.787980097947754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23" t="s">
        <v>88</v>
      </c>
      <c r="D54" s="110" t="s">
        <v>98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ht="10.5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ht="10.5" outlineLevel="1">
      <c r="C56" s="176" t="s">
        <v>163</v>
      </c>
      <c r="D56" s="112" t="s">
        <v>98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253.11816720849887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3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ht="10.5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ht="10.5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106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5.8744979809664992E-3</v>
      </c>
      <c r="Q63" s="117">
        <f ca="1">IF(Q60=Q4,AVERAGE(OFFSET('Input|Rate of change'!R97,0,0,COUNTA('Input|Rate of change'!$J$84:$N$84),1)),0)</f>
        <v>1.0714822362465629E-2</v>
      </c>
      <c r="R63" s="117">
        <f ca="1">IF(R60=R4,AVERAGE(OFFSET('Input|Rate of change'!S97,0,0,COUNTA('Input|Rate of change'!$J$84:$N$84),1)),0)</f>
        <v>1.2565425133163294E-2</v>
      </c>
      <c r="S63" s="117">
        <f ca="1">IF(S60=S4,AVERAGE(OFFSET('Input|Rate of change'!T97,0,0,COUNTA('Input|Rate of change'!$J$84:$N$84),1)),0)</f>
        <v>1.2335296347160402E-2</v>
      </c>
      <c r="T63" s="117">
        <f ca="1">IF(T60=T4,AVERAGE(OFFSET('Input|Rate of change'!U97,0,0,COUNTA('Input|Rate of change'!$J$84:$N$84),1)),0)</f>
        <v>1.2096337978646839E-2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4.820893050489836E-3</v>
      </c>
      <c r="Q65" s="117">
        <f>SUMPRODUCT('Input|Rate of change'!R38:R45,'Input|Rate of change'!R51:R58)</f>
        <v>3.9231025826899609E-3</v>
      </c>
      <c r="R65" s="117">
        <f>SUMPRODUCT('Input|Rate of change'!S38:S45,'Input|Rate of change'!S51:S58)</f>
        <v>3.6060316584285179E-3</v>
      </c>
      <c r="S65" s="117">
        <f>SUMPRODUCT('Input|Rate of change'!T38:T45,'Input|Rate of change'!T51:T58)</f>
        <v>4.3380149298082697E-3</v>
      </c>
      <c r="T65" s="117">
        <f>SUMPRODUCT('Input|Rate of change'!U38:U45,'Input|Rate of change'!U51:U58)</f>
        <v>5.6296051963220933E-3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102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 t="str">
        <f>'Input|Rate of change'!R107</f>
        <v>0.5%</v>
      </c>
      <c r="R67" s="117" t="str">
        <f>'Input|Rate of change'!S107</f>
        <v>0.5%</v>
      </c>
      <c r="S67" s="117" t="str">
        <f>'Input|Rate of change'!T107</f>
        <v>0.5%</v>
      </c>
      <c r="T67" s="117" t="str">
        <f>'Input|Rate of change'!U107</f>
        <v>0.5%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ht="10.5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6.9358614027148491E-3</v>
      </c>
      <c r="Q69" s="143">
        <f t="shared" ca="1" si="9"/>
        <v>9.6065604909765234E-3</v>
      </c>
      <c r="R69" s="143">
        <f t="shared" ca="1" si="9"/>
        <v>1.1135684271861512E-2</v>
      </c>
      <c r="S69" s="143">
        <f t="shared" ca="1" si="9"/>
        <v>1.1643187866802629E-2</v>
      </c>
      <c r="T69" s="143">
        <f t="shared" ref="T69" ca="1" si="10">(1+T63)*(1+T65)*(1-T67)-1</f>
        <v>1.2705070578199251E-2</v>
      </c>
    </row>
    <row r="70" spans="1:48" ht="10.5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6.9358614027148491E-3</v>
      </c>
      <c r="Q70" s="117">
        <f t="array" aca="1" ref="Q70" ca="1">IF(Q$60=Q$4,PRODUCT(1+$J69:Q69)-1,"")</f>
        <v>1.6609051665813501E-2</v>
      </c>
      <c r="R70" s="117">
        <f t="array" aca="1" ref="R70" ca="1">IF(R$60=R$4,PRODUCT(1+$J69:R69)-1,"")</f>
        <v>2.7929689093080468E-2</v>
      </c>
      <c r="S70" s="117">
        <f t="array" aca="1" ref="S70" ca="1">IF(S$60=S$4,PRODUCT(1+$J69:S69)-1,"")</f>
        <v>3.9898067577055274E-2</v>
      </c>
      <c r="T70" s="117">
        <f t="array" aca="1" ref="T70" ca="1">IF(T$60=T$4,PRODUCT(1+$J69:T69)-1,"")</f>
        <v>5.3110045919754878E-2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3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ht="10.5" outlineLevel="1">
      <c r="C74" s="67" t="s">
        <v>103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ht="10.5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HBRA zone reclassification</v>
      </c>
      <c r="D76" s="110" t="s">
        <v>30</v>
      </c>
      <c r="E76" s="30" t="str">
        <f t="shared" ref="E76:E96" si="12">$E$8</f>
        <v>$millions</v>
      </c>
      <c r="F76" s="158">
        <f t="shared" ref="F76:F88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</row>
    <row r="77" spans="1:48" outlineLevel="1">
      <c r="C77" s="121" t="str">
        <f>'Input|Step changes'!C13</f>
        <v>Security of critical infrastructure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2.4251035537586172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1.7106556613458606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1.6469972308981122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1.5213500252587602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1.5233064989313434</v>
      </c>
    </row>
    <row r="78" spans="1:48" outlineLevel="1">
      <c r="C78" s="121" t="str">
        <f>'Input|Step changes'!C14</f>
        <v xml:space="preserve">REFCL on-going operating expenditure 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9.2891946858172897E-2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0.18868495697286145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0.69805168302866549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0.81100820412238472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0.81205117002324301</v>
      </c>
    </row>
    <row r="79" spans="1:48" outlineLevel="1">
      <c r="C79" s="121" t="str">
        <f>'Input|Step changes'!C15</f>
        <v>Replacing EDO fuses with fault tamers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 t="str">
        <f>'Input|Step changes'!C16</f>
        <v>EPA regulations change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 t="str">
        <f>'Input|Step changes'!C17</f>
        <v>Solar enablement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0.44800000000000001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0.48799999999999999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0.56200000000000006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0.38700000000000001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0.40699999999999997</v>
      </c>
    </row>
    <row r="82" spans="1:48" outlineLevel="1">
      <c r="C82" s="121" t="str">
        <f>'Input|Step changes'!C18</f>
        <v>IT cloud solutions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0.83087223845753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0.81974435982273253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1.1682453204581198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1.3784078649644289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1.3628907482446837</v>
      </c>
    </row>
    <row r="83" spans="1:48" outlineLevel="1">
      <c r="C83" s="121" t="str">
        <f>'Input|Step changes'!C19</f>
        <v>Increasing insurance premiums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7.7689699687106701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12.138544383710668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14.75491833371067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15.902605053710671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17.165060445710676</v>
      </c>
    </row>
    <row r="84" spans="1:48" outlineLevel="1">
      <c r="C84" s="121" t="str">
        <f>'Input|Step changes'!C20</f>
        <v>5 minute settlement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0.50507829730429477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0.70468157444738166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0.89469475375367113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1.0916244100827943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1.3027509181900965</v>
      </c>
    </row>
    <row r="85" spans="1:48" outlineLevel="1">
      <c r="C85" s="121" t="str">
        <f>'Input|Step changes'!C21</f>
        <v>ESV levy</v>
      </c>
      <c r="D85" s="110" t="s">
        <v>30</v>
      </c>
      <c r="E85" s="30" t="str">
        <f t="shared" si="12"/>
        <v>$millions</v>
      </c>
      <c r="F85" s="158">
        <f t="shared" si="13"/>
        <v>44348</v>
      </c>
      <c r="J85" s="127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127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127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127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127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127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127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127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127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127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127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48" outlineLevel="1">
      <c r="C86" s="121" t="str">
        <f>'Input|Step changes'!C22</f>
        <v>Financial year RIN</v>
      </c>
      <c r="D86" s="110" t="s">
        <v>30</v>
      </c>
      <c r="E86" s="30" t="str">
        <f t="shared" si="12"/>
        <v>$millions</v>
      </c>
      <c r="F86" s="158">
        <f t="shared" si="13"/>
        <v>44348</v>
      </c>
      <c r="J86" s="127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127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127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127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127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127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127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127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127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127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127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48" outlineLevel="1">
      <c r="C87" s="121"/>
      <c r="D87" s="110"/>
      <c r="F87" s="112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</row>
    <row r="88" spans="1:48" ht="10.5" outlineLevel="1">
      <c r="C88" s="113" t="s">
        <v>48</v>
      </c>
      <c r="D88" s="122" t="s">
        <v>30</v>
      </c>
      <c r="E88" s="122" t="str">
        <f>$E$8</f>
        <v>$millions</v>
      </c>
      <c r="F88" s="172">
        <f t="shared" si="13"/>
        <v>44348</v>
      </c>
      <c r="G88" s="32"/>
      <c r="H88" s="32"/>
      <c r="I88" s="32"/>
      <c r="J88" s="174">
        <f>SUM(J75:J87)</f>
        <v>0</v>
      </c>
      <c r="K88" s="174">
        <f t="shared" ref="K88:S88" si="14">SUM(K75:K87)</f>
        <v>0</v>
      </c>
      <c r="L88" s="174">
        <f t="shared" si="14"/>
        <v>0</v>
      </c>
      <c r="M88" s="174">
        <f t="shared" si="14"/>
        <v>0</v>
      </c>
      <c r="N88" s="174">
        <f t="shared" si="14"/>
        <v>0</v>
      </c>
      <c r="O88" s="174">
        <f t="shared" si="14"/>
        <v>0</v>
      </c>
      <c r="P88" s="174">
        <f t="shared" si="14"/>
        <v>12.070916005089284</v>
      </c>
      <c r="Q88" s="174">
        <f t="shared" si="14"/>
        <v>16.050310936299503</v>
      </c>
      <c r="R88" s="174">
        <f t="shared" si="14"/>
        <v>19.724907321849241</v>
      </c>
      <c r="S88" s="174">
        <f t="shared" si="14"/>
        <v>21.09199555813904</v>
      </c>
      <c r="T88" s="174">
        <f t="shared" ref="T88" si="15">SUM(T75:T87)</f>
        <v>22.573059781100042</v>
      </c>
    </row>
    <row r="89" spans="1:48" ht="10.5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  <c r="T89" s="23"/>
    </row>
    <row r="90" spans="1:48" s="103" customFormat="1" ht="13">
      <c r="A90" s="94"/>
      <c r="B90" s="95" t="s">
        <v>115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9"/>
      <c r="Z90" s="99"/>
      <c r="AA90" s="99"/>
      <c r="AB90" s="99"/>
      <c r="AC90" s="100"/>
      <c r="AD90" s="101"/>
      <c r="AE90" s="101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</row>
    <row r="91" spans="1:48" outlineLevel="1">
      <c r="C91" s="106"/>
      <c r="J91" s="107"/>
      <c r="K91" s="107"/>
      <c r="L91" s="107"/>
    </row>
    <row r="92" spans="1:48" ht="10.5" outlineLevel="1">
      <c r="C92" s="67" t="s">
        <v>110</v>
      </c>
      <c r="D92" s="32" t="s">
        <v>7</v>
      </c>
      <c r="E92" s="32" t="s">
        <v>8</v>
      </c>
      <c r="F92" s="32" t="s">
        <v>22</v>
      </c>
      <c r="J92" s="160"/>
      <c r="K92" s="160"/>
      <c r="L92" s="160"/>
      <c r="M92" s="160"/>
      <c r="N92" s="160"/>
      <c r="O92" s="160"/>
      <c r="P92" s="160">
        <f>P$4</f>
        <v>44713</v>
      </c>
      <c r="Q92" s="160">
        <f t="shared" ref="Q92:T92" si="16">Q$4</f>
        <v>45078</v>
      </c>
      <c r="R92" s="160">
        <f t="shared" si="16"/>
        <v>45444</v>
      </c>
      <c r="S92" s="160">
        <f t="shared" si="16"/>
        <v>45809</v>
      </c>
      <c r="T92" s="160">
        <f t="shared" si="16"/>
        <v>46174</v>
      </c>
    </row>
    <row r="93" spans="1:48" ht="10.5" outlineLevel="1">
      <c r="C93" s="67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</row>
    <row r="94" spans="1:48" outlineLevel="1">
      <c r="C94" s="121" t="str">
        <f>'Input|Step changes'!C30</f>
        <v>GSLs</v>
      </c>
      <c r="D94" s="110" t="s">
        <v>30</v>
      </c>
      <c r="E94" s="30" t="str">
        <f t="shared" si="12"/>
        <v>$millions</v>
      </c>
      <c r="F94" s="158">
        <f t="shared" ref="F94:F96" si="17">$F$8</f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2.8944685902263974</v>
      </c>
    </row>
    <row r="95" spans="1:48" outlineLevel="1">
      <c r="C95" s="121">
        <f>'Input|Step changes'!C31</f>
        <v>0</v>
      </c>
      <c r="D95" s="110" t="s">
        <v>30</v>
      </c>
      <c r="E95" s="30" t="str">
        <f t="shared" si="12"/>
        <v>$millions</v>
      </c>
      <c r="F95" s="158">
        <f t="shared" si="17"/>
        <v>44348</v>
      </c>
      <c r="J95" s="127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127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127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127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127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127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127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127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127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127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127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48" outlineLevel="1">
      <c r="C96" s="121">
        <f>'Input|Step changes'!C32</f>
        <v>0</v>
      </c>
      <c r="D96" s="110" t="s">
        <v>30</v>
      </c>
      <c r="E96" s="30" t="str">
        <f t="shared" si="12"/>
        <v>$millions</v>
      </c>
      <c r="F96" s="158">
        <f t="shared" si="17"/>
        <v>44348</v>
      </c>
      <c r="J96" s="127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127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127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127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127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127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127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127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127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127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127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48" outlineLevel="1">
      <c r="C97" s="121"/>
      <c r="D97" s="108"/>
      <c r="F97" s="112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ht="10.5" outlineLevel="1">
      <c r="C98" s="113" t="s">
        <v>116</v>
      </c>
      <c r="D98" s="122" t="s">
        <v>30</v>
      </c>
      <c r="E98" s="122" t="str">
        <f>$E$8</f>
        <v>$millions</v>
      </c>
      <c r="F98" s="172">
        <f t="shared" ref="F98" si="18">$F$8</f>
        <v>44348</v>
      </c>
      <c r="G98" s="32"/>
      <c r="H98" s="32"/>
      <c r="I98" s="32"/>
      <c r="J98" s="128">
        <f>SUM(J93:J97)</f>
        <v>0</v>
      </c>
      <c r="K98" s="128">
        <f t="shared" ref="K98:S98" si="19">SUM(K93:K97)</f>
        <v>0</v>
      </c>
      <c r="L98" s="128">
        <f t="shared" si="19"/>
        <v>0</v>
      </c>
      <c r="M98" s="128">
        <f t="shared" si="19"/>
        <v>0</v>
      </c>
      <c r="N98" s="128">
        <f t="shared" si="19"/>
        <v>0</v>
      </c>
      <c r="O98" s="128">
        <f t="shared" si="19"/>
        <v>0</v>
      </c>
      <c r="P98" s="128">
        <f t="shared" si="19"/>
        <v>2.8944685902263974</v>
      </c>
      <c r="Q98" s="128">
        <f t="shared" si="19"/>
        <v>2.8944685902263974</v>
      </c>
      <c r="R98" s="128">
        <f t="shared" si="19"/>
        <v>2.8944685902263974</v>
      </c>
      <c r="S98" s="128">
        <f t="shared" si="19"/>
        <v>2.8944685902263974</v>
      </c>
      <c r="T98" s="128">
        <f t="shared" ref="T98" si="20">SUM(T93:T97)</f>
        <v>2.8944685902263974</v>
      </c>
    </row>
    <row r="99" spans="1:48" ht="10.5">
      <c r="C99" s="123"/>
      <c r="D99" s="110"/>
      <c r="E99" s="110"/>
      <c r="F99" s="110"/>
      <c r="J99" s="107"/>
      <c r="K99" s="107"/>
      <c r="L99" s="107"/>
      <c r="M99" s="107"/>
      <c r="N99" s="23"/>
      <c r="O99" s="23"/>
      <c r="P99" s="23"/>
      <c r="Q99" s="23"/>
      <c r="R99" s="23"/>
      <c r="S99" s="23"/>
      <c r="T99" s="23"/>
    </row>
    <row r="100" spans="1:48" s="103" customFormat="1" ht="13">
      <c r="A100" s="94"/>
      <c r="B100" s="95" t="s">
        <v>90</v>
      </c>
      <c r="C100" s="94"/>
      <c r="D100" s="94"/>
      <c r="E100" s="94"/>
      <c r="F100" s="96"/>
      <c r="G100" s="96"/>
      <c r="H100" s="96"/>
      <c r="I100" s="96"/>
      <c r="J100" s="97"/>
      <c r="K100" s="98"/>
      <c r="L100" s="97"/>
      <c r="M100" s="98"/>
      <c r="N100" s="97"/>
      <c r="O100" s="97"/>
      <c r="P100" s="97"/>
      <c r="Q100" s="97"/>
      <c r="R100" s="97"/>
      <c r="S100" s="97"/>
      <c r="T100" s="97"/>
      <c r="U100" s="97"/>
      <c r="V100" s="97"/>
      <c r="W100" s="98"/>
      <c r="X100" s="98"/>
      <c r="Y100" s="99"/>
      <c r="Z100" s="99"/>
      <c r="AA100" s="99"/>
      <c r="AB100" s="99"/>
      <c r="AC100" s="100"/>
      <c r="AD100" s="101"/>
      <c r="AE100" s="101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</row>
    <row r="101" spans="1:48" outlineLevel="1">
      <c r="C101" s="106"/>
      <c r="J101" s="107"/>
      <c r="K101" s="107"/>
      <c r="L101" s="107"/>
    </row>
    <row r="102" spans="1:48" ht="10.5" outlineLevel="1">
      <c r="C102" s="67"/>
      <c r="J102" s="160"/>
      <c r="K102" s="160"/>
      <c r="L102" s="160"/>
      <c r="M102" s="160"/>
      <c r="N102" s="160"/>
      <c r="O102" s="160"/>
      <c r="P102" s="160">
        <f>P$4</f>
        <v>44713</v>
      </c>
      <c r="Q102" s="160">
        <f t="shared" ref="Q102:T102" si="21">Q$4</f>
        <v>45078</v>
      </c>
      <c r="R102" s="160">
        <f t="shared" si="21"/>
        <v>45444</v>
      </c>
      <c r="S102" s="160">
        <f t="shared" si="21"/>
        <v>45809</v>
      </c>
      <c r="T102" s="160">
        <f t="shared" si="21"/>
        <v>46174</v>
      </c>
    </row>
    <row r="103" spans="1:48" ht="10.5" outlineLevel="1">
      <c r="C103" s="124"/>
      <c r="D103" s="110"/>
      <c r="E103" s="110"/>
      <c r="F103" s="110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</row>
    <row r="104" spans="1:48" ht="10.5" outlineLevel="1">
      <c r="C104" s="123" t="s">
        <v>133</v>
      </c>
      <c r="D104" s="126" t="s">
        <v>30</v>
      </c>
      <c r="E104" s="126" t="str">
        <f>$E$8</f>
        <v>$millions</v>
      </c>
      <c r="F104" s="172">
        <f t="shared" ref="F104:F106" si="22">$F$8</f>
        <v>44348</v>
      </c>
      <c r="J104" s="149"/>
      <c r="K104" s="149"/>
      <c r="L104" s="149"/>
      <c r="M104" s="149"/>
      <c r="N104" s="149"/>
      <c r="O104" s="149"/>
      <c r="P104" s="149">
        <f ca="1">(1+P70)*SUM($J56:$S56)+P88</f>
        <v>266.94467573985548</v>
      </c>
      <c r="Q104" s="149">
        <f t="shared" ref="Q104:T104" ca="1" si="23">(1+Q70)*SUM($J56:$S56)+Q88</f>
        <v>273.37253086152037</v>
      </c>
      <c r="R104" s="149">
        <f t="shared" ca="1" si="23"/>
        <v>279.91258624429184</v>
      </c>
      <c r="S104" s="149">
        <f t="shared" ca="1" si="23"/>
        <v>284.30908850690298</v>
      </c>
      <c r="T104" s="149">
        <f t="shared" ca="1" si="23"/>
        <v>289.13434447316649</v>
      </c>
    </row>
    <row r="105" spans="1:48" ht="10.5" outlineLevel="1">
      <c r="C105" s="123" t="s">
        <v>108</v>
      </c>
      <c r="D105" s="126" t="s">
        <v>30</v>
      </c>
      <c r="E105" s="126" t="str">
        <f>$E$8</f>
        <v>$millions</v>
      </c>
      <c r="F105" s="172">
        <f t="shared" si="22"/>
        <v>44348</v>
      </c>
      <c r="J105" s="149"/>
      <c r="K105" s="149"/>
      <c r="L105" s="149"/>
      <c r="M105" s="149"/>
      <c r="N105" s="149"/>
      <c r="O105" s="149"/>
      <c r="P105" s="149">
        <f ca="1">(1+P70)*SUM($J56:$S56)+P88+P98</f>
        <v>269.83914433008187</v>
      </c>
      <c r="Q105" s="149">
        <f t="shared" ref="Q105:T105" ca="1" si="24">(1+Q70)*SUM($J56:$S56)+Q88+Q98</f>
        <v>276.26699945174676</v>
      </c>
      <c r="R105" s="149">
        <f t="shared" ca="1" si="24"/>
        <v>282.80705483451823</v>
      </c>
      <c r="S105" s="149">
        <f t="shared" ca="1" si="24"/>
        <v>287.20355709712936</v>
      </c>
      <c r="T105" s="149">
        <f t="shared" ca="1" si="24"/>
        <v>292.02881306339287</v>
      </c>
    </row>
    <row r="106" spans="1:48" ht="10.5" outlineLevel="1">
      <c r="C106" s="123" t="s">
        <v>109</v>
      </c>
      <c r="D106" s="126" t="s">
        <v>30</v>
      </c>
      <c r="E106" s="126" t="str">
        <f>$E$8</f>
        <v>$millions</v>
      </c>
      <c r="F106" s="172">
        <f t="shared" si="22"/>
        <v>44348</v>
      </c>
      <c r="J106" s="149"/>
      <c r="K106" s="149"/>
      <c r="L106" s="149"/>
      <c r="M106" s="149"/>
      <c r="N106" s="149"/>
      <c r="O106" s="149"/>
      <c r="P106" s="149">
        <f ca="1">P105+'Input|Step changes'!P40</f>
        <v>271.99569575347181</v>
      </c>
      <c r="Q106" s="149">
        <f ca="1">Q105+'Input|Step changes'!Q40</f>
        <v>278.50670244763069</v>
      </c>
      <c r="R106" s="149">
        <f ca="1">R105+'Input|Step changes'!R40</f>
        <v>285.14026858266936</v>
      </c>
      <c r="S106" s="149">
        <f ca="1">S105+'Input|Step changes'!S40</f>
        <v>289.58308034100793</v>
      </c>
      <c r="T106" s="149">
        <f ca="1">T105+'Input|Step changes'!T40</f>
        <v>294.42816517619673</v>
      </c>
    </row>
    <row r="107" spans="1:48" ht="10.5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  <c r="T107" s="23"/>
    </row>
    <row r="108" spans="1:48" s="103" customFormat="1" ht="13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7"/>
      <c r="W108" s="98"/>
      <c r="X108" s="98"/>
      <c r="Y108" s="99"/>
      <c r="Z108" s="99"/>
      <c r="AA108" s="99"/>
      <c r="AB108" s="99"/>
      <c r="AC108" s="100"/>
      <c r="AD108" s="101"/>
      <c r="AE108" s="101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</row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/>
    <row r="116" spans="4:9" hidden="1"/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>
      <c r="D192" s="29"/>
      <c r="E192" s="29"/>
      <c r="F192" s="29"/>
      <c r="G192" s="29"/>
      <c r="H192" s="29"/>
      <c r="I192" s="29"/>
    </row>
    <row r="193" spans="4:9" hidden="1">
      <c r="D193" s="29"/>
      <c r="E193" s="29"/>
      <c r="F193" s="29"/>
      <c r="G193" s="29"/>
      <c r="H193" s="29"/>
      <c r="I193" s="29"/>
    </row>
    <row r="194" spans="4:9" hidden="1"/>
    <row r="195" spans="4:9" hidden="1"/>
    <row r="196" spans="4:9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4:T96 J76:T86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5:T106">
    <cfRule type="cellIs" dxfId="97" priority="110" operator="equal">
      <formula>0</formula>
    </cfRule>
  </conditionalFormatting>
  <conditionalFormatting sqref="J105:T106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4:T104">
    <cfRule type="cellIs" dxfId="71" priority="46" operator="equal">
      <formula>0</formula>
    </cfRule>
  </conditionalFormatting>
  <conditionalFormatting sqref="J104:T104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8:T98">
    <cfRule type="expression" dxfId="31" priority="140">
      <formula>J$92=J$4</formula>
    </cfRule>
    <cfRule type="cellIs" dxfId="30" priority="141" operator="equal">
      <formula>0</formula>
    </cfRule>
  </conditionalFormatting>
  <conditionalFormatting sqref="J88:T88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2:T92 P102:T102">
    <cfRule type="expression" dxfId="27" priority="144">
      <formula>J$60=J$4</formula>
    </cfRule>
  </conditionalFormatting>
  <conditionalFormatting sqref="J102:O102">
    <cfRule type="expression" dxfId="26" priority="147">
      <formula>J$102=J$4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>
      <formula1>"Real 2010,Real 2011,Real 2012,Real 2013,Real 2014,Real 2015,Nominal"</formula1>
    </dataValidation>
    <dataValidation type="list" allowBlank="1" showInputMessage="1" showErrorMessage="1" sqref="F87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80"/>
      <c r="E3" s="180"/>
      <c r="F3" s="180"/>
      <c r="G3" s="180"/>
      <c r="H3" s="180"/>
      <c r="I3" s="180"/>
      <c r="J3" s="170" t="s">
        <v>118</v>
      </c>
      <c r="K3" s="170"/>
      <c r="L3" s="170"/>
      <c r="M3" s="180"/>
      <c r="N3" s="224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 ht="10.5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forecast'!C104</f>
        <v>Total forecast opex, excluding category specific forecasts</v>
      </c>
      <c r="D13" s="34" t="s">
        <v>104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78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78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78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78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78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78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266.94467573985548</v>
      </c>
      <c r="Q13" s="178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273.37253086152037</v>
      </c>
      <c r="R13" s="178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279.91258624429184</v>
      </c>
      <c r="S13" s="178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284.30908850690298</v>
      </c>
      <c r="T13" s="178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289.13434447316649</v>
      </c>
      <c r="U13" s="111"/>
      <c r="V13" s="150"/>
    </row>
    <row r="14" spans="1:27">
      <c r="C14" s="111" t="str">
        <f>'Input|Step changes'!C30</f>
        <v>GSLs</v>
      </c>
      <c r="D14" s="34" t="s">
        <v>104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78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78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78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78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78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78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Q14" s="178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R14" s="178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S14" s="178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T14" s="178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2.8944685902263974</v>
      </c>
      <c r="U14" s="111"/>
      <c r="V14" s="150"/>
    </row>
    <row r="15" spans="1:27">
      <c r="C15" s="111">
        <f>'Input|Step changes'!C31</f>
        <v>0</v>
      </c>
      <c r="D15" s="34" t="s">
        <v>104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78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78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78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78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78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78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78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78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78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78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11"/>
      <c r="V15" s="150"/>
    </row>
    <row r="16" spans="1:27">
      <c r="C16" s="111">
        <f>'Input|Step changes'!C32</f>
        <v>0</v>
      </c>
      <c r="D16" s="34" t="s">
        <v>104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78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78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78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78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78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78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78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78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78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78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11"/>
      <c r="V16" s="205"/>
    </row>
    <row r="17" spans="1:24" ht="10.5">
      <c r="D17" s="34"/>
      <c r="H17" s="32"/>
      <c r="I17" s="32"/>
      <c r="N17" s="142"/>
      <c r="T17" s="23"/>
    </row>
    <row r="18" spans="1:24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topLeftCell="G1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119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120</v>
      </c>
      <c r="D25" s="16" t="s">
        <v>68</v>
      </c>
      <c r="E25" s="16"/>
      <c r="F25" s="16"/>
      <c r="G25" s="151">
        <v>36526</v>
      </c>
      <c r="H25" s="14"/>
    </row>
    <row r="26" spans="1:47" ht="10.5">
      <c r="C26" s="15" t="s">
        <v>121</v>
      </c>
      <c r="D26" s="16" t="s">
        <v>68</v>
      </c>
      <c r="E26" s="16"/>
      <c r="F26" s="16"/>
      <c r="G26" s="151">
        <v>36557</v>
      </c>
      <c r="H26" s="14"/>
    </row>
    <row r="27" spans="1:47" ht="10.5">
      <c r="C27" s="15" t="s">
        <v>122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123</v>
      </c>
      <c r="D28" s="16" t="s">
        <v>68</v>
      </c>
      <c r="E28" s="16"/>
      <c r="F28" s="16"/>
      <c r="G28" s="151">
        <v>36617</v>
      </c>
    </row>
    <row r="29" spans="1:47">
      <c r="C29" s="15" t="s">
        <v>124</v>
      </c>
      <c r="D29" s="16" t="s">
        <v>68</v>
      </c>
      <c r="E29" s="16"/>
      <c r="F29" s="16"/>
      <c r="G29" s="151">
        <v>36647</v>
      </c>
    </row>
    <row r="30" spans="1:47">
      <c r="C30" s="15" t="s">
        <v>125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126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127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128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129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130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131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3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118</v>
      </c>
    </row>
    <row r="65" spans="1:47" ht="10.5">
      <c r="C65" s="15" t="s">
        <v>197</v>
      </c>
      <c r="D65" s="16" t="s">
        <v>98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138</v>
      </c>
      <c r="D66" s="16" t="s">
        <v>98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139</v>
      </c>
      <c r="D67" s="16" t="s">
        <v>98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140</v>
      </c>
      <c r="D68" s="16" t="s">
        <v>98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141</v>
      </c>
      <c r="D69" s="16" t="s">
        <v>98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142</v>
      </c>
      <c r="D70" s="16" t="s">
        <v>98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204</v>
      </c>
      <c r="D71" s="16" t="s">
        <v>98</v>
      </c>
      <c r="E71" s="16"/>
      <c r="F71" s="16"/>
      <c r="G71" s="181" t="s">
        <v>205</v>
      </c>
      <c r="H71" s="183">
        <f>DATE(YEAR(H70)+1,6,1)</f>
        <v>44348</v>
      </c>
    </row>
    <row r="72" spans="1:47">
      <c r="C72" s="15" t="s">
        <v>143</v>
      </c>
      <c r="D72" s="16" t="s">
        <v>98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144</v>
      </c>
      <c r="D73" s="16" t="s">
        <v>98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145</v>
      </c>
      <c r="D74" s="16" t="s">
        <v>98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146</v>
      </c>
      <c r="D75" s="16" t="s">
        <v>98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147</v>
      </c>
      <c r="D76" s="16" t="s">
        <v>98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3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 ht="10.5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4"/>
    </row>
    <row r="81" spans="1:47">
      <c r="C81" s="15" t="s">
        <v>191</v>
      </c>
      <c r="D81" s="16" t="s">
        <v>68</v>
      </c>
      <c r="E81" s="16"/>
      <c r="F81" s="16"/>
      <c r="G81" s="181" t="s">
        <v>107</v>
      </c>
      <c r="H81" s="213"/>
    </row>
    <row r="82" spans="1:47">
      <c r="C82" s="15" t="s">
        <v>192</v>
      </c>
      <c r="D82" s="16" t="s">
        <v>68</v>
      </c>
      <c r="E82" s="16"/>
      <c r="F82" s="16"/>
      <c r="G82" s="182" t="s">
        <v>193</v>
      </c>
      <c r="H82" s="213"/>
    </row>
    <row r="83" spans="1:47"/>
    <row r="84" spans="1:47" customFormat="1" ht="13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D17" s="8"/>
      <c r="E17" s="8"/>
      <c r="F17" s="8"/>
      <c r="G17" s="8"/>
    </row>
    <row r="18" spans="1:47">
      <c r="C18" s="15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  <row r="26" spans="1:47" hidden="1"/>
    <row r="27" spans="1:47" hidden="1"/>
    <row r="28" spans="1:47" hidden="1"/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7" location="'Output|Decision tables'!A1" display="'Output|Decision tables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Version history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2021-04-21T00:46:29Z</dcterms:created>
  <dcterms:modified xsi:type="dcterms:W3CDTF">2021-04-21T00:46:35Z</dcterms:modified>
</cp:coreProperties>
</file>