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90" windowWidth="18195" windowHeight="834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externalReferences>
    <externalReference r:id="rId13"/>
  </externalReferences>
  <definedNames>
    <definedName name="A10remlife">'[1]PTRM input'!$L$16</definedName>
    <definedName name="A10stdlife">'[1]PTRM input'!$M$16</definedName>
    <definedName name="A10taxremlife">'[1]PTRM input'!$O$16</definedName>
    <definedName name="A10taxstdlife">'[1]PTRM input'!$P$16</definedName>
    <definedName name="A10taxvalue">'[1]PTRM input'!$N$16</definedName>
    <definedName name="A10value">'[1]PTRM input'!$J$16</definedName>
    <definedName name="A11remlife">'[1]PTRM input'!$L$17</definedName>
    <definedName name="A11stdlife">'[1]PTRM input'!$M$17</definedName>
    <definedName name="A11taxremlife">'[1]PTRM input'!$O$17</definedName>
    <definedName name="A11taxstdlife">'[1]PTRM input'!$P$17</definedName>
    <definedName name="A11taxvalue">'[1]PTRM input'!$N$17</definedName>
    <definedName name="A11value">'[1]PTRM input'!$J$17</definedName>
    <definedName name="A12remlife">'[1]PTRM input'!$L$18</definedName>
    <definedName name="A12stdlife">'[1]PTRM input'!$M$18</definedName>
    <definedName name="A12taxremlife">'[1]PTRM input'!$O$18</definedName>
    <definedName name="A12taxstdlife">'[1]PTRM input'!$P$18</definedName>
    <definedName name="A12taxvalue">'[1]PTRM input'!$N$18</definedName>
    <definedName name="A12value">'[1]PTRM input'!$J$18</definedName>
    <definedName name="A13remlife">'[1]PTRM input'!$L$19</definedName>
    <definedName name="A13stdlife">'[1]PTRM input'!$M$19</definedName>
    <definedName name="A13taxremlife">'[1]PTRM input'!$O$19</definedName>
    <definedName name="A13taxstdlife">'[1]PTRM input'!$P$19</definedName>
    <definedName name="A13taxvalue">'[1]PTRM input'!$N$19</definedName>
    <definedName name="A13value">'[1]PTRM input'!$J$19</definedName>
    <definedName name="A14remlife">'[1]PTRM input'!$L$20</definedName>
    <definedName name="A14stdlife">'[1]PTRM input'!$M$20</definedName>
    <definedName name="A14taxremlife">'[1]PTRM input'!$O$20</definedName>
    <definedName name="A14taxstdlife">'[1]PTRM input'!$P$20</definedName>
    <definedName name="A14taxvalue">'[1]PTRM input'!$N$20</definedName>
    <definedName name="A14value">'[1]PTRM input'!$J$20</definedName>
    <definedName name="A15remlife">'[1]PTRM input'!$L$21</definedName>
    <definedName name="A15stdlife">'[1]PTRM input'!$M$21</definedName>
    <definedName name="A15taxremlife">'[1]PTRM input'!$O$21</definedName>
    <definedName name="A15taxstdlife">'[1]PTRM input'!$P$21</definedName>
    <definedName name="A15taxvalue">'[1]PTRM input'!$N$21</definedName>
    <definedName name="A15value">'[1]PTRM input'!$J$21</definedName>
    <definedName name="A16remlife">'[1]PTRM input'!$L$22</definedName>
    <definedName name="A16stdlife">'[1]PTRM input'!$M$22</definedName>
    <definedName name="A16taxremlife">'[1]PTRM input'!$O$22</definedName>
    <definedName name="A16taxstdlife">'[1]PTRM input'!$P$22</definedName>
    <definedName name="A16taxvalue">'[1]PTRM input'!$N$22</definedName>
    <definedName name="A16value">'[1]PTRM input'!$J$22</definedName>
    <definedName name="A17remlife">'[1]PTRM input'!$L$23</definedName>
    <definedName name="A17stdlife">'[1]PTRM input'!$M$23</definedName>
    <definedName name="A17taxremlife">'[1]PTRM input'!$O$23</definedName>
    <definedName name="A17taxstdlife">'[1]PTRM input'!$P$23</definedName>
    <definedName name="A17taxvalue">'[1]PTRM input'!$N$23</definedName>
    <definedName name="A17value">'[1]PTRM input'!$J$23</definedName>
    <definedName name="A18remlife">'[1]PTRM input'!$L$24</definedName>
    <definedName name="A18stdlife">'[1]PTRM input'!$M$24</definedName>
    <definedName name="A18taxremlife">'[1]PTRM input'!$O$24</definedName>
    <definedName name="A18taxstdlife">'[1]PTRM input'!$P$24</definedName>
    <definedName name="A18taxvalue">'[1]PTRM input'!$N$24</definedName>
    <definedName name="A18value">'[1]PTRM input'!$J$24</definedName>
    <definedName name="A19remlife">'[1]PTRM input'!$L$25</definedName>
    <definedName name="A19stdlife">'[1]PTRM input'!$M$25</definedName>
    <definedName name="A19taxremlife">'[1]PTRM input'!$O$25</definedName>
    <definedName name="A19taxstdlife">'[1]PTRM input'!$P$25</definedName>
    <definedName name="A19taxvalue">'[1]PTRM input'!$N$25</definedName>
    <definedName name="A19value">'[1]PTRM input'!$J$25</definedName>
    <definedName name="A1remlife">'[1]PTRM input'!$L$7</definedName>
    <definedName name="A1stdlife">'[1]PTRM input'!$M$7</definedName>
    <definedName name="A1taxremlife">'[1]PTRM input'!$O$7</definedName>
    <definedName name="A1taxstdlife">'[1]PTRM input'!$P$7</definedName>
    <definedName name="A1taxvalue">'[1]PTRM input'!$N$7</definedName>
    <definedName name="A1value">'[1]PTRM input'!$J$7</definedName>
    <definedName name="A20remlife">'[1]PTRM input'!$L$26</definedName>
    <definedName name="A20stdlife">'[1]PTRM input'!$M$26</definedName>
    <definedName name="A20taxremlife">'[1]PTRM input'!$O$26</definedName>
    <definedName name="A20taxstdlife">'[1]PTRM input'!$P$26</definedName>
    <definedName name="A20taxvalue">'[1]PTRM input'!$N$26</definedName>
    <definedName name="A20value">'[1]PTRM input'!$J$26</definedName>
    <definedName name="A21remlife">'[1]PTRM input'!$L$27</definedName>
    <definedName name="A21stdlife">'[1]PTRM input'!$M$27</definedName>
    <definedName name="A21taxremlife">'[1]PTRM input'!$O$27</definedName>
    <definedName name="A21taxstdlife">'[1]PTRM input'!$P$27</definedName>
    <definedName name="A21taxvalue">'[1]PTRM input'!$N$27</definedName>
    <definedName name="A21value">'[1]PTRM input'!$J$27</definedName>
    <definedName name="A22remlife">'[1]PTRM input'!$L$28</definedName>
    <definedName name="A22stdlife">'[1]PTRM input'!$M$28</definedName>
    <definedName name="A22taxremlife">'[1]PTRM input'!$O$28</definedName>
    <definedName name="A22taxstdlife">'[1]PTRM input'!$P$28</definedName>
    <definedName name="A22taxvalue">'[1]PTRM input'!$N$28</definedName>
    <definedName name="A22value">'[1]PTRM input'!$J$28</definedName>
    <definedName name="A23remlife">'[1]PTRM input'!$L$29</definedName>
    <definedName name="A23stdlife">'[1]PTRM input'!$M$29</definedName>
    <definedName name="A23taxremlife">'[1]PTRM input'!$O$29</definedName>
    <definedName name="A23taxstdlife">'[1]PTRM input'!$P$29</definedName>
    <definedName name="A23taxvalue">'[1]PTRM input'!$N$29</definedName>
    <definedName name="A23value">'[1]PTRM input'!$J$29</definedName>
    <definedName name="A24remlife">'[1]PTRM input'!$L$30</definedName>
    <definedName name="A24stdlife">'[1]PTRM input'!$M$30</definedName>
    <definedName name="A24taxremlife">'[1]PTRM input'!$O$30</definedName>
    <definedName name="A24taxstdlife">'[1]PTRM input'!$P$30</definedName>
    <definedName name="A24taxvalue">'[1]PTRM input'!$N$30</definedName>
    <definedName name="A24value">'[1]PTRM input'!$J$30</definedName>
    <definedName name="A25remlife">'[1]PTRM input'!$L$31</definedName>
    <definedName name="A25stdlife">'[1]PTRM input'!$M$31</definedName>
    <definedName name="A25taxremlife">'[1]PTRM input'!$O$31</definedName>
    <definedName name="A25taxstdlife">'[1]PTRM input'!$P$31</definedName>
    <definedName name="A25taxvalue">'[1]PTRM input'!$N$31</definedName>
    <definedName name="A25value">'[1]PTRM input'!$J$31</definedName>
    <definedName name="A26remlife">'[1]PTRM input'!$L$32</definedName>
    <definedName name="A26stdlife">'[1]PTRM input'!$M$32</definedName>
    <definedName name="A26taxremlife">'[1]PTRM input'!$O$32</definedName>
    <definedName name="A26taxstdlife">'[1]PTRM input'!$P$32</definedName>
    <definedName name="A26taxvalue">'[1]PTRM input'!$N$32</definedName>
    <definedName name="A26value">'[1]PTRM input'!$J$32</definedName>
    <definedName name="A27remlife">'[1]PTRM input'!$L$33</definedName>
    <definedName name="A27stdlife">'[1]PTRM input'!$M$33</definedName>
    <definedName name="A27taxremlife">'[1]PTRM input'!$O$33</definedName>
    <definedName name="A27taxstdlife">'[1]PTRM input'!$P$33</definedName>
    <definedName name="A27taxvalue">'[1]PTRM input'!$N$33</definedName>
    <definedName name="A27value">'[1]PTRM input'!$J$33</definedName>
    <definedName name="A28remlife">'[1]PTRM input'!$L$34</definedName>
    <definedName name="A28stdlife">'[1]PTRM input'!$M$34</definedName>
    <definedName name="A28taxremlife">'[1]PTRM input'!$O$34</definedName>
    <definedName name="A28taxstdlife">'[1]PTRM input'!$P$34</definedName>
    <definedName name="A28taxvalue">'[1]PTRM input'!$N$34</definedName>
    <definedName name="A28value">'[1]PTRM input'!$J$34</definedName>
    <definedName name="A29remlife">'[1]PTRM input'!$L$35</definedName>
    <definedName name="A29stdlife">'[1]PTRM input'!$M$35</definedName>
    <definedName name="A29taxremlife">'[1]PTRM input'!$O$35</definedName>
    <definedName name="A29taxstdlife">'[1]PTRM input'!$P$35</definedName>
    <definedName name="A29taxvalue">'[1]PTRM input'!$N$35</definedName>
    <definedName name="A29value">'[1]PTRM input'!$J$35</definedName>
    <definedName name="A2remlife">'[1]PTRM input'!$L$8</definedName>
    <definedName name="A2stdlife">'[1]PTRM input'!$M$8</definedName>
    <definedName name="A2taxremlife">'[1]PTRM input'!$O$8</definedName>
    <definedName name="A2taxstdlife">'[1]PTRM input'!$P$8</definedName>
    <definedName name="A2taxvalue">'[1]PTRM input'!$N$8</definedName>
    <definedName name="A2value">'[1]PTRM input'!$J$8</definedName>
    <definedName name="A30remlife">'[1]PTRM input'!$L$36</definedName>
    <definedName name="A30stdlife">'[1]PTRM input'!$M$36</definedName>
    <definedName name="A30taxremlife">'[1]PTRM input'!$O$36</definedName>
    <definedName name="A30taxstdlife">'[1]PTRM input'!$P$36</definedName>
    <definedName name="A30taxvalue">'[1]PTRM input'!$N$36</definedName>
    <definedName name="A30value">'[1]PTRM input'!$J$36</definedName>
    <definedName name="A3remlife">'[1]PTRM input'!$L$9</definedName>
    <definedName name="A3stdlife">'[1]PTRM input'!$M$9</definedName>
    <definedName name="A3taxremlife">'[1]PTRM input'!$O$9</definedName>
    <definedName name="A3taxstdlife">'[1]PTRM input'!$P$9</definedName>
    <definedName name="A3taxvalue">'[1]PTRM input'!$N$9</definedName>
    <definedName name="A3value">'[1]PTRM input'!$J$9</definedName>
    <definedName name="A4remlife">'[1]PTRM input'!$L$10</definedName>
    <definedName name="A4stdlife">'[1]PTRM input'!$M$10</definedName>
    <definedName name="A4taxremlife">'[1]PTRM input'!$O$10</definedName>
    <definedName name="A4taxstdlife">'[1]PTRM input'!$P$10</definedName>
    <definedName name="A4taxvalue">'[1]PTRM input'!$N$10</definedName>
    <definedName name="A4value">'[1]PTRM input'!$J$10</definedName>
    <definedName name="A5remlife">'[1]PTRM input'!$L$11</definedName>
    <definedName name="A5stdlife">'[1]PTRM input'!$M$11</definedName>
    <definedName name="A5taxremlife">'[1]PTRM input'!$O$11</definedName>
    <definedName name="A5taxstdlife">'[1]PTRM input'!$P$11</definedName>
    <definedName name="A5taxvalue">'[1]PTRM input'!$N$11</definedName>
    <definedName name="A5value">'[1]PTRM input'!$J$11</definedName>
    <definedName name="A6remlife">'[1]PTRM input'!$L$12</definedName>
    <definedName name="A6stdlife">'[1]PTRM input'!$M$12</definedName>
    <definedName name="A6taxremlife">'[1]PTRM input'!$O$12</definedName>
    <definedName name="A6taxstdlife">'[1]PTRM input'!$P$12</definedName>
    <definedName name="A6taxvalue">'[1]PTRM input'!$N$12</definedName>
    <definedName name="A6value">'[1]PTRM input'!$J$12</definedName>
    <definedName name="A7remlife">'[1]PTRM input'!$L$13</definedName>
    <definedName name="A7stdlife">'[1]PTRM input'!$M$13</definedName>
    <definedName name="A7taxremlife">'[1]PTRM input'!$O$13</definedName>
    <definedName name="A7taxstdlife">'[1]PTRM input'!$P$13</definedName>
    <definedName name="A7taxvalue">'[1]PTRM input'!$N$13</definedName>
    <definedName name="A7value">'[1]PTRM input'!$J$13</definedName>
    <definedName name="A8remlife">'[1]PTRM input'!$L$14</definedName>
    <definedName name="A8stdlife">'[1]PTRM input'!$M$14</definedName>
    <definedName name="A8taxremlife">'[1]PTRM input'!$O$14</definedName>
    <definedName name="A8taxstdlife">'[1]PTRM input'!$P$14</definedName>
    <definedName name="A8taxvalue">'[1]PTRM input'!$N$14</definedName>
    <definedName name="A8value">'[1]PTRM input'!$J$14</definedName>
    <definedName name="A9remlife">'[1]PTRM input'!$L$15</definedName>
    <definedName name="A9stdlife">'[1]PTRM input'!$M$15</definedName>
    <definedName name="A9taxremlife">'[1]PTRM input'!$O$15</definedName>
    <definedName name="A9taxstdlife">'[1]PTRM input'!$P$15</definedName>
    <definedName name="A9taxvalue">'[1]PTRM input'!$N$15</definedName>
    <definedName name="A9value">'[1]PTRM input'!$J$15</definedName>
    <definedName name="Asset1">'[1]PTRM input'!$G$7</definedName>
    <definedName name="Asset10">'[1]PTRM input'!$G$16</definedName>
    <definedName name="Asset11">'[1]PTRM input'!$G$17</definedName>
    <definedName name="Asset12">'[1]PTRM input'!$G$18</definedName>
    <definedName name="Asset13">'[1]PTRM input'!$G$19</definedName>
    <definedName name="Asset14">'[1]PTRM input'!$G$20</definedName>
    <definedName name="Asset15">'[1]PTRM input'!$G$21</definedName>
    <definedName name="Asset16">'[1]PTRM input'!$G$22</definedName>
    <definedName name="Asset17">'[1]PTRM input'!$G$23</definedName>
    <definedName name="Asset18">'[1]PTRM input'!$G$24</definedName>
    <definedName name="Asset19">'[1]PTRM input'!$G$25</definedName>
    <definedName name="Asset2">'[1]PTRM input'!$G$8</definedName>
    <definedName name="Asset20">'[1]PTRM input'!$G$26</definedName>
    <definedName name="Asset21">'[1]PTRM input'!$G$27</definedName>
    <definedName name="Asset22">'[1]PTRM input'!$G$28</definedName>
    <definedName name="Asset23">'[1]PTRM input'!$G$29</definedName>
    <definedName name="Asset24">'[1]PTRM input'!$G$30</definedName>
    <definedName name="Asset25">'[1]PTRM input'!$G$31</definedName>
    <definedName name="Asset26">'[1]PTRM input'!$G$32</definedName>
    <definedName name="Asset27">'[1]PTRM input'!$G$33</definedName>
    <definedName name="Asset28">'[1]PTRM input'!$G$34</definedName>
    <definedName name="Asset29">'[1]PTRM input'!$G$35</definedName>
    <definedName name="Asset3">'[1]PTRM input'!$G$9</definedName>
    <definedName name="Asset30">'[1]PTRM input'!$G$36</definedName>
    <definedName name="Asset4">'[1]PTRM input'!$G$10</definedName>
    <definedName name="Asset5">'[1]PTRM input'!$G$11</definedName>
    <definedName name="Asset6">'[1]PTRM input'!$G$12</definedName>
    <definedName name="Asset7">'[1]PTRM input'!$G$13</definedName>
    <definedName name="Asset8">'[1]PTRM input'!$G$14</definedName>
    <definedName name="Asset9">'[1]PTRM input'!$G$15</definedName>
    <definedName name="Drc">'[1]PTRM input'!$G$233</definedName>
    <definedName name="Drpc">'[1]PTRM input'!$G$231</definedName>
    <definedName name="Drpt">'[1]PTRM input'!$G$232</definedName>
    <definedName name="Dv">'[1]PTRM input'!$G$219</definedName>
    <definedName name="ERC_Final_Calc">'[1]Equity raising costs'!$Q$54</definedName>
    <definedName name="ERC_Yr01_Inc">'[1]PTRM input'!$G$70</definedName>
    <definedName name="f">'[1]PTRM input'!$G$216</definedName>
    <definedName name="g">'[1]PTRM input'!$G$218</definedName>
    <definedName name="Icpr">'[1]PTRM input'!$G$229</definedName>
    <definedName name="P_0_RevCap">'[1]X factors'!$G$63</definedName>
    <definedName name="P_0_RevYld">'[1]X factors'!$G$83</definedName>
    <definedName name="P_0_WAPC">'[1]X factors'!$G$47</definedName>
    <definedName name="_xlnm.Print_Area" localSheetId="4">'Data 2009-12'!$A$1:$L$125</definedName>
    <definedName name="RAB">'[1]PTRM input'!$J$37</definedName>
    <definedName name="rvanilla01">[1]WACC!$G$19</definedName>
    <definedName name="rvanilla02">[1]WACC!$H$19</definedName>
    <definedName name="rvanilla03">[1]WACC!$I$19</definedName>
    <definedName name="rvanilla04">[1]WACC!$J$19</definedName>
    <definedName name="rvanilla05">[1]WACC!$K$19</definedName>
    <definedName name="rvanilla06">[1]WACC!$L$19</definedName>
    <definedName name="rvanilla07">[1]WACC!$M$19</definedName>
    <definedName name="rvanilla08">[1]WACC!$N$19</definedName>
    <definedName name="rvanilla09">[1]WACC!$O$19</definedName>
    <definedName name="rvanilla10">[1]WACC!$P$19</definedName>
    <definedName name="Seo">'[1]PTRM input'!$G$230</definedName>
    <definedName name="vanilla01">[1]WACC!$G$18</definedName>
    <definedName name="vanilla02">[1]WACC!$H$18</definedName>
    <definedName name="vanilla03">[1]WACC!$I$18</definedName>
    <definedName name="vanilla04">[1]WACC!$J$18</definedName>
    <definedName name="vanilla05">[1]WACC!$K$18</definedName>
    <definedName name="vanilla06">[1]WACC!$L$18</definedName>
    <definedName name="vanilla07">[1]WACC!$M$18</definedName>
    <definedName name="vanilla08">[1]WACC!$N$18</definedName>
    <definedName name="vanilla09">[1]WACC!$O$18</definedName>
    <definedName name="vanilla10">[1]WACC!$P$18</definedName>
    <definedName name="X_02_RevCap">'[1]X factors'!$H$63</definedName>
    <definedName name="X_02_RevYld">'[1]X factors'!$H$83</definedName>
    <definedName name="X_02_WAPC">'[1]X factors'!$H$47</definedName>
    <definedName name="X_03_RevCap">'[1]X factors'!$I$63</definedName>
    <definedName name="X_03_RevYld">'[1]X factors'!$I$83</definedName>
    <definedName name="X_03_WAPC">'[1]X factors'!$I$47</definedName>
    <definedName name="X_04_RevCap">'[1]X factors'!$J$63</definedName>
    <definedName name="X_04_RevYld">'[1]X factors'!$J$83</definedName>
    <definedName name="X_04_WAPC">'[1]X factors'!$J$47</definedName>
    <definedName name="X_05_RevCap">'[1]X factors'!$K$63</definedName>
    <definedName name="X_05_RevYld">'[1]X factors'!$K$83</definedName>
    <definedName name="X_05_WAPC">'[1]X factors'!$K$47</definedName>
    <definedName name="X_06_RevCap">'[1]X factors'!$L$63</definedName>
    <definedName name="X_06_RevYld">'[1]X factors'!$L$83</definedName>
    <definedName name="X_06_WAPC">'[1]X factors'!$L$47</definedName>
    <definedName name="X_07_RevCap">'[1]X factors'!$M$63</definedName>
    <definedName name="X_07_RevYld">'[1]X factors'!$M$83</definedName>
    <definedName name="X_07_WAPC">'[1]X factors'!$M$47</definedName>
    <definedName name="X_08_RevCap">'[1]X factors'!$N$63</definedName>
    <definedName name="X_08_RevYld">'[1]X factors'!$N$83</definedName>
    <definedName name="X_08_WAPC">'[1]X factors'!$N$47</definedName>
    <definedName name="X_09_RevCap">'[1]X factors'!$O$63</definedName>
    <definedName name="X_09_RevYld">'[1]X factors'!$O$83</definedName>
    <definedName name="X_09_WAPC">'[1]X factors'!$O$47</definedName>
    <definedName name="X_10_RevCap">'[1]X factors'!$P$63</definedName>
    <definedName name="X_10_RevYld">'[1]X factors'!$P$83</definedName>
    <definedName name="X_10_WAPC">'[1]X factors'!$P$47</definedName>
  </definedNames>
  <calcPr calcId="145621" calcMode="autoNoTable"/>
</workbook>
</file>

<file path=xl/calcChain.xml><?xml version="1.0" encoding="utf-8"?>
<calcChain xmlns="http://schemas.openxmlformats.org/spreadsheetml/2006/main">
  <c r="D8" i="20" l="1"/>
  <c r="D7" i="20"/>
  <c r="D6" i="20"/>
  <c r="D5" i="20"/>
  <c r="I14" i="20"/>
  <c r="I15" i="20"/>
  <c r="J16" i="16"/>
  <c r="L17" i="16"/>
  <c r="D14" i="4"/>
  <c r="D61" i="12"/>
  <c r="D184" i="12"/>
  <c r="B239" i="12"/>
  <c r="D239" i="12"/>
  <c r="D246" i="12"/>
  <c r="D64" i="12"/>
  <c r="D65" i="12"/>
  <c r="E60" i="12"/>
  <c r="E14" i="4"/>
  <c r="E61" i="12"/>
  <c r="E239" i="12"/>
  <c r="E184" i="12"/>
  <c r="B240" i="12"/>
  <c r="E240" i="12"/>
  <c r="E246" i="12"/>
  <c r="E64" i="12"/>
  <c r="E65" i="12"/>
  <c r="F60" i="12"/>
  <c r="F14" i="4"/>
  <c r="F61" i="12"/>
  <c r="F239" i="12"/>
  <c r="F240" i="12"/>
  <c r="F184" i="12"/>
  <c r="B241" i="12"/>
  <c r="F241" i="12"/>
  <c r="F246" i="12"/>
  <c r="F64" i="12"/>
  <c r="F65" i="12"/>
  <c r="G60" i="12"/>
  <c r="G14" i="4"/>
  <c r="G61" i="12"/>
  <c r="G239" i="12"/>
  <c r="G240" i="12"/>
  <c r="G241" i="12"/>
  <c r="G184" i="12"/>
  <c r="B242" i="12"/>
  <c r="G242" i="12"/>
  <c r="G246" i="12"/>
  <c r="G64" i="12"/>
  <c r="G65" i="12"/>
  <c r="H60" i="12"/>
  <c r="H14" i="4"/>
  <c r="H61" i="12"/>
  <c r="H239" i="12"/>
  <c r="H240" i="12"/>
  <c r="H241" i="12"/>
  <c r="H242" i="12"/>
  <c r="H184" i="12"/>
  <c r="B243" i="12"/>
  <c r="H243" i="12"/>
  <c r="H246" i="12"/>
  <c r="H64" i="12"/>
  <c r="H65" i="12"/>
  <c r="I60" i="12"/>
  <c r="I14" i="4"/>
  <c r="I61" i="12"/>
  <c r="I239" i="12"/>
  <c r="I240" i="12"/>
  <c r="I241" i="12"/>
  <c r="I242" i="12"/>
  <c r="I243" i="12"/>
  <c r="I184" i="12"/>
  <c r="B244" i="12"/>
  <c r="I244" i="12"/>
  <c r="I246" i="12"/>
  <c r="I64" i="12"/>
  <c r="I65" i="12"/>
  <c r="J60" i="12"/>
  <c r="J239" i="12"/>
  <c r="J240" i="12"/>
  <c r="J241" i="12"/>
  <c r="J242" i="12"/>
  <c r="J243" i="12"/>
  <c r="J244" i="12"/>
  <c r="J14" i="4"/>
  <c r="J184" i="12"/>
  <c r="B245" i="12"/>
  <c r="J245" i="12"/>
  <c r="J246" i="12"/>
  <c r="J64" i="12"/>
  <c r="J61" i="12"/>
  <c r="J65" i="12"/>
  <c r="K60" i="12"/>
  <c r="B7" i="20"/>
  <c r="D13" i="4"/>
  <c r="D51" i="12"/>
  <c r="D183" i="12"/>
  <c r="B227" i="12"/>
  <c r="D227" i="12"/>
  <c r="D234" i="12"/>
  <c r="D54" i="12"/>
  <c r="D55" i="12"/>
  <c r="E50" i="12"/>
  <c r="E13" i="4"/>
  <c r="E51" i="12"/>
  <c r="E227" i="12"/>
  <c r="E183" i="12"/>
  <c r="B228" i="12"/>
  <c r="E228" i="12"/>
  <c r="E234" i="12"/>
  <c r="E54" i="12"/>
  <c r="E55" i="12"/>
  <c r="F50" i="12"/>
  <c r="F13" i="4"/>
  <c r="F51" i="12"/>
  <c r="F227" i="12"/>
  <c r="F228" i="12"/>
  <c r="F183" i="12"/>
  <c r="B229" i="12"/>
  <c r="F229" i="12"/>
  <c r="F234" i="12"/>
  <c r="F54" i="12"/>
  <c r="F55" i="12"/>
  <c r="G50" i="12"/>
  <c r="G13" i="4"/>
  <c r="G51" i="12"/>
  <c r="G227" i="12"/>
  <c r="G228" i="12"/>
  <c r="G229" i="12"/>
  <c r="G183" i="12"/>
  <c r="B230" i="12"/>
  <c r="G230" i="12"/>
  <c r="G234" i="12"/>
  <c r="G54" i="12"/>
  <c r="G55" i="12"/>
  <c r="H50" i="12"/>
  <c r="H13" i="4"/>
  <c r="H51" i="12"/>
  <c r="H227" i="12"/>
  <c r="H228" i="12"/>
  <c r="H229" i="12"/>
  <c r="H230" i="12"/>
  <c r="H183" i="12"/>
  <c r="B231" i="12"/>
  <c r="H231" i="12"/>
  <c r="H234" i="12"/>
  <c r="H54" i="12"/>
  <c r="H55" i="12"/>
  <c r="I50" i="12"/>
  <c r="I13" i="4"/>
  <c r="I51" i="12"/>
  <c r="I227" i="12"/>
  <c r="I228" i="12"/>
  <c r="I229" i="12"/>
  <c r="I230" i="12"/>
  <c r="I231" i="12"/>
  <c r="I183" i="12"/>
  <c r="B232" i="12"/>
  <c r="I232" i="12"/>
  <c r="I234" i="12"/>
  <c r="I54" i="12"/>
  <c r="I55" i="12"/>
  <c r="J50" i="12"/>
  <c r="J227" i="12"/>
  <c r="J228" i="12"/>
  <c r="J229" i="12"/>
  <c r="J230" i="12"/>
  <c r="J231" i="12"/>
  <c r="J232" i="12"/>
  <c r="J13" i="4"/>
  <c r="J183" i="12"/>
  <c r="B233" i="12"/>
  <c r="J233" i="12"/>
  <c r="J234" i="12"/>
  <c r="J54" i="12"/>
  <c r="J51" i="12"/>
  <c r="J55" i="12"/>
  <c r="K50" i="12"/>
  <c r="B6" i="20"/>
  <c r="J12" i="4"/>
  <c r="J41" i="12"/>
  <c r="J182" i="12"/>
  <c r="B221" i="12"/>
  <c r="J221" i="12"/>
  <c r="I12" i="4"/>
  <c r="I182" i="12"/>
  <c r="B220" i="12"/>
  <c r="I220" i="12"/>
  <c r="J220" i="12"/>
  <c r="J222" i="12"/>
  <c r="J44" i="12"/>
  <c r="I41" i="12"/>
  <c r="I222" i="12"/>
  <c r="I44" i="12"/>
  <c r="I45" i="12"/>
  <c r="J40" i="12"/>
  <c r="J45" i="12"/>
  <c r="K40" i="12"/>
  <c r="I10" i="4"/>
  <c r="I21" i="12"/>
  <c r="I180" i="12"/>
  <c r="B196" i="12"/>
  <c r="I196" i="12"/>
  <c r="I198" i="12"/>
  <c r="I24" i="12"/>
  <c r="I25" i="12"/>
  <c r="J20" i="12"/>
  <c r="J10" i="4"/>
  <c r="J21" i="12"/>
  <c r="J196" i="12"/>
  <c r="J180" i="12"/>
  <c r="B197" i="12"/>
  <c r="J197" i="12"/>
  <c r="J198" i="12"/>
  <c r="J24" i="12"/>
  <c r="J25" i="12"/>
  <c r="K20" i="12"/>
  <c r="I11" i="4"/>
  <c r="I31" i="12"/>
  <c r="I181" i="12"/>
  <c r="B208" i="12"/>
  <c r="I208" i="12"/>
  <c r="I210" i="12"/>
  <c r="I34" i="12"/>
  <c r="I35" i="12"/>
  <c r="J30" i="12"/>
  <c r="J11" i="4"/>
  <c r="J31" i="12"/>
  <c r="J208" i="12"/>
  <c r="J181" i="12"/>
  <c r="B209" i="12"/>
  <c r="J209" i="12"/>
  <c r="J210" i="12"/>
  <c r="J34" i="12"/>
  <c r="J35" i="12"/>
  <c r="K30" i="12"/>
  <c r="B5" i="20"/>
  <c r="N153" i="4"/>
  <c r="J144" i="4"/>
  <c r="H14" i="20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J15" i="4"/>
  <c r="J185" i="12"/>
  <c r="B257" i="12"/>
  <c r="D77" i="20"/>
  <c r="I15" i="4"/>
  <c r="I185" i="12"/>
  <c r="B256" i="12"/>
  <c r="D76" i="20"/>
  <c r="D75" i="20"/>
  <c r="D74" i="20"/>
  <c r="D73" i="20"/>
  <c r="D72" i="20"/>
  <c r="D71" i="20"/>
  <c r="D33" i="20"/>
  <c r="D32" i="20"/>
  <c r="D31" i="20"/>
  <c r="D30" i="20"/>
  <c r="D29" i="20"/>
  <c r="I71" i="12"/>
  <c r="I256" i="12"/>
  <c r="I258" i="12"/>
  <c r="I74" i="12"/>
  <c r="I75" i="12"/>
  <c r="J70" i="12"/>
  <c r="J71" i="12"/>
  <c r="J256" i="12"/>
  <c r="J257" i="12"/>
  <c r="J258" i="12"/>
  <c r="J74" i="12"/>
  <c r="J75" i="12"/>
  <c r="K70" i="12"/>
  <c r="B8" i="20"/>
  <c r="A8" i="20"/>
  <c r="A67" i="20"/>
  <c r="A7" i="20"/>
  <c r="A53" i="20"/>
  <c r="A6" i="20"/>
  <c r="A39" i="20"/>
  <c r="A5" i="20"/>
  <c r="A25" i="20"/>
  <c r="B4" i="20"/>
  <c r="C76" i="20"/>
  <c r="C75" i="20"/>
  <c r="C74" i="20"/>
  <c r="C73" i="20"/>
  <c r="C72" i="20"/>
  <c r="C71" i="20"/>
  <c r="B72" i="20"/>
  <c r="B73" i="20"/>
  <c r="B74" i="20"/>
  <c r="B75" i="20"/>
  <c r="B76" i="20"/>
  <c r="B77" i="20"/>
  <c r="C62" i="20"/>
  <c r="C61" i="20"/>
  <c r="C60" i="20"/>
  <c r="C59" i="20"/>
  <c r="C58" i="20"/>
  <c r="C57" i="20"/>
  <c r="B58" i="20"/>
  <c r="B59" i="20"/>
  <c r="B60" i="20"/>
  <c r="B61" i="20"/>
  <c r="B62" i="20"/>
  <c r="B63" i="20"/>
  <c r="C48" i="20"/>
  <c r="C47" i="20"/>
  <c r="C46" i="20"/>
  <c r="C45" i="20"/>
  <c r="C44" i="20"/>
  <c r="C43" i="20"/>
  <c r="B44" i="20"/>
  <c r="B45" i="20"/>
  <c r="B46" i="20"/>
  <c r="B47" i="20"/>
  <c r="B48" i="20"/>
  <c r="B49" i="20"/>
  <c r="C34" i="20"/>
  <c r="C33" i="20"/>
  <c r="C32" i="20"/>
  <c r="C31" i="20"/>
  <c r="C30" i="20"/>
  <c r="C29" i="20"/>
  <c r="B30" i="20"/>
  <c r="B31" i="20"/>
  <c r="B32" i="20"/>
  <c r="B33" i="20"/>
  <c r="B34" i="20"/>
  <c r="B35" i="20"/>
  <c r="B15" i="20"/>
  <c r="C15" i="20"/>
  <c r="D15" i="20"/>
  <c r="E15" i="20"/>
  <c r="F15" i="20"/>
  <c r="G15" i="20"/>
  <c r="B68" i="20"/>
  <c r="B54" i="20"/>
  <c r="B40" i="20"/>
  <c r="B26" i="20"/>
  <c r="H15" i="20"/>
  <c r="F31" i="20"/>
  <c r="E31" i="20"/>
  <c r="F35" i="20"/>
  <c r="F34" i="20"/>
  <c r="F30" i="20"/>
  <c r="E30" i="20"/>
  <c r="F33" i="20"/>
  <c r="E33" i="20"/>
  <c r="F29" i="20"/>
  <c r="E29" i="20"/>
  <c r="F32" i="20"/>
  <c r="E32" i="20"/>
  <c r="F47" i="20"/>
  <c r="F43" i="20"/>
  <c r="F46" i="20"/>
  <c r="F45" i="20"/>
  <c r="F49" i="20"/>
  <c r="F48" i="20"/>
  <c r="F44" i="20"/>
  <c r="F75" i="20"/>
  <c r="E75" i="20"/>
  <c r="F71" i="20"/>
  <c r="F74" i="20"/>
  <c r="E74" i="20"/>
  <c r="F73" i="20"/>
  <c r="E73" i="20"/>
  <c r="F77" i="20"/>
  <c r="E77" i="20"/>
  <c r="F76" i="20"/>
  <c r="E76" i="20"/>
  <c r="F72" i="20"/>
  <c r="E72" i="20"/>
  <c r="F59" i="20"/>
  <c r="F63" i="20"/>
  <c r="F62" i="20"/>
  <c r="F58" i="20"/>
  <c r="F61" i="20"/>
  <c r="F57" i="20"/>
  <c r="F60" i="20"/>
  <c r="I144" i="4"/>
  <c r="E71" i="20"/>
  <c r="E78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78" i="20"/>
  <c r="F78" i="20"/>
  <c r="F8" i="20"/>
  <c r="J8" i="20"/>
  <c r="G55" i="4"/>
  <c r="G48" i="4"/>
  <c r="G47" i="4"/>
  <c r="G46" i="4"/>
  <c r="G45" i="4"/>
  <c r="G44" i="4"/>
  <c r="G43" i="4"/>
  <c r="G40" i="4"/>
  <c r="G39" i="4"/>
  <c r="G38" i="4"/>
  <c r="G37" i="4"/>
  <c r="G36" i="4"/>
  <c r="G35" i="4"/>
  <c r="G34" i="4"/>
  <c r="G23" i="4"/>
  <c r="G15" i="4"/>
  <c r="G12" i="4"/>
  <c r="G11" i="4"/>
  <c r="G10" i="4"/>
  <c r="G60" i="4"/>
  <c r="H60" i="4"/>
  <c r="H8" i="14"/>
  <c r="I102" i="4"/>
  <c r="I101" i="4"/>
  <c r="I100" i="4"/>
  <c r="I99" i="4"/>
  <c r="I98" i="4"/>
  <c r="N152" i="4"/>
  <c r="N151" i="4"/>
  <c r="H144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G8" i="14"/>
  <c r="F60" i="4"/>
  <c r="G102" i="4"/>
  <c r="G101" i="4"/>
  <c r="G100" i="4"/>
  <c r="G99" i="4"/>
  <c r="G98" i="4"/>
  <c r="N147" i="4"/>
  <c r="G144" i="4"/>
  <c r="E40" i="4"/>
  <c r="E60" i="4"/>
  <c r="F8" i="14"/>
  <c r="I26" i="16"/>
  <c r="H24" i="16"/>
  <c r="G41" i="12"/>
  <c r="G26" i="4"/>
  <c r="G31" i="12"/>
  <c r="Q116" i="4"/>
  <c r="N74" i="14"/>
  <c r="O116" i="4"/>
  <c r="J116" i="4"/>
  <c r="H74" i="14"/>
  <c r="G74" i="14"/>
  <c r="Q115" i="4"/>
  <c r="N73" i="14"/>
  <c r="P115" i="4"/>
  <c r="M73" i="14"/>
  <c r="J115" i="4"/>
  <c r="H73" i="14"/>
  <c r="G73" i="14"/>
  <c r="Q114" i="4"/>
  <c r="N72" i="14"/>
  <c r="O114" i="4"/>
  <c r="J114" i="4"/>
  <c r="H72" i="14"/>
  <c r="G72" i="14"/>
  <c r="P113" i="4"/>
  <c r="M71" i="14"/>
  <c r="O113" i="4"/>
  <c r="J113" i="4"/>
  <c r="H71" i="14"/>
  <c r="G71" i="14"/>
  <c r="Q112" i="4"/>
  <c r="N70" i="14"/>
  <c r="P112" i="4"/>
  <c r="M70" i="14"/>
  <c r="O112" i="4"/>
  <c r="J112" i="4"/>
  <c r="H70" i="14"/>
  <c r="G70" i="14"/>
  <c r="Q111" i="4"/>
  <c r="N69" i="14"/>
  <c r="P111" i="4"/>
  <c r="M69" i="14"/>
  <c r="O111" i="4"/>
  <c r="J111" i="4"/>
  <c r="H69" i="14"/>
  <c r="Q110" i="4"/>
  <c r="N68" i="14"/>
  <c r="P110" i="4"/>
  <c r="M68" i="14"/>
  <c r="O110" i="4"/>
  <c r="G68" i="14"/>
  <c r="Q109" i="4"/>
  <c r="N67" i="14"/>
  <c r="P109" i="4"/>
  <c r="M67" i="14"/>
  <c r="O109" i="4"/>
  <c r="J109" i="4"/>
  <c r="H67" i="14"/>
  <c r="G67" i="14"/>
  <c r="Q108" i="4"/>
  <c r="N66" i="14"/>
  <c r="P108" i="4"/>
  <c r="M66" i="14"/>
  <c r="J108" i="4"/>
  <c r="H66" i="14"/>
  <c r="G66" i="14"/>
  <c r="Q107" i="4"/>
  <c r="N65" i="14"/>
  <c r="P107" i="4"/>
  <c r="M65" i="14"/>
  <c r="J107" i="4"/>
  <c r="H65" i="14"/>
  <c r="G65" i="14"/>
  <c r="Q106" i="4"/>
  <c r="N64" i="14"/>
  <c r="O106" i="4"/>
  <c r="J106" i="4"/>
  <c r="H64" i="14"/>
  <c r="G64" i="14"/>
  <c r="Q97" i="4"/>
  <c r="N55" i="14"/>
  <c r="P97" i="4"/>
  <c r="M55" i="14"/>
  <c r="O97" i="4"/>
  <c r="J97" i="4"/>
  <c r="H55" i="14"/>
  <c r="G55" i="14"/>
  <c r="Q96" i="4"/>
  <c r="N54" i="14"/>
  <c r="P96" i="4"/>
  <c r="M54" i="14"/>
  <c r="O96" i="4"/>
  <c r="J96" i="4"/>
  <c r="H54" i="14"/>
  <c r="Q95" i="4"/>
  <c r="N53" i="14"/>
  <c r="P95" i="4"/>
  <c r="M53" i="14"/>
  <c r="O95" i="4"/>
  <c r="G53" i="14"/>
  <c r="Q94" i="4"/>
  <c r="N52" i="14"/>
  <c r="P94" i="4"/>
  <c r="M52" i="14"/>
  <c r="O94" i="4"/>
  <c r="J94" i="4"/>
  <c r="H52" i="14"/>
  <c r="G52" i="14"/>
  <c r="Q93" i="4"/>
  <c r="N51" i="14"/>
  <c r="P93" i="4"/>
  <c r="M51" i="14"/>
  <c r="O93" i="4"/>
  <c r="J93" i="4"/>
  <c r="H51" i="14"/>
  <c r="G51" i="14"/>
  <c r="Q92" i="4"/>
  <c r="N50" i="14"/>
  <c r="P92" i="4"/>
  <c r="M50" i="14"/>
  <c r="J92" i="4"/>
  <c r="H50" i="14"/>
  <c r="G50" i="14"/>
  <c r="Q88" i="4"/>
  <c r="N46" i="14"/>
  <c r="P88" i="4"/>
  <c r="M46" i="14"/>
  <c r="J88" i="4"/>
  <c r="H46" i="14"/>
  <c r="G46" i="14"/>
  <c r="Q87" i="4"/>
  <c r="N45" i="14"/>
  <c r="P87" i="4"/>
  <c r="M45" i="14"/>
  <c r="O87" i="4"/>
  <c r="J87" i="4"/>
  <c r="H45" i="14"/>
  <c r="G45" i="14"/>
  <c r="Q86" i="4"/>
  <c r="N44" i="14"/>
  <c r="P86" i="4"/>
  <c r="M44" i="14"/>
  <c r="J86" i="4"/>
  <c r="H44" i="14"/>
  <c r="G44" i="14"/>
  <c r="Q85" i="4"/>
  <c r="N43" i="14"/>
  <c r="O85" i="4"/>
  <c r="J85" i="4"/>
  <c r="H43" i="14"/>
  <c r="G43" i="14"/>
  <c r="P84" i="4"/>
  <c r="M42" i="14"/>
  <c r="O84" i="4"/>
  <c r="J84" i="4"/>
  <c r="H42" i="14"/>
  <c r="G42" i="14"/>
  <c r="Q83" i="4"/>
  <c r="N41" i="14"/>
  <c r="P83" i="4"/>
  <c r="M41" i="14"/>
  <c r="O83" i="4"/>
  <c r="J83" i="4"/>
  <c r="H41" i="14"/>
  <c r="G41" i="14"/>
  <c r="Q82" i="4"/>
  <c r="N40" i="14"/>
  <c r="P82" i="4"/>
  <c r="M40" i="14"/>
  <c r="O82" i="4"/>
  <c r="J82" i="4"/>
  <c r="H40" i="14"/>
  <c r="P78" i="4"/>
  <c r="M36" i="14"/>
  <c r="O78" i="4"/>
  <c r="J78" i="4"/>
  <c r="H36" i="14"/>
  <c r="G36" i="14"/>
  <c r="Q77" i="4"/>
  <c r="N35" i="14"/>
  <c r="P77" i="4"/>
  <c r="M35" i="14"/>
  <c r="O77" i="4"/>
  <c r="G35" i="14"/>
  <c r="Q76" i="4"/>
  <c r="N34" i="14"/>
  <c r="P76" i="4"/>
  <c r="M34" i="14"/>
  <c r="O76" i="4"/>
  <c r="J76" i="4"/>
  <c r="H34" i="14"/>
  <c r="Q75" i="4"/>
  <c r="N33" i="14"/>
  <c r="P75" i="4"/>
  <c r="M33" i="14"/>
  <c r="O75" i="4"/>
  <c r="G33" i="14"/>
  <c r="Q74" i="4"/>
  <c r="N32" i="14"/>
  <c r="P74" i="4"/>
  <c r="M32" i="14"/>
  <c r="J74" i="4"/>
  <c r="H32" i="14"/>
  <c r="G32" i="14"/>
  <c r="Q73" i="4"/>
  <c r="N31" i="14"/>
  <c r="P73" i="4"/>
  <c r="M31" i="14"/>
  <c r="O73" i="4"/>
  <c r="J73" i="4"/>
  <c r="H31" i="14"/>
  <c r="G31" i="14"/>
  <c r="Q72" i="4"/>
  <c r="N30" i="14"/>
  <c r="P72" i="4"/>
  <c r="M30" i="14"/>
  <c r="J72" i="4"/>
  <c r="H30" i="14"/>
  <c r="G30" i="14"/>
  <c r="F63" i="12"/>
  <c r="E63" i="12"/>
  <c r="G53" i="12"/>
  <c r="F53" i="12"/>
  <c r="E43" i="12"/>
  <c r="G72" i="12"/>
  <c r="E62" i="12"/>
  <c r="G32" i="12"/>
  <c r="F32" i="12"/>
  <c r="E22" i="12"/>
  <c r="Q78" i="4"/>
  <c r="N36" i="14"/>
  <c r="O72" i="4"/>
  <c r="O88" i="4"/>
  <c r="O86" i="4"/>
  <c r="P85" i="4"/>
  <c r="M43" i="14"/>
  <c r="Q84" i="4"/>
  <c r="N42" i="14"/>
  <c r="O115" i="4"/>
  <c r="Q113" i="4"/>
  <c r="N71" i="14"/>
  <c r="O108" i="4"/>
  <c r="O107" i="4"/>
  <c r="P106" i="4"/>
  <c r="M64" i="14"/>
  <c r="G54" i="14"/>
  <c r="J95" i="4"/>
  <c r="H53" i="14"/>
  <c r="J110" i="4"/>
  <c r="H68" i="14"/>
  <c r="G40" i="14"/>
  <c r="A27" i="6"/>
  <c r="D40" i="6"/>
  <c r="D63" i="6"/>
  <c r="E63" i="6"/>
  <c r="E278" i="6"/>
  <c r="F63" i="6"/>
  <c r="F71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/>
  <c r="D74" i="6"/>
  <c r="D76" i="6"/>
  <c r="D104" i="6"/>
  <c r="D106" i="6"/>
  <c r="E104" i="6"/>
  <c r="E106" i="6"/>
  <c r="F104" i="6"/>
  <c r="F106" i="6"/>
  <c r="G104" i="6"/>
  <c r="H104" i="6"/>
  <c r="D105" i="6"/>
  <c r="E105" i="6"/>
  <c r="E196" i="3"/>
  <c r="F105" i="6"/>
  <c r="G105" i="6"/>
  <c r="H105" i="6"/>
  <c r="H106" i="6"/>
  <c r="D109" i="6"/>
  <c r="E109" i="6"/>
  <c r="F109" i="6"/>
  <c r="G109" i="6"/>
  <c r="H109" i="6"/>
  <c r="D111" i="6"/>
  <c r="E111" i="6"/>
  <c r="E197" i="3"/>
  <c r="F111" i="6"/>
  <c r="F197" i="3"/>
  <c r="G111" i="6"/>
  <c r="H111" i="6"/>
  <c r="D122" i="6"/>
  <c r="E122" i="6"/>
  <c r="F122" i="6"/>
  <c r="G122" i="6"/>
  <c r="G263" i="6"/>
  <c r="H122" i="6"/>
  <c r="D123" i="6"/>
  <c r="E123" i="6"/>
  <c r="F123" i="6"/>
  <c r="F150" i="6"/>
  <c r="G123" i="6"/>
  <c r="H123" i="6"/>
  <c r="D125" i="6"/>
  <c r="D127" i="6"/>
  <c r="E127" i="6"/>
  <c r="E160" i="6"/>
  <c r="F127" i="6"/>
  <c r="F160" i="6"/>
  <c r="G127" i="6"/>
  <c r="H127" i="6"/>
  <c r="H232" i="6"/>
  <c r="D128" i="6"/>
  <c r="E128" i="6"/>
  <c r="E170" i="6"/>
  <c r="F128" i="6"/>
  <c r="G128" i="6"/>
  <c r="H128" i="6"/>
  <c r="D140" i="6"/>
  <c r="H208" i="6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/>
  <c r="D218" i="6"/>
  <c r="D225" i="6"/>
  <c r="D152" i="6"/>
  <c r="D153" i="6"/>
  <c r="F218" i="6"/>
  <c r="C219" i="6"/>
  <c r="C220" i="6"/>
  <c r="H220" i="6"/>
  <c r="C221" i="6"/>
  <c r="C222" i="6"/>
  <c r="H222" i="6"/>
  <c r="C228" i="6"/>
  <c r="C229" i="6"/>
  <c r="E229" i="6"/>
  <c r="F229" i="6"/>
  <c r="G229" i="6"/>
  <c r="H229" i="6"/>
  <c r="C230" i="6"/>
  <c r="H230" i="6"/>
  <c r="F230" i="6"/>
  <c r="G230" i="6"/>
  <c r="C231" i="6"/>
  <c r="C232" i="6"/>
  <c r="C238" i="6"/>
  <c r="C239" i="6"/>
  <c r="E239" i="6"/>
  <c r="F239" i="6"/>
  <c r="C240" i="6"/>
  <c r="F240" i="6"/>
  <c r="C241" i="6"/>
  <c r="H241" i="6"/>
  <c r="C242" i="6"/>
  <c r="H242" i="6"/>
  <c r="D255" i="6"/>
  <c r="D256" i="6"/>
  <c r="D257" i="6"/>
  <c r="D258" i="6"/>
  <c r="D263" i="6"/>
  <c r="D267" i="6"/>
  <c r="E267" i="6"/>
  <c r="F267" i="6"/>
  <c r="F274" i="6"/>
  <c r="F262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/>
  <c r="E271" i="6"/>
  <c r="F271" i="6"/>
  <c r="G271" i="6"/>
  <c r="H271" i="6"/>
  <c r="D272" i="6"/>
  <c r="E272" i="6"/>
  <c r="F272" i="6"/>
  <c r="G272" i="6"/>
  <c r="G274" i="6"/>
  <c r="G262" i="6"/>
  <c r="G261" i="6"/>
  <c r="H272" i="6"/>
  <c r="D273" i="6"/>
  <c r="E273" i="6"/>
  <c r="F273" i="6"/>
  <c r="G273" i="6"/>
  <c r="H273" i="6"/>
  <c r="D278" i="6"/>
  <c r="D302" i="6"/>
  <c r="D301" i="6"/>
  <c r="D303" i="6"/>
  <c r="E300" i="6"/>
  <c r="D306" i="6"/>
  <c r="J356" i="6"/>
  <c r="K356" i="6"/>
  <c r="L356" i="6"/>
  <c r="M356" i="6"/>
  <c r="N356" i="6"/>
  <c r="H110" i="6"/>
  <c r="J358" i="6"/>
  <c r="K358" i="6"/>
  <c r="L358" i="6"/>
  <c r="F228" i="3"/>
  <c r="F192" i="3"/>
  <c r="M358" i="6"/>
  <c r="N358" i="6"/>
  <c r="J359" i="6"/>
  <c r="K359" i="6"/>
  <c r="L359" i="6"/>
  <c r="M359" i="6"/>
  <c r="N359" i="6"/>
  <c r="J360" i="6"/>
  <c r="D228" i="3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/>
  <c r="D386" i="6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/>
  <c r="L388" i="6"/>
  <c r="M388" i="6"/>
  <c r="N388" i="6"/>
  <c r="D391" i="6"/>
  <c r="D417" i="6"/>
  <c r="D392" i="6"/>
  <c r="D393" i="6"/>
  <c r="E393" i="6"/>
  <c r="D394" i="6"/>
  <c r="J395" i="6"/>
  <c r="K395" i="6"/>
  <c r="L395" i="6"/>
  <c r="M395" i="6"/>
  <c r="N395" i="6"/>
  <c r="D398" i="6"/>
  <c r="D399" i="6"/>
  <c r="E399" i="6"/>
  <c r="E425" i="6"/>
  <c r="D402" i="6"/>
  <c r="D403" i="6"/>
  <c r="D404" i="6"/>
  <c r="D405" i="6"/>
  <c r="D406" i="6"/>
  <c r="D432" i="6"/>
  <c r="E406" i="6"/>
  <c r="F406" i="6"/>
  <c r="F432" i="6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/>
  <c r="F216" i="8"/>
  <c r="B99" i="12"/>
  <c r="D99" i="12"/>
  <c r="F124" i="8"/>
  <c r="F127" i="8"/>
  <c r="F160" i="8"/>
  <c r="F128" i="8"/>
  <c r="A136" i="8"/>
  <c r="F151" i="8"/>
  <c r="F181" i="8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/>
  <c r="F4" i="12"/>
  <c r="F155" i="12"/>
  <c r="G4" i="12"/>
  <c r="G213" i="12"/>
  <c r="H4" i="12"/>
  <c r="H29" i="12"/>
  <c r="I4" i="12"/>
  <c r="I59" i="12"/>
  <c r="J4" i="12"/>
  <c r="J19" i="12"/>
  <c r="K4" i="12"/>
  <c r="K169" i="12"/>
  <c r="L4" i="12"/>
  <c r="L29" i="12"/>
  <c r="M4" i="12"/>
  <c r="M213" i="12"/>
  <c r="N4" i="12"/>
  <c r="N189" i="12"/>
  <c r="O4" i="12"/>
  <c r="O237" i="12"/>
  <c r="P4" i="12"/>
  <c r="P29" i="12"/>
  <c r="Q4" i="12"/>
  <c r="Q111" i="12"/>
  <c r="R4" i="12"/>
  <c r="R39" i="12"/>
  <c r="S4" i="12"/>
  <c r="S213" i="12"/>
  <c r="T4" i="12"/>
  <c r="U4" i="12"/>
  <c r="U201" i="12"/>
  <c r="U125" i="12"/>
  <c r="V4" i="12"/>
  <c r="V81" i="12"/>
  <c r="W4" i="12"/>
  <c r="X4" i="12"/>
  <c r="X49" i="12"/>
  <c r="Y4" i="12"/>
  <c r="Y155" i="12"/>
  <c r="Z4" i="12"/>
  <c r="Z19" i="12"/>
  <c r="AA4" i="12"/>
  <c r="AA49" i="12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C89" i="12"/>
  <c r="J87" i="12"/>
  <c r="T87" i="12"/>
  <c r="X87" i="12"/>
  <c r="Z87" i="12"/>
  <c r="A88" i="12"/>
  <c r="D95" i="12"/>
  <c r="J95" i="12"/>
  <c r="T95" i="12"/>
  <c r="X95" i="12"/>
  <c r="Z95" i="12"/>
  <c r="A96" i="12"/>
  <c r="C97" i="12"/>
  <c r="C98" i="12"/>
  <c r="C99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C134" i="12"/>
  <c r="J131" i="12"/>
  <c r="R131" i="12"/>
  <c r="T131" i="12"/>
  <c r="Z131" i="12"/>
  <c r="A132" i="12"/>
  <c r="D139" i="12"/>
  <c r="C143" i="12"/>
  <c r="J139" i="12"/>
  <c r="T139" i="12"/>
  <c r="X139" i="12"/>
  <c r="Z139" i="12"/>
  <c r="A140" i="12"/>
  <c r="D147" i="12"/>
  <c r="J147" i="12"/>
  <c r="Q147" i="12"/>
  <c r="T147" i="12"/>
  <c r="Z147" i="12"/>
  <c r="A148" i="12"/>
  <c r="C149" i="12"/>
  <c r="D155" i="12"/>
  <c r="C159" i="12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C191" i="12"/>
  <c r="C192" i="12"/>
  <c r="C193" i="12"/>
  <c r="C194" i="12"/>
  <c r="C195" i="12"/>
  <c r="C196" i="12"/>
  <c r="C197" i="12"/>
  <c r="D201" i="12"/>
  <c r="J201" i="12"/>
  <c r="L201" i="12"/>
  <c r="R201" i="12"/>
  <c r="S201" i="12"/>
  <c r="T201" i="12"/>
  <c r="X201" i="12"/>
  <c r="Z201" i="12"/>
  <c r="A202" i="12"/>
  <c r="C203" i="12"/>
  <c r="C204" i="12"/>
  <c r="C205" i="12"/>
  <c r="C206" i="12"/>
  <c r="C207" i="12"/>
  <c r="C208" i="12"/>
  <c r="C209" i="12"/>
  <c r="A213" i="12"/>
  <c r="D213" i="12"/>
  <c r="E213" i="12"/>
  <c r="J213" i="12"/>
  <c r="R213" i="12"/>
  <c r="T213" i="12"/>
  <c r="U213" i="12"/>
  <c r="Z213" i="12"/>
  <c r="A214" i="12"/>
  <c r="C215" i="12"/>
  <c r="C216" i="12"/>
  <c r="C217" i="12"/>
  <c r="C218" i="12"/>
  <c r="C219" i="12"/>
  <c r="C220" i="12"/>
  <c r="C221" i="12"/>
  <c r="D225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D237" i="12"/>
  <c r="E237" i="12"/>
  <c r="J237" i="12"/>
  <c r="T237" i="12"/>
  <c r="U237" i="12"/>
  <c r="X237" i="12"/>
  <c r="Z237" i="12"/>
  <c r="A238" i="12"/>
  <c r="C239" i="12"/>
  <c r="C240" i="12"/>
  <c r="C241" i="12"/>
  <c r="C242" i="12"/>
  <c r="C243" i="12"/>
  <c r="C244" i="12"/>
  <c r="C245" i="12"/>
  <c r="D249" i="12"/>
  <c r="I249" i="12"/>
  <c r="J249" i="12"/>
  <c r="R249" i="12"/>
  <c r="T249" i="12"/>
  <c r="U249" i="12"/>
  <c r="Z249" i="12"/>
  <c r="A250" i="12"/>
  <c r="C251" i="12"/>
  <c r="C252" i="12"/>
  <c r="C253" i="12"/>
  <c r="C254" i="12"/>
  <c r="C255" i="12"/>
  <c r="C256" i="12"/>
  <c r="C257" i="12"/>
  <c r="A6" i="17"/>
  <c r="D6" i="17"/>
  <c r="A7" i="17"/>
  <c r="A9" i="17"/>
  <c r="D13" i="17"/>
  <c r="D54" i="17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/>
  <c r="M13" i="17"/>
  <c r="M54" i="17"/>
  <c r="N13" i="17"/>
  <c r="N54" i="17"/>
  <c r="O13" i="17"/>
  <c r="O54" i="17"/>
  <c r="P13" i="17"/>
  <c r="P54" i="17"/>
  <c r="Q13" i="17"/>
  <c r="Q54" i="17"/>
  <c r="R13" i="17"/>
  <c r="S13" i="17"/>
  <c r="T13" i="17"/>
  <c r="T54" i="17"/>
  <c r="U13" i="17"/>
  <c r="U54" i="17"/>
  <c r="V13" i="17"/>
  <c r="V54" i="17"/>
  <c r="W13" i="17"/>
  <c r="W54" i="17"/>
  <c r="X13" i="17"/>
  <c r="X54" i="17"/>
  <c r="Y13" i="17"/>
  <c r="Y54" i="17"/>
  <c r="Z13" i="17"/>
  <c r="AA13" i="17"/>
  <c r="A16" i="17"/>
  <c r="A17" i="17"/>
  <c r="A19" i="17"/>
  <c r="A23" i="17"/>
  <c r="K26" i="17"/>
  <c r="K57" i="17"/>
  <c r="L26" i="17"/>
  <c r="M26" i="17"/>
  <c r="N26" i="17"/>
  <c r="O26" i="17"/>
  <c r="O57" i="17"/>
  <c r="P26" i="17"/>
  <c r="Q26" i="17"/>
  <c r="R26" i="17"/>
  <c r="S26" i="17"/>
  <c r="T26" i="17"/>
  <c r="U26" i="17"/>
  <c r="V26" i="17"/>
  <c r="V57" i="17"/>
  <c r="W26" i="17"/>
  <c r="X26" i="17"/>
  <c r="X57" i="17"/>
  <c r="Y26" i="17"/>
  <c r="Y57" i="17"/>
  <c r="Z26" i="17"/>
  <c r="AA26" i="17"/>
  <c r="A29" i="17"/>
  <c r="A30" i="17"/>
  <c r="A31" i="17"/>
  <c r="A32" i="17"/>
  <c r="K32" i="17"/>
  <c r="L32" i="17"/>
  <c r="L57" i="17"/>
  <c r="M32" i="17"/>
  <c r="N32" i="17"/>
  <c r="O32" i="17"/>
  <c r="P32" i="17"/>
  <c r="Q32" i="17"/>
  <c r="R32" i="17"/>
  <c r="S32" i="17"/>
  <c r="S57" i="17"/>
  <c r="T32" i="17"/>
  <c r="T57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/>
  <c r="D51" i="13"/>
  <c r="O74" i="4"/>
  <c r="O92" i="4"/>
  <c r="G34" i="14"/>
  <c r="G69" i="14"/>
  <c r="P114" i="4"/>
  <c r="M72" i="14"/>
  <c r="P116" i="4"/>
  <c r="M74" i="14"/>
  <c r="J75" i="4"/>
  <c r="H33" i="14"/>
  <c r="J77" i="4"/>
  <c r="H35" i="14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P68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/>
  <c r="A12" i="4"/>
  <c r="A45" i="4"/>
  <c r="C12" i="4"/>
  <c r="C12" i="19"/>
  <c r="A13" i="4"/>
  <c r="C13" i="4"/>
  <c r="C13" i="19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/>
  <c r="C132" i="4"/>
  <c r="C9" i="13"/>
  <c r="C133" i="4"/>
  <c r="C134" i="4"/>
  <c r="D142" i="4"/>
  <c r="E142" i="4"/>
  <c r="F142" i="4"/>
  <c r="G142" i="4"/>
  <c r="H142" i="4"/>
  <c r="I142" i="4"/>
  <c r="J142" i="4"/>
  <c r="M143" i="4"/>
  <c r="M144" i="4"/>
  <c r="N146" i="4"/>
  <c r="F144" i="4"/>
  <c r="C162" i="4"/>
  <c r="C22" i="4"/>
  <c r="C22" i="19"/>
  <c r="C163" i="4"/>
  <c r="C23" i="4"/>
  <c r="C23" i="19"/>
  <c r="A164" i="4"/>
  <c r="A96" i="3"/>
  <c r="A35" i="17"/>
  <c r="C164" i="4"/>
  <c r="D8" i="17"/>
  <c r="C24" i="4"/>
  <c r="C24" i="19"/>
  <c r="C165" i="4"/>
  <c r="D9" i="17"/>
  <c r="A166" i="4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/>
  <c r="D268" i="8"/>
  <c r="E265" i="8"/>
  <c r="E266" i="8"/>
  <c r="E21" i="3"/>
  <c r="E267" i="8"/>
  <c r="F21" i="3"/>
  <c r="F267" i="8"/>
  <c r="A22" i="3"/>
  <c r="C22" i="3"/>
  <c r="D22" i="3"/>
  <c r="D273" i="8"/>
  <c r="D272" i="8"/>
  <c r="D274" i="8"/>
  <c r="E271" i="8"/>
  <c r="E272" i="8"/>
  <c r="E22" i="3"/>
  <c r="E273" i="8"/>
  <c r="F22" i="3"/>
  <c r="F273" i="8"/>
  <c r="D42" i="3"/>
  <c r="E42" i="3"/>
  <c r="F42" i="3"/>
  <c r="D48" i="3"/>
  <c r="E48" i="3"/>
  <c r="E50" i="3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D99" i="3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/>
  <c r="C136" i="3"/>
  <c r="C138" i="3"/>
  <c r="C139" i="3"/>
  <c r="F146" i="3"/>
  <c r="F147" i="3"/>
  <c r="C155" i="3"/>
  <c r="F148" i="3"/>
  <c r="D155" i="3"/>
  <c r="D4" i="8"/>
  <c r="F149" i="3"/>
  <c r="E155" i="3"/>
  <c r="F150" i="3"/>
  <c r="F151" i="3"/>
  <c r="D144" i="4"/>
  <c r="G4" i="8"/>
  <c r="C153" i="3"/>
  <c r="D153" i="3"/>
  <c r="E153" i="3"/>
  <c r="F153" i="3"/>
  <c r="B155" i="3"/>
  <c r="F155" i="3"/>
  <c r="E156" i="3"/>
  <c r="F4" i="8"/>
  <c r="C161" i="3"/>
  <c r="C10" i="3"/>
  <c r="C162" i="3"/>
  <c r="C163" i="3"/>
  <c r="C164" i="3"/>
  <c r="C13" i="3"/>
  <c r="C170" i="3"/>
  <c r="D97" i="8"/>
  <c r="C171" i="3"/>
  <c r="D96" i="8"/>
  <c r="A92" i="8"/>
  <c r="D185" i="3"/>
  <c r="D196" i="3"/>
  <c r="F196" i="3"/>
  <c r="D197" i="3"/>
  <c r="D198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/>
  <c r="P3" i="16"/>
  <c r="P68" i="16"/>
  <c r="Q3" i="16"/>
  <c r="Q68" i="16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E72" i="12"/>
  <c r="D190" i="3"/>
  <c r="D24" i="4"/>
  <c r="D18" i="17"/>
  <c r="D38" i="17"/>
  <c r="D72" i="12"/>
  <c r="D63" i="12"/>
  <c r="D31" i="12"/>
  <c r="D33" i="12"/>
  <c r="N144" i="4"/>
  <c r="E190" i="3"/>
  <c r="D22" i="13"/>
  <c r="P57" i="17"/>
  <c r="A46" i="4"/>
  <c r="A37" i="4"/>
  <c r="G63" i="12"/>
  <c r="E32" i="12"/>
  <c r="E53" i="12"/>
  <c r="G42" i="12"/>
  <c r="AA57" i="17"/>
  <c r="D192" i="3"/>
  <c r="F23" i="3"/>
  <c r="I4" i="8"/>
  <c r="F22" i="13"/>
  <c r="A10" i="17"/>
  <c r="A20" i="17"/>
  <c r="A47" i="17"/>
  <c r="A98" i="3"/>
  <c r="E193" i="8"/>
  <c r="C231" i="8"/>
  <c r="D193" i="8"/>
  <c r="C230" i="8"/>
  <c r="F193" i="8"/>
  <c r="C232" i="8"/>
  <c r="E23" i="3"/>
  <c r="M57" i="17"/>
  <c r="I27" i="19"/>
  <c r="D145" i="4"/>
  <c r="C16" i="13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F72" i="12"/>
  <c r="Z57" i="17"/>
  <c r="R57" i="17"/>
  <c r="A8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A24" i="4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/>
  <c r="G110" i="6"/>
  <c r="G112" i="6"/>
  <c r="E208" i="6"/>
  <c r="F208" i="6"/>
  <c r="G208" i="6"/>
  <c r="D208" i="6"/>
  <c r="D215" i="6"/>
  <c r="D142" i="6"/>
  <c r="E404" i="6"/>
  <c r="D430" i="6"/>
  <c r="G238" i="6"/>
  <c r="G245" i="6"/>
  <c r="G172" i="6"/>
  <c r="E238" i="6"/>
  <c r="E245" i="6"/>
  <c r="E172" i="6"/>
  <c r="D238" i="6"/>
  <c r="D245" i="6"/>
  <c r="D172" i="6"/>
  <c r="D173" i="6"/>
  <c r="F238" i="6"/>
  <c r="H238" i="6"/>
  <c r="F399" i="6"/>
  <c r="G399" i="6"/>
  <c r="M389" i="6"/>
  <c r="D110" i="6"/>
  <c r="D112" i="6"/>
  <c r="D114" i="6"/>
  <c r="H239" i="6"/>
  <c r="G239" i="6"/>
  <c r="E274" i="6"/>
  <c r="E262" i="6"/>
  <c r="D130" i="6"/>
  <c r="D8" i="6"/>
  <c r="D17" i="6"/>
  <c r="F125" i="6"/>
  <c r="F130" i="6"/>
  <c r="F8" i="6"/>
  <c r="F17" i="6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/>
  <c r="G220" i="6"/>
  <c r="E218" i="6"/>
  <c r="E386" i="6"/>
  <c r="F386" i="6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D22" i="12"/>
  <c r="E430" i="6"/>
  <c r="F404" i="6"/>
  <c r="F425" i="6"/>
  <c r="F403" i="6"/>
  <c r="F429" i="6"/>
  <c r="E429" i="6"/>
  <c r="F419" i="6"/>
  <c r="G393" i="6"/>
  <c r="G406" i="6"/>
  <c r="F180" i="6"/>
  <c r="H210" i="6"/>
  <c r="F210" i="6"/>
  <c r="E185" i="3"/>
  <c r="G221" i="6"/>
  <c r="H221" i="6"/>
  <c r="G210" i="6"/>
  <c r="F245" i="6"/>
  <c r="F172" i="6"/>
  <c r="F215" i="6"/>
  <c r="F142" i="6"/>
  <c r="G403" i="6"/>
  <c r="G429" i="6"/>
  <c r="E170" i="8"/>
  <c r="H393" i="6"/>
  <c r="H419" i="6"/>
  <c r="G419" i="6"/>
  <c r="G394" i="6"/>
  <c r="F420" i="6"/>
  <c r="H403" i="6"/>
  <c r="H429" i="6"/>
  <c r="Q102" i="4"/>
  <c r="N60" i="14"/>
  <c r="O101" i="4"/>
  <c r="Q99" i="4"/>
  <c r="N57" i="14"/>
  <c r="P99" i="4"/>
  <c r="M57" i="14"/>
  <c r="Q98" i="4"/>
  <c r="N56" i="14"/>
  <c r="P102" i="4"/>
  <c r="M60" i="14"/>
  <c r="O99" i="4"/>
  <c r="O98" i="4"/>
  <c r="P100" i="4"/>
  <c r="M58" i="14"/>
  <c r="Q101" i="4"/>
  <c r="N59" i="14"/>
  <c r="P101" i="4"/>
  <c r="M59" i="14"/>
  <c r="Q100" i="4"/>
  <c r="N58" i="14"/>
  <c r="P98" i="4"/>
  <c r="M56" i="14"/>
  <c r="O102" i="4"/>
  <c r="O100" i="4"/>
  <c r="I7" i="13"/>
  <c r="I9" i="13"/>
  <c r="I6" i="13"/>
  <c r="I8" i="13"/>
  <c r="I139" i="4"/>
  <c r="AD32" i="13"/>
  <c r="H25" i="16"/>
  <c r="E31" i="12"/>
  <c r="F25" i="4"/>
  <c r="E25" i="4"/>
  <c r="E8" i="14"/>
  <c r="E51" i="13"/>
  <c r="F41" i="12"/>
  <c r="D27" i="19"/>
  <c r="G27" i="19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C141" i="12"/>
  <c r="X131" i="12"/>
  <c r="Q125" i="12"/>
  <c r="X103" i="12"/>
  <c r="X69" i="12"/>
  <c r="R59" i="12"/>
  <c r="J24" i="16"/>
  <c r="E27" i="19"/>
  <c r="S35" i="14"/>
  <c r="T40" i="14"/>
  <c r="F26" i="4"/>
  <c r="J389" i="6"/>
  <c r="D414" i="6"/>
  <c r="H219" i="6"/>
  <c r="H225" i="6"/>
  <c r="H152" i="6"/>
  <c r="F219" i="6"/>
  <c r="F225" i="6"/>
  <c r="F152" i="6"/>
  <c r="F182" i="6"/>
  <c r="F54" i="6"/>
  <c r="A70" i="6"/>
  <c r="D175" i="6"/>
  <c r="E169" i="6"/>
  <c r="E173" i="6"/>
  <c r="E392" i="6"/>
  <c r="D418" i="6"/>
  <c r="D421" i="6"/>
  <c r="D155" i="6"/>
  <c r="E149" i="6"/>
  <c r="G160" i="6"/>
  <c r="G180" i="6"/>
  <c r="G130" i="6"/>
  <c r="G8" i="6"/>
  <c r="G17" i="6"/>
  <c r="G231" i="6"/>
  <c r="E398" i="6"/>
  <c r="D424" i="6"/>
  <c r="D426" i="6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/>
  <c r="H8" i="6"/>
  <c r="H17" i="6"/>
  <c r="H114" i="6"/>
  <c r="G71" i="6"/>
  <c r="F80" i="6"/>
  <c r="F36" i="6"/>
  <c r="F185" i="3"/>
  <c r="C12" i="3"/>
  <c r="D192" i="8"/>
  <c r="C222" i="8"/>
  <c r="E192" i="8"/>
  <c r="C223" i="8"/>
  <c r="F192" i="8"/>
  <c r="C224" i="8"/>
  <c r="G80" i="6"/>
  <c r="G36" i="6"/>
  <c r="C114" i="12"/>
  <c r="E231" i="8"/>
  <c r="F231" i="8"/>
  <c r="E55" i="6"/>
  <c r="E9" i="6"/>
  <c r="E18" i="6"/>
  <c r="E68" i="6"/>
  <c r="E81" i="6"/>
  <c r="E37" i="6"/>
  <c r="D180" i="6"/>
  <c r="E99" i="12"/>
  <c r="F99" i="12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D52" i="12"/>
  <c r="H406" i="6"/>
  <c r="H432" i="6"/>
  <c r="G432" i="6"/>
  <c r="H245" i="6"/>
  <c r="H172" i="6"/>
  <c r="D15" i="8"/>
  <c r="D118" i="3"/>
  <c r="E102" i="8"/>
  <c r="E82" i="8"/>
  <c r="G404" i="6"/>
  <c r="F430" i="6"/>
  <c r="E140" i="8"/>
  <c r="E125" i="8"/>
  <c r="E405" i="6"/>
  <c r="D431" i="6"/>
  <c r="E297" i="6"/>
  <c r="F294" i="6"/>
  <c r="G386" i="6"/>
  <c r="F412" i="6"/>
  <c r="D68" i="6"/>
  <c r="D81" i="6"/>
  <c r="D37" i="6"/>
  <c r="D55" i="6"/>
  <c r="D9" i="6"/>
  <c r="D18" i="6"/>
  <c r="J4" i="8"/>
  <c r="G22" i="13"/>
  <c r="E263" i="6"/>
  <c r="E125" i="6"/>
  <c r="E130" i="6"/>
  <c r="E8" i="6"/>
  <c r="E17" i="6"/>
  <c r="E150" i="6"/>
  <c r="E219" i="6"/>
  <c r="E225" i="6"/>
  <c r="E152" i="6"/>
  <c r="H394" i="6"/>
  <c r="H420" i="6"/>
  <c r="G420" i="6"/>
  <c r="E412" i="6"/>
  <c r="H399" i="6"/>
  <c r="H425" i="6"/>
  <c r="G425" i="6"/>
  <c r="D290" i="6"/>
  <c r="D289" i="6"/>
  <c r="D291" i="6"/>
  <c r="E288" i="6"/>
  <c r="D261" i="6"/>
  <c r="D284" i="6"/>
  <c r="E268" i="8"/>
  <c r="F265" i="8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/>
  <c r="E145" i="4"/>
  <c r="F145" i="4"/>
  <c r="G145" i="4"/>
  <c r="H145" i="4"/>
  <c r="E274" i="8"/>
  <c r="F271" i="8"/>
  <c r="D228" i="6"/>
  <c r="D235" i="6"/>
  <c r="D162" i="6"/>
  <c r="D163" i="6"/>
  <c r="H228" i="6"/>
  <c r="E228" i="6"/>
  <c r="E235" i="6"/>
  <c r="E162" i="6"/>
  <c r="F228" i="6"/>
  <c r="F235" i="6"/>
  <c r="F162" i="6"/>
  <c r="E215" i="8"/>
  <c r="C115" i="12"/>
  <c r="F232" i="8"/>
  <c r="B115" i="12"/>
  <c r="C11" i="13"/>
  <c r="C13" i="13"/>
  <c r="F278" i="6"/>
  <c r="E302" i="6"/>
  <c r="E301" i="6"/>
  <c r="E303" i="6"/>
  <c r="F300" i="6"/>
  <c r="E296" i="6"/>
  <c r="E295" i="6"/>
  <c r="C113" i="12"/>
  <c r="E4" i="8"/>
  <c r="E90" i="8"/>
  <c r="D156" i="3"/>
  <c r="D23" i="3"/>
  <c r="D255" i="8"/>
  <c r="D53" i="12"/>
  <c r="D42" i="12"/>
  <c r="D62" i="12"/>
  <c r="D40" i="4"/>
  <c r="D7" i="12"/>
  <c r="D52" i="13"/>
  <c r="N145" i="4"/>
  <c r="E144" i="4"/>
  <c r="D43" i="12"/>
  <c r="D73" i="12"/>
  <c r="D260" i="8"/>
  <c r="D262" i="8"/>
  <c r="E259" i="8"/>
  <c r="E260" i="8"/>
  <c r="E127" i="8"/>
  <c r="E49" i="8"/>
  <c r="E52" i="8"/>
  <c r="B158" i="12"/>
  <c r="E151" i="8"/>
  <c r="B142" i="12"/>
  <c r="D50" i="3"/>
  <c r="N57" i="17"/>
  <c r="K225" i="12"/>
  <c r="E385" i="6"/>
  <c r="D411" i="6"/>
  <c r="H27" i="19"/>
  <c r="U57" i="17"/>
  <c r="F125" i="8"/>
  <c r="F130" i="8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/>
  <c r="G142" i="6"/>
  <c r="E209" i="6"/>
  <c r="E215" i="6"/>
  <c r="E142" i="6"/>
  <c r="E182" i="6"/>
  <c r="E54" i="6"/>
  <c r="E180" i="6"/>
  <c r="E191" i="3"/>
  <c r="E193" i="3"/>
  <c r="E200" i="3"/>
  <c r="E201" i="3"/>
  <c r="F99" i="3"/>
  <c r="D7" i="17"/>
  <c r="C95" i="3"/>
  <c r="K249" i="12"/>
  <c r="C150" i="12"/>
  <c r="C151" i="12"/>
  <c r="W81" i="12"/>
  <c r="H160" i="6"/>
  <c r="D42" i="17"/>
  <c r="C26" i="4"/>
  <c r="C26" i="19"/>
  <c r="C98" i="3"/>
  <c r="C139" i="4"/>
  <c r="C10" i="13"/>
  <c r="C19" i="13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/>
  <c r="F191" i="3"/>
  <c r="F193" i="3"/>
  <c r="F200" i="3"/>
  <c r="D191" i="3"/>
  <c r="D193" i="3"/>
  <c r="D200" i="3"/>
  <c r="D201" i="3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/>
  <c r="F114" i="6"/>
  <c r="E198" i="3"/>
  <c r="T69" i="14"/>
  <c r="A39" i="4"/>
  <c r="A48" i="4"/>
  <c r="D428" i="6"/>
  <c r="E402" i="6"/>
  <c r="E228" i="3"/>
  <c r="E192" i="3"/>
  <c r="C135" i="12"/>
  <c r="F62" i="12"/>
  <c r="F43" i="12"/>
  <c r="G218" i="6"/>
  <c r="E52" i="12"/>
  <c r="G62" i="12"/>
  <c r="E33" i="12"/>
  <c r="G182" i="12"/>
  <c r="B218" i="12"/>
  <c r="E73" i="12"/>
  <c r="F52" i="12"/>
  <c r="F33" i="12"/>
  <c r="F73" i="12"/>
  <c r="S40" i="14"/>
  <c r="T55" i="14"/>
  <c r="T44" i="14"/>
  <c r="T53" i="14"/>
  <c r="S66" i="14"/>
  <c r="T50" i="14"/>
  <c r="S52" i="14"/>
  <c r="S55" i="14"/>
  <c r="T70" i="14"/>
  <c r="E24" i="4"/>
  <c r="S31" i="14"/>
  <c r="S34" i="14"/>
  <c r="H26" i="16"/>
  <c r="I10" i="13"/>
  <c r="I22" i="13"/>
  <c r="I11" i="13"/>
  <c r="J22" i="13"/>
  <c r="T33" i="14"/>
  <c r="T34" i="14"/>
  <c r="G71" i="12"/>
  <c r="G24" i="4"/>
  <c r="G18" i="17"/>
  <c r="G38" i="17"/>
  <c r="G25" i="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J25" i="16"/>
  <c r="J49" i="16"/>
  <c r="T36" i="14"/>
  <c r="E71" i="12"/>
  <c r="E185" i="12"/>
  <c r="B252" i="12"/>
  <c r="E26" i="4"/>
  <c r="H40" i="16"/>
  <c r="S36" i="14"/>
  <c r="J40" i="16"/>
  <c r="S33" i="14"/>
  <c r="T46" i="14"/>
  <c r="T52" i="14"/>
  <c r="J48" i="13"/>
  <c r="I48" i="13"/>
  <c r="H22" i="16"/>
  <c r="T32" i="14"/>
  <c r="S53" i="14"/>
  <c r="T67" i="14"/>
  <c r="S68" i="14"/>
  <c r="AC32" i="13"/>
  <c r="I45" i="13"/>
  <c r="J45" i="13"/>
  <c r="I47" i="13"/>
  <c r="J47" i="13"/>
  <c r="F42" i="12"/>
  <c r="H49" i="16"/>
  <c r="I16" i="16"/>
  <c r="I22" i="16"/>
  <c r="H16" i="16"/>
  <c r="G21" i="12"/>
  <c r="S51" i="14"/>
  <c r="I40" i="16"/>
  <c r="E42" i="12"/>
  <c r="G52" i="12"/>
  <c r="E180" i="12"/>
  <c r="G33" i="12"/>
  <c r="I49" i="16"/>
  <c r="G185" i="12"/>
  <c r="B254" i="12"/>
  <c r="G73" i="12"/>
  <c r="T31" i="14"/>
  <c r="S32" i="14"/>
  <c r="T45" i="14"/>
  <c r="S46" i="14"/>
  <c r="T51" i="14"/>
  <c r="T66" i="14"/>
  <c r="S67" i="14"/>
  <c r="T74" i="14"/>
  <c r="AB32" i="13"/>
  <c r="F31" i="12"/>
  <c r="E21" i="12"/>
  <c r="F21" i="12"/>
  <c r="I25" i="16"/>
  <c r="T35" i="14"/>
  <c r="J22" i="16"/>
  <c r="D58" i="20"/>
  <c r="E58" i="20"/>
  <c r="E41" i="12"/>
  <c r="I16" i="13"/>
  <c r="I14" i="13"/>
  <c r="G23" i="12"/>
  <c r="J26" i="16"/>
  <c r="T30" i="14"/>
  <c r="I24" i="16"/>
  <c r="T54" i="14"/>
  <c r="T68" i="14"/>
  <c r="S42" i="14"/>
  <c r="T73" i="14"/>
  <c r="S41" i="14"/>
  <c r="S45" i="14"/>
  <c r="T41" i="14"/>
  <c r="S70" i="14"/>
  <c r="H46" i="4"/>
  <c r="H53" i="12"/>
  <c r="H35" i="4"/>
  <c r="H32" i="12"/>
  <c r="H10" i="4"/>
  <c r="H21" i="12"/>
  <c r="H11" i="4"/>
  <c r="H31" i="12"/>
  <c r="H37" i="4"/>
  <c r="H52" i="12"/>
  <c r="H55" i="4"/>
  <c r="H32" i="13"/>
  <c r="H39" i="4"/>
  <c r="H72" i="12"/>
  <c r="H34" i="4"/>
  <c r="H22" i="12"/>
  <c r="H47" i="4"/>
  <c r="H63" i="12"/>
  <c r="H36" i="4"/>
  <c r="H42" i="12"/>
  <c r="H12" i="4"/>
  <c r="H41" i="12"/>
  <c r="H38" i="4"/>
  <c r="H62" i="12"/>
  <c r="H48" i="4"/>
  <c r="H73" i="12"/>
  <c r="H43" i="4"/>
  <c r="H23" i="12"/>
  <c r="H15" i="4"/>
  <c r="H44" i="4"/>
  <c r="H33" i="12"/>
  <c r="H23" i="4"/>
  <c r="H17" i="17"/>
  <c r="H32" i="17"/>
  <c r="H45" i="4"/>
  <c r="H43" i="12"/>
  <c r="D158" i="12"/>
  <c r="B114" i="12"/>
  <c r="E114" i="12"/>
  <c r="F114" i="12"/>
  <c r="D114" i="12"/>
  <c r="F215" i="8"/>
  <c r="B98" i="12"/>
  <c r="D115" i="12"/>
  <c r="F181" i="12"/>
  <c r="B205" i="12"/>
  <c r="F205" i="12"/>
  <c r="F71" i="12"/>
  <c r="G43" i="12"/>
  <c r="F185" i="12"/>
  <c r="B253" i="12"/>
  <c r="F253" i="12"/>
  <c r="G253" i="12"/>
  <c r="H253" i="12"/>
  <c r="E181" i="12"/>
  <c r="B204" i="12"/>
  <c r="E204" i="12"/>
  <c r="F51" i="13"/>
  <c r="D165" i="6"/>
  <c r="E159" i="6"/>
  <c r="E163" i="6"/>
  <c r="G99" i="12"/>
  <c r="H99" i="12"/>
  <c r="D17" i="17"/>
  <c r="D32" i="17"/>
  <c r="D22" i="4"/>
  <c r="D151" i="8"/>
  <c r="D181" i="8"/>
  <c r="B133" i="12"/>
  <c r="D123" i="8"/>
  <c r="B157" i="12"/>
  <c r="D50" i="8"/>
  <c r="D128" i="8"/>
  <c r="D93" i="8"/>
  <c r="D122" i="8"/>
  <c r="D124" i="8"/>
  <c r="D49" i="8"/>
  <c r="B149" i="12"/>
  <c r="C156" i="3"/>
  <c r="B156" i="3"/>
  <c r="D127" i="8"/>
  <c r="F222" i="8"/>
  <c r="D51" i="8"/>
  <c r="B141" i="12"/>
  <c r="G430" i="6"/>
  <c r="H404" i="6"/>
  <c r="H430" i="6"/>
  <c r="F17" i="17"/>
  <c r="F32" i="17"/>
  <c r="F180" i="8"/>
  <c r="F208" i="8"/>
  <c r="B91" i="12"/>
  <c r="D32" i="13"/>
  <c r="P32" i="13"/>
  <c r="AA32" i="13"/>
  <c r="D53" i="13"/>
  <c r="D254" i="8"/>
  <c r="D279" i="8"/>
  <c r="E261" i="6"/>
  <c r="E284" i="6"/>
  <c r="E290" i="6"/>
  <c r="E289" i="6"/>
  <c r="E291" i="6"/>
  <c r="F288" i="6"/>
  <c r="G412" i="6"/>
  <c r="H386" i="6"/>
  <c r="H412" i="6"/>
  <c r="B90" i="12"/>
  <c r="E207" i="8"/>
  <c r="F207" i="8"/>
  <c r="E139" i="6"/>
  <c r="D145" i="6"/>
  <c r="D185" i="6"/>
  <c r="D183" i="6"/>
  <c r="G20" i="17"/>
  <c r="G50" i="17"/>
  <c r="E19" i="17"/>
  <c r="E44" i="17"/>
  <c r="E53" i="13"/>
  <c r="F182" i="12"/>
  <c r="B217" i="12"/>
  <c r="F217" i="12"/>
  <c r="R32" i="13"/>
  <c r="F391" i="6"/>
  <c r="E417" i="6"/>
  <c r="D82" i="8"/>
  <c r="D102" i="8"/>
  <c r="E262" i="8"/>
  <c r="F259" i="8"/>
  <c r="E22" i="13"/>
  <c r="H4" i="8"/>
  <c r="F272" i="8"/>
  <c r="F274" i="8"/>
  <c r="D48" i="17"/>
  <c r="D182" i="6"/>
  <c r="D54" i="6"/>
  <c r="E153" i="6"/>
  <c r="D25" i="4"/>
  <c r="D19" i="17"/>
  <c r="D44" i="17"/>
  <c r="D43" i="17"/>
  <c r="D45" i="17"/>
  <c r="E42" i="17"/>
  <c r="D57" i="20"/>
  <c r="E57" i="20"/>
  <c r="G185" i="3"/>
  <c r="H71" i="6"/>
  <c r="D185" i="12"/>
  <c r="B251" i="12"/>
  <c r="D71" i="12"/>
  <c r="D26" i="4"/>
  <c r="D20" i="17"/>
  <c r="D50" i="17"/>
  <c r="K4" i="8"/>
  <c r="H22" i="13"/>
  <c r="F405" i="6"/>
  <c r="E431" i="6"/>
  <c r="F223" i="8"/>
  <c r="C106" i="12"/>
  <c r="H55" i="6"/>
  <c r="H9" i="6"/>
  <c r="H18" i="6"/>
  <c r="H68" i="6"/>
  <c r="Q32" i="13"/>
  <c r="F22" i="4"/>
  <c r="F16" i="17"/>
  <c r="F26" i="17"/>
  <c r="S32" i="13"/>
  <c r="E428" i="6"/>
  <c r="F402" i="6"/>
  <c r="B143" i="12"/>
  <c r="D27" i="6"/>
  <c r="E5" i="8"/>
  <c r="E6" i="8"/>
  <c r="B135" i="12"/>
  <c r="D135" i="12"/>
  <c r="B159" i="12"/>
  <c r="D5" i="8"/>
  <c r="D6" i="8"/>
  <c r="B150" i="12"/>
  <c r="D150" i="12"/>
  <c r="B151" i="12"/>
  <c r="B134" i="12"/>
  <c r="F5" i="8"/>
  <c r="F6" i="8"/>
  <c r="D415" i="6"/>
  <c r="D182" i="12"/>
  <c r="B215" i="12"/>
  <c r="D41" i="12"/>
  <c r="E115" i="12"/>
  <c r="F115" i="12"/>
  <c r="H235" i="6"/>
  <c r="H162" i="6"/>
  <c r="D283" i="6"/>
  <c r="D308" i="6"/>
  <c r="C105" i="12"/>
  <c r="F169" i="6"/>
  <c r="F173" i="6"/>
  <c r="E175" i="6"/>
  <c r="G219" i="6"/>
  <c r="G225" i="6"/>
  <c r="G152" i="6"/>
  <c r="G182" i="6"/>
  <c r="G54" i="6"/>
  <c r="G278" i="6"/>
  <c r="F296" i="6"/>
  <c r="F295" i="6"/>
  <c r="F297" i="6"/>
  <c r="G294" i="6"/>
  <c r="F302" i="6"/>
  <c r="F301" i="6"/>
  <c r="F303" i="6"/>
  <c r="G300" i="6"/>
  <c r="F290" i="6"/>
  <c r="D142" i="12"/>
  <c r="E181" i="8"/>
  <c r="F284" i="6"/>
  <c r="E32" i="13"/>
  <c r="F392" i="6"/>
  <c r="E418" i="6"/>
  <c r="D433" i="6"/>
  <c r="F55" i="6"/>
  <c r="F9" i="6"/>
  <c r="F18" i="6"/>
  <c r="F68" i="6"/>
  <c r="F81" i="6"/>
  <c r="F37" i="6"/>
  <c r="F201" i="3"/>
  <c r="C201" i="3"/>
  <c r="D151" i="12"/>
  <c r="F385" i="6"/>
  <c r="E411" i="6"/>
  <c r="E223" i="8"/>
  <c r="E160" i="8"/>
  <c r="D43" i="20"/>
  <c r="E43" i="20"/>
  <c r="H212" i="6"/>
  <c r="H180" i="6"/>
  <c r="D32" i="12"/>
  <c r="D181" i="12"/>
  <c r="B203" i="12"/>
  <c r="F398" i="6"/>
  <c r="E424" i="6"/>
  <c r="E426" i="6"/>
  <c r="G53" i="13"/>
  <c r="E20" i="17"/>
  <c r="E50" i="17"/>
  <c r="H215" i="6"/>
  <c r="H142" i="6"/>
  <c r="H182" i="6"/>
  <c r="H54" i="6"/>
  <c r="F266" i="8"/>
  <c r="F268" i="8"/>
  <c r="D36" i="17"/>
  <c r="C107" i="12"/>
  <c r="F224" i="8"/>
  <c r="B107" i="12"/>
  <c r="G19" i="17"/>
  <c r="G44" i="17"/>
  <c r="G32" i="13"/>
  <c r="G55" i="6"/>
  <c r="G9" i="6"/>
  <c r="G18" i="6"/>
  <c r="G68" i="6"/>
  <c r="G81" i="6"/>
  <c r="G37" i="6"/>
  <c r="D23" i="12"/>
  <c r="D49" i="4"/>
  <c r="D8" i="12"/>
  <c r="F20" i="17"/>
  <c r="F50" i="17"/>
  <c r="F32" i="13"/>
  <c r="E18" i="17"/>
  <c r="E38" i="17"/>
  <c r="E413" i="6"/>
  <c r="F387" i="6"/>
  <c r="F45" i="13"/>
  <c r="G45" i="13"/>
  <c r="D45" i="13"/>
  <c r="E45" i="13"/>
  <c r="H45" i="13"/>
  <c r="H388" i="6"/>
  <c r="H414" i="6"/>
  <c r="G414" i="6"/>
  <c r="D16" i="4"/>
  <c r="D6" i="12"/>
  <c r="D180" i="12"/>
  <c r="D21" i="12"/>
  <c r="C15" i="13"/>
  <c r="E130" i="8"/>
  <c r="F53" i="13"/>
  <c r="H261" i="6"/>
  <c r="F19" i="17"/>
  <c r="F44" i="17"/>
  <c r="G49" i="4"/>
  <c r="G8" i="12"/>
  <c r="G16" i="4"/>
  <c r="G6" i="12"/>
  <c r="D44" i="20"/>
  <c r="E44" i="20"/>
  <c r="G181" i="12"/>
  <c r="B206" i="12"/>
  <c r="G206" i="12"/>
  <c r="H27" i="16"/>
  <c r="E16" i="4"/>
  <c r="E6" i="12"/>
  <c r="E7" i="12"/>
  <c r="E52" i="13"/>
  <c r="F180" i="12"/>
  <c r="B193" i="12"/>
  <c r="I145" i="4"/>
  <c r="G51" i="13"/>
  <c r="I15" i="13"/>
  <c r="J46" i="13"/>
  <c r="E182" i="12"/>
  <c r="B216" i="12"/>
  <c r="J27" i="16"/>
  <c r="B192" i="12"/>
  <c r="F23" i="12"/>
  <c r="F49" i="4"/>
  <c r="F8" i="12"/>
  <c r="F24" i="4"/>
  <c r="D45" i="20"/>
  <c r="E45" i="20"/>
  <c r="G254" i="12"/>
  <c r="I19" i="13"/>
  <c r="I13" i="13"/>
  <c r="G218" i="12"/>
  <c r="H218" i="12"/>
  <c r="E49" i="4"/>
  <c r="E8" i="12"/>
  <c r="E23" i="12"/>
  <c r="E17" i="17"/>
  <c r="E32" i="17"/>
  <c r="E22" i="4"/>
  <c r="I27" i="16"/>
  <c r="G17" i="17"/>
  <c r="G32" i="17"/>
  <c r="G22" i="4"/>
  <c r="G22" i="12"/>
  <c r="G7" i="12"/>
  <c r="G52" i="13"/>
  <c r="G180" i="12"/>
  <c r="E252" i="12"/>
  <c r="F16" i="4"/>
  <c r="F6" i="12"/>
  <c r="F40" i="4"/>
  <c r="F7" i="12"/>
  <c r="F52" i="13"/>
  <c r="F22" i="12"/>
  <c r="D46" i="20"/>
  <c r="E46" i="20"/>
  <c r="D59" i="20"/>
  <c r="E59" i="20"/>
  <c r="D60" i="20"/>
  <c r="E60" i="20"/>
  <c r="J48" i="4"/>
  <c r="J73" i="12"/>
  <c r="J44" i="4"/>
  <c r="J33" i="12"/>
  <c r="J37" i="4"/>
  <c r="J52" i="12"/>
  <c r="J23" i="4"/>
  <c r="D35" i="20"/>
  <c r="E35" i="20"/>
  <c r="I43" i="4"/>
  <c r="I23" i="12"/>
  <c r="I39" i="4"/>
  <c r="I72" i="12"/>
  <c r="J34" i="4"/>
  <c r="J22" i="12"/>
  <c r="I45" i="4"/>
  <c r="I43" i="12"/>
  <c r="I48" i="4"/>
  <c r="I73" i="12"/>
  <c r="I44" i="4"/>
  <c r="I33" i="12"/>
  <c r="I37" i="4"/>
  <c r="I52" i="12"/>
  <c r="I23" i="4"/>
  <c r="I17" i="17"/>
  <c r="I32" i="17"/>
  <c r="D34" i="20"/>
  <c r="E34" i="20"/>
  <c r="I36" i="4"/>
  <c r="I42" i="12"/>
  <c r="J39" i="4"/>
  <c r="J72" i="12"/>
  <c r="I35" i="4"/>
  <c r="I32" i="12"/>
  <c r="J45" i="4"/>
  <c r="J43" i="12"/>
  <c r="I34" i="4"/>
  <c r="I22" i="12"/>
  <c r="J47" i="4"/>
  <c r="J63" i="12"/>
  <c r="J43" i="4"/>
  <c r="J23" i="12"/>
  <c r="J36" i="4"/>
  <c r="J42" i="12"/>
  <c r="I47" i="4"/>
  <c r="I63" i="12"/>
  <c r="J35" i="4"/>
  <c r="J32" i="12"/>
  <c r="I46" i="4"/>
  <c r="I53" i="12"/>
  <c r="I25" i="4"/>
  <c r="I19" i="17"/>
  <c r="I44" i="17"/>
  <c r="J38" i="4"/>
  <c r="J62" i="12"/>
  <c r="I38" i="4"/>
  <c r="I62" i="12"/>
  <c r="J46" i="4"/>
  <c r="J53" i="12"/>
  <c r="H181" i="12"/>
  <c r="B207" i="12"/>
  <c r="H207" i="12"/>
  <c r="H40" i="4"/>
  <c r="H7" i="12"/>
  <c r="H52" i="13"/>
  <c r="H24" i="4"/>
  <c r="H18" i="17"/>
  <c r="H38" i="17"/>
  <c r="H26" i="4"/>
  <c r="H20" i="17"/>
  <c r="H50" i="17"/>
  <c r="H185" i="12"/>
  <c r="B255" i="12"/>
  <c r="H255" i="12"/>
  <c r="H71" i="12"/>
  <c r="H22" i="4"/>
  <c r="H16" i="17"/>
  <c r="H16" i="4"/>
  <c r="H6" i="12"/>
  <c r="D47" i="20"/>
  <c r="E47" i="20"/>
  <c r="H25" i="4"/>
  <c r="H19" i="17"/>
  <c r="H44" i="17"/>
  <c r="H49" i="4"/>
  <c r="H8" i="12"/>
  <c r="H182" i="12"/>
  <c r="B219" i="12"/>
  <c r="H219" i="12"/>
  <c r="H180" i="12"/>
  <c r="B195" i="12"/>
  <c r="H195" i="12"/>
  <c r="I195" i="12"/>
  <c r="AE32" i="13"/>
  <c r="T32" i="13"/>
  <c r="H53" i="13"/>
  <c r="E158" i="12"/>
  <c r="F158" i="12"/>
  <c r="F227" i="8"/>
  <c r="F162" i="8"/>
  <c r="D150" i="8"/>
  <c r="D214" i="8"/>
  <c r="D219" i="8"/>
  <c r="D152" i="8"/>
  <c r="D153" i="8"/>
  <c r="B106" i="12"/>
  <c r="D106" i="12"/>
  <c r="E222" i="8"/>
  <c r="E227" i="8"/>
  <c r="E162" i="8"/>
  <c r="D49" i="17"/>
  <c r="D51" i="17"/>
  <c r="E48" i="17"/>
  <c r="E49" i="17"/>
  <c r="E51" i="17"/>
  <c r="F48" i="17"/>
  <c r="F49" i="17"/>
  <c r="F51" i="17"/>
  <c r="G48" i="17"/>
  <c r="G49" i="17"/>
  <c r="G51" i="17"/>
  <c r="H48" i="17"/>
  <c r="G295" i="6"/>
  <c r="G297" i="6"/>
  <c r="H294" i="6"/>
  <c r="D1" i="3"/>
  <c r="C1" i="3"/>
  <c r="G114" i="12"/>
  <c r="I99" i="12"/>
  <c r="J99" i="12"/>
  <c r="F289" i="6"/>
  <c r="F291" i="6"/>
  <c r="G288" i="6"/>
  <c r="D91" i="12"/>
  <c r="E91" i="12"/>
  <c r="D203" i="12"/>
  <c r="D210" i="12"/>
  <c r="D53" i="6"/>
  <c r="D69" i="6"/>
  <c r="D70" i="6"/>
  <c r="D83" i="6"/>
  <c r="D39" i="6"/>
  <c r="D16" i="17"/>
  <c r="D27" i="4"/>
  <c r="I253" i="12"/>
  <c r="J253" i="12"/>
  <c r="D134" i="12"/>
  <c r="E134" i="12"/>
  <c r="B191" i="12"/>
  <c r="D186" i="12"/>
  <c r="D171" i="12"/>
  <c r="F424" i="6"/>
  <c r="F426" i="6"/>
  <c r="G398" i="6"/>
  <c r="D98" i="12"/>
  <c r="F175" i="6"/>
  <c r="G169" i="6"/>
  <c r="G173" i="6"/>
  <c r="D159" i="12"/>
  <c r="E159" i="12"/>
  <c r="D52" i="8"/>
  <c r="B136" i="12"/>
  <c r="D133" i="12"/>
  <c r="F413" i="6"/>
  <c r="G387" i="6"/>
  <c r="D107" i="12"/>
  <c r="D215" i="12"/>
  <c r="E135" i="12"/>
  <c r="F135" i="12"/>
  <c r="D435" i="6"/>
  <c r="E155" i="6"/>
  <c r="F149" i="6"/>
  <c r="F153" i="6"/>
  <c r="D125" i="8"/>
  <c r="D130" i="8"/>
  <c r="D140" i="8"/>
  <c r="A13" i="6"/>
  <c r="A22" i="6"/>
  <c r="F260" i="8"/>
  <c r="F262" i="8"/>
  <c r="D30" i="17"/>
  <c r="E415" i="6"/>
  <c r="E435" i="6"/>
  <c r="D143" i="12"/>
  <c r="D230" i="8"/>
  <c r="D235" i="8"/>
  <c r="D172" i="8"/>
  <c r="D170" i="8"/>
  <c r="E230" i="8"/>
  <c r="E235" i="8"/>
  <c r="E172" i="8"/>
  <c r="F230" i="8"/>
  <c r="F235" i="8"/>
  <c r="F172" i="8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/>
  <c r="G402" i="6"/>
  <c r="F428" i="6"/>
  <c r="F433" i="6"/>
  <c r="F431" i="6"/>
  <c r="G405" i="6"/>
  <c r="E43" i="17"/>
  <c r="E45" i="17"/>
  <c r="F42" i="17"/>
  <c r="F43" i="17"/>
  <c r="F45" i="17"/>
  <c r="G42" i="17"/>
  <c r="D222" i="8"/>
  <c r="D227" i="8"/>
  <c r="D162" i="8"/>
  <c r="D160" i="8"/>
  <c r="F159" i="6"/>
  <c r="F163" i="6"/>
  <c r="E165" i="6"/>
  <c r="D251" i="12"/>
  <c r="D258" i="12"/>
  <c r="H80" i="6"/>
  <c r="H36" i="6"/>
  <c r="H185" i="3"/>
  <c r="E308" i="6"/>
  <c r="B144" i="12"/>
  <c r="D141" i="12"/>
  <c r="E141" i="12"/>
  <c r="H278" i="6"/>
  <c r="G302" i="6"/>
  <c r="G301" i="6"/>
  <c r="G303" i="6"/>
  <c r="H300" i="6"/>
  <c r="G284" i="6"/>
  <c r="G296" i="6"/>
  <c r="D285" i="6"/>
  <c r="D307" i="6"/>
  <c r="D82" i="6"/>
  <c r="D38" i="6"/>
  <c r="E150" i="12"/>
  <c r="E433" i="6"/>
  <c r="E421" i="6"/>
  <c r="D278" i="8"/>
  <c r="D103" i="8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/>
  <c r="E36" i="17"/>
  <c r="E37" i="17"/>
  <c r="E39" i="17"/>
  <c r="F36" i="17"/>
  <c r="E143" i="6"/>
  <c r="E179" i="6"/>
  <c r="E180" i="8"/>
  <c r="F308" i="6"/>
  <c r="H81" i="6"/>
  <c r="H37" i="6"/>
  <c r="F417" i="6"/>
  <c r="G391" i="6"/>
  <c r="D90" i="12"/>
  <c r="E90" i="12"/>
  <c r="B152" i="12"/>
  <c r="D60" i="12"/>
  <c r="D149" i="12"/>
  <c r="D152" i="12"/>
  <c r="F214" i="8"/>
  <c r="F219" i="8"/>
  <c r="F152" i="8"/>
  <c r="C18" i="13"/>
  <c r="E216" i="12"/>
  <c r="I18" i="13"/>
  <c r="I46" i="13"/>
  <c r="J145" i="4"/>
  <c r="E186" i="12"/>
  <c r="E171" i="12"/>
  <c r="F174" i="12"/>
  <c r="F186" i="12"/>
  <c r="F171" i="12"/>
  <c r="G174" i="12"/>
  <c r="F252" i="12"/>
  <c r="H206" i="12"/>
  <c r="I206" i="12"/>
  <c r="F193" i="12"/>
  <c r="F204" i="12"/>
  <c r="G27" i="4"/>
  <c r="G16" i="17"/>
  <c r="G205" i="12"/>
  <c r="E16" i="17"/>
  <c r="E27" i="4"/>
  <c r="H254" i="12"/>
  <c r="I254" i="12"/>
  <c r="G186" i="12"/>
  <c r="G171" i="12"/>
  <c r="H174" i="12"/>
  <c r="B194" i="12"/>
  <c r="I218" i="12"/>
  <c r="G217" i="12"/>
  <c r="F18" i="17"/>
  <c r="F27" i="4"/>
  <c r="E192" i="12"/>
  <c r="F192" i="12"/>
  <c r="D61" i="20"/>
  <c r="E61" i="20"/>
  <c r="E36" i="20"/>
  <c r="G36" i="20"/>
  <c r="F36" i="20"/>
  <c r="F5" i="20"/>
  <c r="J5" i="20"/>
  <c r="I24" i="4"/>
  <c r="I18" i="17"/>
  <c r="I38" i="17"/>
  <c r="J22" i="4"/>
  <c r="J16" i="17"/>
  <c r="J26" i="4"/>
  <c r="J20" i="17"/>
  <c r="J50" i="17"/>
  <c r="I16" i="4"/>
  <c r="I6" i="12"/>
  <c r="J49" i="4"/>
  <c r="J8" i="12"/>
  <c r="I40" i="4"/>
  <c r="I7" i="12"/>
  <c r="I52" i="13"/>
  <c r="J25" i="4"/>
  <c r="J19" i="17"/>
  <c r="J44" i="17"/>
  <c r="I22" i="4"/>
  <c r="I16" i="17"/>
  <c r="I26" i="17"/>
  <c r="I26" i="4"/>
  <c r="I20" i="17"/>
  <c r="I50" i="17"/>
  <c r="K256" i="12"/>
  <c r="K208" i="12"/>
  <c r="L208" i="12"/>
  <c r="K257" i="12"/>
  <c r="L257" i="12"/>
  <c r="K209" i="12"/>
  <c r="L209" i="12"/>
  <c r="J24" i="4"/>
  <c r="J18" i="17"/>
  <c r="J38" i="17"/>
  <c r="J40" i="4"/>
  <c r="J7" i="12"/>
  <c r="J52" i="13"/>
  <c r="J16" i="4"/>
  <c r="J6" i="12"/>
  <c r="I49" i="4"/>
  <c r="I8" i="12"/>
  <c r="H27" i="4"/>
  <c r="K243" i="12"/>
  <c r="I255" i="12"/>
  <c r="J255" i="12"/>
  <c r="I219" i="12"/>
  <c r="J219" i="12"/>
  <c r="K219" i="12"/>
  <c r="H186" i="12"/>
  <c r="H171" i="12"/>
  <c r="I174" i="12"/>
  <c r="G158" i="12"/>
  <c r="H158" i="12"/>
  <c r="I158" i="12"/>
  <c r="E46" i="8"/>
  <c r="E54" i="8"/>
  <c r="E214" i="8"/>
  <c r="E219" i="8"/>
  <c r="E152" i="8"/>
  <c r="E149" i="12"/>
  <c r="F149" i="12"/>
  <c r="G149" i="12"/>
  <c r="H149" i="12"/>
  <c r="E203" i="12"/>
  <c r="E210" i="12"/>
  <c r="G135" i="12"/>
  <c r="H135" i="12"/>
  <c r="I135" i="12"/>
  <c r="G151" i="12"/>
  <c r="H151" i="12"/>
  <c r="I151" i="12"/>
  <c r="K253" i="12"/>
  <c r="L253" i="12"/>
  <c r="M253" i="12"/>
  <c r="N253" i="12"/>
  <c r="E251" i="12"/>
  <c r="H295" i="6"/>
  <c r="H297" i="6"/>
  <c r="D155" i="8"/>
  <c r="E149" i="8"/>
  <c r="H302" i="6"/>
  <c r="H301" i="6"/>
  <c r="H303" i="6"/>
  <c r="H296" i="6"/>
  <c r="H284" i="6"/>
  <c r="F46" i="8"/>
  <c r="F54" i="8"/>
  <c r="I23" i="13"/>
  <c r="I24" i="13"/>
  <c r="J23" i="13"/>
  <c r="J24" i="13"/>
  <c r="E23" i="13"/>
  <c r="E24" i="13"/>
  <c r="E10" i="14"/>
  <c r="I5" i="8"/>
  <c r="I6" i="8"/>
  <c r="H5" i="8"/>
  <c r="H6" i="8"/>
  <c r="H18" i="8"/>
  <c r="D23" i="13"/>
  <c r="H23" i="13"/>
  <c r="H24" i="13"/>
  <c r="H10" i="14"/>
  <c r="F23" i="13"/>
  <c r="F24" i="13"/>
  <c r="F10" i="14"/>
  <c r="J5" i="8"/>
  <c r="J6" i="8"/>
  <c r="G5" i="8"/>
  <c r="G6" i="8"/>
  <c r="F18" i="8"/>
  <c r="E18" i="8"/>
  <c r="D18" i="8"/>
  <c r="K5" i="8"/>
  <c r="K6" i="8"/>
  <c r="G23" i="13"/>
  <c r="G24" i="13"/>
  <c r="G10" i="14"/>
  <c r="D136" i="12"/>
  <c r="E174" i="12"/>
  <c r="F139" i="6"/>
  <c r="E145" i="6"/>
  <c r="E185" i="6"/>
  <c r="E183" i="6"/>
  <c r="D280" i="8"/>
  <c r="E253" i="8"/>
  <c r="E143" i="12"/>
  <c r="F143" i="12"/>
  <c r="D191" i="12"/>
  <c r="D198" i="12"/>
  <c r="D160" i="12"/>
  <c r="D46" i="8"/>
  <c r="D54" i="8"/>
  <c r="D206" i="8"/>
  <c r="D211" i="8"/>
  <c r="D142" i="8"/>
  <c r="D182" i="8"/>
  <c r="D81" i="8"/>
  <c r="D180" i="8"/>
  <c r="D143" i="8"/>
  <c r="E206" i="8"/>
  <c r="E211" i="8"/>
  <c r="E142" i="8"/>
  <c r="E182" i="8"/>
  <c r="E81" i="8"/>
  <c r="F206" i="8"/>
  <c r="F211" i="8"/>
  <c r="F142" i="8"/>
  <c r="F182" i="8"/>
  <c r="F81" i="8"/>
  <c r="D309" i="6"/>
  <c r="E282" i="6"/>
  <c r="G418" i="6"/>
  <c r="H392" i="6"/>
  <c r="H418" i="6"/>
  <c r="B163" i="12"/>
  <c r="D126" i="12"/>
  <c r="D40" i="12"/>
  <c r="G175" i="6"/>
  <c r="H169" i="6"/>
  <c r="H173" i="6"/>
  <c r="H175" i="6"/>
  <c r="F91" i="12"/>
  <c r="G91" i="12"/>
  <c r="E35" i="6"/>
  <c r="E16" i="6"/>
  <c r="E107" i="12"/>
  <c r="F159" i="12"/>
  <c r="G159" i="12"/>
  <c r="E98" i="12"/>
  <c r="F134" i="12"/>
  <c r="F165" i="6"/>
  <c r="G159" i="6"/>
  <c r="G163" i="6"/>
  <c r="D31" i="17"/>
  <c r="D33" i="17"/>
  <c r="E30" i="17"/>
  <c r="E31" i="17"/>
  <c r="E33" i="17"/>
  <c r="F30" i="17"/>
  <c r="F31" i="17"/>
  <c r="F33" i="17"/>
  <c r="G30" i="17"/>
  <c r="G31" i="17"/>
  <c r="G33" i="17"/>
  <c r="H30" i="17"/>
  <c r="H387" i="6"/>
  <c r="H413" i="6"/>
  <c r="G413" i="6"/>
  <c r="K99" i="12"/>
  <c r="D26" i="17"/>
  <c r="D57" i="17"/>
  <c r="D21" i="17"/>
  <c r="F142" i="12"/>
  <c r="G142" i="12"/>
  <c r="F90" i="12"/>
  <c r="G90" i="12"/>
  <c r="F421" i="6"/>
  <c r="E157" i="12"/>
  <c r="G290" i="6"/>
  <c r="D163" i="8"/>
  <c r="B105" i="12"/>
  <c r="G431" i="6"/>
  <c r="H405" i="6"/>
  <c r="H431" i="6"/>
  <c r="B113" i="12"/>
  <c r="D173" i="8"/>
  <c r="D35" i="6"/>
  <c r="D41" i="6"/>
  <c r="D16" i="6"/>
  <c r="E106" i="12"/>
  <c r="E133" i="12"/>
  <c r="H114" i="12"/>
  <c r="I114" i="12"/>
  <c r="F150" i="12"/>
  <c r="D222" i="12"/>
  <c r="E215" i="12"/>
  <c r="E222" i="12"/>
  <c r="D66" i="6"/>
  <c r="D79" i="6"/>
  <c r="D85" i="6"/>
  <c r="D144" i="12"/>
  <c r="G428" i="6"/>
  <c r="G433" i="6"/>
  <c r="H402" i="6"/>
  <c r="H428" i="6"/>
  <c r="H433" i="6"/>
  <c r="H385" i="6"/>
  <c r="H411" i="6"/>
  <c r="G411" i="6"/>
  <c r="F155" i="6"/>
  <c r="G149" i="6"/>
  <c r="G153" i="6"/>
  <c r="H398" i="6"/>
  <c r="H424" i="6"/>
  <c r="H426" i="6"/>
  <c r="G424" i="6"/>
  <c r="G426" i="6"/>
  <c r="H391" i="6"/>
  <c r="H417" i="6"/>
  <c r="H421" i="6"/>
  <c r="G417" i="6"/>
  <c r="G421" i="6"/>
  <c r="F141" i="12"/>
  <c r="G141" i="12"/>
  <c r="G43" i="17"/>
  <c r="G45" i="17"/>
  <c r="H42" i="17"/>
  <c r="H43" i="17"/>
  <c r="H45" i="17"/>
  <c r="I42" i="17"/>
  <c r="I43" i="17"/>
  <c r="I45" i="17"/>
  <c r="J42" i="17"/>
  <c r="F415" i="6"/>
  <c r="F435" i="6"/>
  <c r="H115" i="12"/>
  <c r="F216" i="12"/>
  <c r="G216" i="12"/>
  <c r="G252" i="12"/>
  <c r="J17" i="17"/>
  <c r="J32" i="17"/>
  <c r="G194" i="12"/>
  <c r="H194" i="12"/>
  <c r="F38" i="17"/>
  <c r="F21" i="17"/>
  <c r="J218" i="12"/>
  <c r="K218" i="12"/>
  <c r="G193" i="12"/>
  <c r="H205" i="12"/>
  <c r="H49" i="17"/>
  <c r="H51" i="17"/>
  <c r="I48" i="17"/>
  <c r="J206" i="12"/>
  <c r="H26" i="17"/>
  <c r="H57" i="17"/>
  <c r="H21" i="17"/>
  <c r="J195" i="12"/>
  <c r="K195" i="12"/>
  <c r="G21" i="17"/>
  <c r="G26" i="17"/>
  <c r="G57" i="17"/>
  <c r="G192" i="12"/>
  <c r="H192" i="12"/>
  <c r="E21" i="17"/>
  <c r="E26" i="17"/>
  <c r="J254" i="12"/>
  <c r="H217" i="12"/>
  <c r="G204" i="12"/>
  <c r="I207" i="12"/>
  <c r="K245" i="12"/>
  <c r="D63" i="20"/>
  <c r="E63" i="20"/>
  <c r="K233" i="12"/>
  <c r="L233" i="12"/>
  <c r="M233" i="12"/>
  <c r="D49" i="20"/>
  <c r="E49" i="20"/>
  <c r="D62" i="20"/>
  <c r="E62" i="20"/>
  <c r="E64" i="20"/>
  <c r="D48" i="20"/>
  <c r="E48" i="20"/>
  <c r="E50" i="20"/>
  <c r="L245" i="12"/>
  <c r="M245" i="12"/>
  <c r="N245" i="12"/>
  <c r="J27" i="4"/>
  <c r="B222" i="12"/>
  <c r="K221" i="12"/>
  <c r="L221" i="12"/>
  <c r="M221" i="12"/>
  <c r="B234" i="12"/>
  <c r="B198" i="12"/>
  <c r="K197" i="12"/>
  <c r="B246" i="12"/>
  <c r="B210" i="12"/>
  <c r="M257" i="12"/>
  <c r="N257" i="12"/>
  <c r="J186" i="12"/>
  <c r="J171" i="12"/>
  <c r="K174" i="12"/>
  <c r="I57" i="17"/>
  <c r="B258" i="12"/>
  <c r="I27" i="4"/>
  <c r="I186" i="12"/>
  <c r="I171" i="12"/>
  <c r="J174" i="12"/>
  <c r="L256" i="12"/>
  <c r="M256" i="12"/>
  <c r="K231" i="12"/>
  <c r="L231" i="12"/>
  <c r="I21" i="17"/>
  <c r="L219" i="12"/>
  <c r="M219" i="12"/>
  <c r="N219" i="12"/>
  <c r="M209" i="12"/>
  <c r="N209" i="12"/>
  <c r="I18" i="8"/>
  <c r="F203" i="12"/>
  <c r="F210" i="12"/>
  <c r="E152" i="12"/>
  <c r="J158" i="12"/>
  <c r="K158" i="12"/>
  <c r="E153" i="8"/>
  <c r="E155" i="8"/>
  <c r="B97" i="12"/>
  <c r="D97" i="12"/>
  <c r="D100" i="12"/>
  <c r="D34" i="12"/>
  <c r="F55" i="8"/>
  <c r="E258" i="12"/>
  <c r="E191" i="12"/>
  <c r="E198" i="12"/>
  <c r="F251" i="12"/>
  <c r="E53" i="6"/>
  <c r="E69" i="6"/>
  <c r="E70" i="6"/>
  <c r="E83" i="6"/>
  <c r="E39" i="6"/>
  <c r="B108" i="12"/>
  <c r="D50" i="12"/>
  <c r="D105" i="12"/>
  <c r="D108" i="12"/>
  <c r="L99" i="12"/>
  <c r="M99" i="12"/>
  <c r="E306" i="6"/>
  <c r="E283" i="6"/>
  <c r="E307" i="6"/>
  <c r="E82" i="6"/>
  <c r="E38" i="6"/>
  <c r="G143" i="12"/>
  <c r="G144" i="12"/>
  <c r="D24" i="13"/>
  <c r="H90" i="12"/>
  <c r="J21" i="17"/>
  <c r="G134" i="12"/>
  <c r="F157" i="12"/>
  <c r="F160" i="12"/>
  <c r="D55" i="8"/>
  <c r="E55" i="8"/>
  <c r="E277" i="8"/>
  <c r="E254" i="8"/>
  <c r="E278" i="8"/>
  <c r="E103" i="8"/>
  <c r="H216" i="12"/>
  <c r="I216" i="12"/>
  <c r="H142" i="12"/>
  <c r="F106" i="12"/>
  <c r="G289" i="6"/>
  <c r="G291" i="6"/>
  <c r="H288" i="6"/>
  <c r="G308" i="6"/>
  <c r="F107" i="12"/>
  <c r="G107" i="12"/>
  <c r="B89" i="12"/>
  <c r="D184" i="3"/>
  <c r="D26" i="8"/>
  <c r="D27" i="8"/>
  <c r="D42" i="6"/>
  <c r="E160" i="12"/>
  <c r="K60" i="8"/>
  <c r="K61" i="8"/>
  <c r="K65" i="8"/>
  <c r="K14" i="8"/>
  <c r="K16" i="8"/>
  <c r="J60" i="8"/>
  <c r="I60" i="8"/>
  <c r="H60" i="8"/>
  <c r="F60" i="8"/>
  <c r="G60" i="8"/>
  <c r="E136" i="12"/>
  <c r="E44" i="12"/>
  <c r="F133" i="12"/>
  <c r="F143" i="6"/>
  <c r="F179" i="6"/>
  <c r="E169" i="8"/>
  <c r="E173" i="8"/>
  <c r="D175" i="8"/>
  <c r="F152" i="12"/>
  <c r="G150" i="12"/>
  <c r="H150" i="12"/>
  <c r="E144" i="12"/>
  <c r="D163" i="12"/>
  <c r="D127" i="12"/>
  <c r="D44" i="12"/>
  <c r="D45" i="12"/>
  <c r="E40" i="12"/>
  <c r="J151" i="12"/>
  <c r="I115" i="12"/>
  <c r="J115" i="12"/>
  <c r="F215" i="12"/>
  <c r="H159" i="12"/>
  <c r="I159" i="12"/>
  <c r="I149" i="12"/>
  <c r="G155" i="6"/>
  <c r="H149" i="6"/>
  <c r="H153" i="6"/>
  <c r="H155" i="6"/>
  <c r="D86" i="6"/>
  <c r="E84" i="6"/>
  <c r="J114" i="12"/>
  <c r="K114" i="12"/>
  <c r="J135" i="12"/>
  <c r="K135" i="12"/>
  <c r="B116" i="12"/>
  <c r="D70" i="12"/>
  <c r="D113" i="12"/>
  <c r="D116" i="12"/>
  <c r="D74" i="12"/>
  <c r="E159" i="8"/>
  <c r="E163" i="8"/>
  <c r="D165" i="8"/>
  <c r="E41" i="6"/>
  <c r="E129" i="12"/>
  <c r="D183" i="8"/>
  <c r="E139" i="8"/>
  <c r="D145" i="8"/>
  <c r="F35" i="6"/>
  <c r="F16" i="6"/>
  <c r="F144" i="12"/>
  <c r="H141" i="12"/>
  <c r="G415" i="6"/>
  <c r="G435" i="6"/>
  <c r="G165" i="6"/>
  <c r="H159" i="6"/>
  <c r="H163" i="6"/>
  <c r="H165" i="6"/>
  <c r="H91" i="12"/>
  <c r="J18" i="8"/>
  <c r="K18" i="8"/>
  <c r="H415" i="6"/>
  <c r="H435" i="6"/>
  <c r="D261" i="12"/>
  <c r="D172" i="12"/>
  <c r="D173" i="12"/>
  <c r="E170" i="12"/>
  <c r="F98" i="12"/>
  <c r="H290" i="6"/>
  <c r="H308" i="6"/>
  <c r="J26" i="17"/>
  <c r="J57" i="17"/>
  <c r="H252" i="12"/>
  <c r="I252" i="12"/>
  <c r="J43" i="17"/>
  <c r="J45" i="17"/>
  <c r="K42" i="17"/>
  <c r="H7" i="20"/>
  <c r="L195" i="12"/>
  <c r="I205" i="12"/>
  <c r="J205" i="12"/>
  <c r="I217" i="12"/>
  <c r="J217" i="12"/>
  <c r="K196" i="12"/>
  <c r="H193" i="12"/>
  <c r="I193" i="12"/>
  <c r="K229" i="12"/>
  <c r="L229" i="12"/>
  <c r="E57" i="17"/>
  <c r="O253" i="12"/>
  <c r="P253" i="12"/>
  <c r="J207" i="12"/>
  <c r="I194" i="12"/>
  <c r="J10" i="14"/>
  <c r="H204" i="12"/>
  <c r="K220" i="12"/>
  <c r="L220" i="12"/>
  <c r="I49" i="17"/>
  <c r="I51" i="17"/>
  <c r="J48" i="17"/>
  <c r="K254" i="12"/>
  <c r="H31" i="17"/>
  <c r="H33" i="17"/>
  <c r="I30" i="17"/>
  <c r="K255" i="12"/>
  <c r="L243" i="12"/>
  <c r="K206" i="12"/>
  <c r="M208" i="12"/>
  <c r="F37" i="17"/>
  <c r="F39" i="17"/>
  <c r="G36" i="17"/>
  <c r="F57" i="17"/>
  <c r="I10" i="14"/>
  <c r="K242" i="12"/>
  <c r="L242" i="12"/>
  <c r="I192" i="12"/>
  <c r="L218" i="12"/>
  <c r="K244" i="12"/>
  <c r="L244" i="12"/>
  <c r="M244" i="12"/>
  <c r="N233" i="12"/>
  <c r="O233" i="12"/>
  <c r="G64" i="20"/>
  <c r="F64" i="20"/>
  <c r="F7" i="20"/>
  <c r="J7" i="20"/>
  <c r="K232" i="12"/>
  <c r="F50" i="20"/>
  <c r="F6" i="20"/>
  <c r="J6" i="20"/>
  <c r="O245" i="12"/>
  <c r="P245" i="12"/>
  <c r="Q245" i="12"/>
  <c r="R245" i="12"/>
  <c r="S245" i="12"/>
  <c r="N221" i="12"/>
  <c r="M231" i="12"/>
  <c r="N231" i="12"/>
  <c r="O257" i="12"/>
  <c r="P257" i="12"/>
  <c r="Q257" i="12"/>
  <c r="N256" i="12"/>
  <c r="O256" i="12"/>
  <c r="B261" i="12"/>
  <c r="O219" i="12"/>
  <c r="P219" i="12"/>
  <c r="O209" i="12"/>
  <c r="P209" i="12"/>
  <c r="Q209" i="12"/>
  <c r="R209" i="12"/>
  <c r="S209" i="12"/>
  <c r="T209" i="12"/>
  <c r="U209" i="12"/>
  <c r="V209" i="12"/>
  <c r="G203" i="12"/>
  <c r="H203" i="12"/>
  <c r="I203" i="12"/>
  <c r="G157" i="12"/>
  <c r="G160" i="12"/>
  <c r="L158" i="12"/>
  <c r="M158" i="12"/>
  <c r="B100" i="12"/>
  <c r="D30" i="12"/>
  <c r="D35" i="12"/>
  <c r="E30" i="12"/>
  <c r="F149" i="8"/>
  <c r="F153" i="8"/>
  <c r="F155" i="8"/>
  <c r="E113" i="12"/>
  <c r="E116" i="12"/>
  <c r="E74" i="12"/>
  <c r="K115" i="12"/>
  <c r="L115" i="12"/>
  <c r="F191" i="12"/>
  <c r="F198" i="12"/>
  <c r="E97" i="12"/>
  <c r="E100" i="12"/>
  <c r="E34" i="12"/>
  <c r="F258" i="12"/>
  <c r="E45" i="12"/>
  <c r="F40" i="12"/>
  <c r="G210" i="12"/>
  <c r="G152" i="12"/>
  <c r="G251" i="12"/>
  <c r="G258" i="12"/>
  <c r="K240" i="12"/>
  <c r="L240" i="12"/>
  <c r="J252" i="12"/>
  <c r="K252" i="12"/>
  <c r="K228" i="12"/>
  <c r="L228" i="12"/>
  <c r="M228" i="12"/>
  <c r="J159" i="12"/>
  <c r="K159" i="12"/>
  <c r="G215" i="12"/>
  <c r="G222" i="12"/>
  <c r="E42" i="6"/>
  <c r="E184" i="3"/>
  <c r="E26" i="8"/>
  <c r="E27" i="8"/>
  <c r="D75" i="12"/>
  <c r="E70" i="12"/>
  <c r="I91" i="12"/>
  <c r="J91" i="12"/>
  <c r="D185" i="8"/>
  <c r="E175" i="8"/>
  <c r="F169" i="8"/>
  <c r="F173" i="8"/>
  <c r="F175" i="8"/>
  <c r="H107" i="12"/>
  <c r="I90" i="12"/>
  <c r="N99" i="12"/>
  <c r="G16" i="6"/>
  <c r="G35" i="6"/>
  <c r="B92" i="12"/>
  <c r="D89" i="12"/>
  <c r="D92" i="12"/>
  <c r="H134" i="12"/>
  <c r="G98" i="12"/>
  <c r="J149" i="12"/>
  <c r="K149" i="12"/>
  <c r="L149" i="12"/>
  <c r="I150" i="12"/>
  <c r="H157" i="12"/>
  <c r="I157" i="12"/>
  <c r="I160" i="12"/>
  <c r="E285" i="6"/>
  <c r="D128" i="12"/>
  <c r="E126" i="12"/>
  <c r="D87" i="6"/>
  <c r="D92" i="6"/>
  <c r="D88" i="6"/>
  <c r="D91" i="6"/>
  <c r="D93" i="6"/>
  <c r="H152" i="12"/>
  <c r="L135" i="12"/>
  <c r="F183" i="6"/>
  <c r="G139" i="6"/>
  <c r="F145" i="6"/>
  <c r="F185" i="6"/>
  <c r="D43" i="6"/>
  <c r="D44" i="6"/>
  <c r="D45" i="6"/>
  <c r="D19" i="6"/>
  <c r="D20" i="6"/>
  <c r="F222" i="12"/>
  <c r="D58" i="8"/>
  <c r="D61" i="8"/>
  <c r="D65" i="8"/>
  <c r="D14" i="8"/>
  <c r="F58" i="8"/>
  <c r="G58" i="8"/>
  <c r="I58" i="8"/>
  <c r="H58" i="8"/>
  <c r="E58" i="8"/>
  <c r="K151" i="12"/>
  <c r="L151" i="12"/>
  <c r="M151" i="12"/>
  <c r="D10" i="14"/>
  <c r="D11" i="14"/>
  <c r="E261" i="12"/>
  <c r="E172" i="12"/>
  <c r="E173" i="12"/>
  <c r="F170" i="12"/>
  <c r="H35" i="6"/>
  <c r="H16" i="6"/>
  <c r="F136" i="12"/>
  <c r="F163" i="12"/>
  <c r="F127" i="12"/>
  <c r="H289" i="6"/>
  <c r="H291" i="6"/>
  <c r="E165" i="8"/>
  <c r="F159" i="8"/>
  <c r="F163" i="8"/>
  <c r="F165" i="8"/>
  <c r="E163" i="12"/>
  <c r="E127" i="12"/>
  <c r="E105" i="12"/>
  <c r="F105" i="12"/>
  <c r="F108" i="12"/>
  <c r="L114" i="12"/>
  <c r="M114" i="12"/>
  <c r="I142" i="12"/>
  <c r="J142" i="12"/>
  <c r="E256" i="8"/>
  <c r="E179" i="8"/>
  <c r="E143" i="8"/>
  <c r="H143" i="12"/>
  <c r="E66" i="6"/>
  <c r="E79" i="6"/>
  <c r="E85" i="6"/>
  <c r="G133" i="12"/>
  <c r="G136" i="12"/>
  <c r="H59" i="8"/>
  <c r="F59" i="8"/>
  <c r="I59" i="8"/>
  <c r="J59" i="8"/>
  <c r="J61" i="8"/>
  <c r="J65" i="8"/>
  <c r="J14" i="8"/>
  <c r="J16" i="8"/>
  <c r="E59" i="8"/>
  <c r="G59" i="8"/>
  <c r="I141" i="12"/>
  <c r="D28" i="8"/>
  <c r="D29" i="8"/>
  <c r="D32" i="8"/>
  <c r="D36" i="8"/>
  <c r="D13" i="8"/>
  <c r="G106" i="12"/>
  <c r="K205" i="12"/>
  <c r="J193" i="12"/>
  <c r="K193" i="12"/>
  <c r="L193" i="12"/>
  <c r="M220" i="12"/>
  <c r="N220" i="12"/>
  <c r="O220" i="12"/>
  <c r="P220" i="12"/>
  <c r="K43" i="17"/>
  <c r="K45" i="17"/>
  <c r="L42" i="17"/>
  <c r="J194" i="12"/>
  <c r="K194" i="12"/>
  <c r="M229" i="12"/>
  <c r="K207" i="12"/>
  <c r="L255" i="12"/>
  <c r="J49" i="17"/>
  <c r="J51" i="17"/>
  <c r="K48" i="17"/>
  <c r="H8" i="20"/>
  <c r="L206" i="12"/>
  <c r="M206" i="12"/>
  <c r="L196" i="12"/>
  <c r="M196" i="12"/>
  <c r="N196" i="12"/>
  <c r="Q253" i="12"/>
  <c r="R253" i="12"/>
  <c r="S253" i="12"/>
  <c r="T253" i="12"/>
  <c r="U253" i="12"/>
  <c r="V253" i="12"/>
  <c r="W253" i="12"/>
  <c r="X253" i="12"/>
  <c r="Y253" i="12"/>
  <c r="Z253" i="12"/>
  <c r="AA253" i="12"/>
  <c r="M195" i="12"/>
  <c r="M218" i="12"/>
  <c r="K217" i="12"/>
  <c r="L217" i="12"/>
  <c r="M242" i="12"/>
  <c r="M243" i="12"/>
  <c r="L197" i="12"/>
  <c r="M197" i="12"/>
  <c r="N208" i="12"/>
  <c r="O208" i="12"/>
  <c r="I31" i="17"/>
  <c r="I33" i="17"/>
  <c r="J30" i="17"/>
  <c r="J216" i="12"/>
  <c r="J192" i="12"/>
  <c r="K192" i="12"/>
  <c r="G37" i="17"/>
  <c r="G39" i="17"/>
  <c r="H36" i="17"/>
  <c r="L254" i="12"/>
  <c r="I204" i="12"/>
  <c r="J204" i="12"/>
  <c r="K230" i="12"/>
  <c r="P233" i="12"/>
  <c r="Q233" i="12"/>
  <c r="L232" i="12"/>
  <c r="M232" i="12"/>
  <c r="T245" i="12"/>
  <c r="U245" i="12"/>
  <c r="O231" i="12"/>
  <c r="P231" i="12"/>
  <c r="Q231" i="12"/>
  <c r="R257" i="12"/>
  <c r="S257" i="12"/>
  <c r="R233" i="12"/>
  <c r="S233" i="12"/>
  <c r="O221" i="12"/>
  <c r="P221" i="12"/>
  <c r="Q221" i="12"/>
  <c r="R221" i="12"/>
  <c r="P256" i="12"/>
  <c r="Q256" i="12"/>
  <c r="R256" i="12"/>
  <c r="S256" i="12"/>
  <c r="T256" i="12"/>
  <c r="Q219" i="12"/>
  <c r="R219" i="12"/>
  <c r="E35" i="12"/>
  <c r="F30" i="12"/>
  <c r="E75" i="12"/>
  <c r="F70" i="12"/>
  <c r="G61" i="8"/>
  <c r="G65" i="8"/>
  <c r="G14" i="8"/>
  <c r="I61" i="8"/>
  <c r="I65" i="8"/>
  <c r="I14" i="8"/>
  <c r="I16" i="8"/>
  <c r="F61" i="8"/>
  <c r="F65" i="8"/>
  <c r="F14" i="8"/>
  <c r="F113" i="12"/>
  <c r="F116" i="12"/>
  <c r="G113" i="12"/>
  <c r="F97" i="12"/>
  <c r="F74" i="12"/>
  <c r="G191" i="12"/>
  <c r="G198" i="12"/>
  <c r="G261" i="12"/>
  <c r="G172" i="12"/>
  <c r="E128" i="12"/>
  <c r="F126" i="12"/>
  <c r="F128" i="12"/>
  <c r="G126" i="12"/>
  <c r="E89" i="12"/>
  <c r="E92" i="12"/>
  <c r="E24" i="12"/>
  <c r="H251" i="12"/>
  <c r="G163" i="12"/>
  <c r="G127" i="12"/>
  <c r="H210" i="12"/>
  <c r="H215" i="12"/>
  <c r="H222" i="12"/>
  <c r="G44" i="12"/>
  <c r="J203" i="12"/>
  <c r="M240" i="12"/>
  <c r="N240" i="12"/>
  <c r="L159" i="12"/>
  <c r="M159" i="12"/>
  <c r="N159" i="12"/>
  <c r="O159" i="12"/>
  <c r="P159" i="12"/>
  <c r="Q159" i="12"/>
  <c r="R159" i="12"/>
  <c r="S159" i="12"/>
  <c r="T159" i="12"/>
  <c r="U159" i="12"/>
  <c r="F253" i="8"/>
  <c r="E280" i="8"/>
  <c r="F69" i="6"/>
  <c r="F70" i="6"/>
  <c r="F83" i="6"/>
  <c r="F39" i="6"/>
  <c r="F53" i="6"/>
  <c r="O99" i="12"/>
  <c r="P99" i="12"/>
  <c r="Q99" i="12"/>
  <c r="K142" i="12"/>
  <c r="H98" i="12"/>
  <c r="I143" i="12"/>
  <c r="J143" i="12"/>
  <c r="K143" i="12"/>
  <c r="E43" i="6"/>
  <c r="E44" i="6"/>
  <c r="E45" i="6"/>
  <c r="E19" i="6"/>
  <c r="E20" i="6"/>
  <c r="M149" i="12"/>
  <c r="N149" i="12"/>
  <c r="M115" i="12"/>
  <c r="N115" i="12"/>
  <c r="O115" i="12"/>
  <c r="P115" i="12"/>
  <c r="K91" i="12"/>
  <c r="L91" i="12"/>
  <c r="M91" i="12"/>
  <c r="E183" i="8"/>
  <c r="E145" i="8"/>
  <c r="E185" i="8"/>
  <c r="F139" i="8"/>
  <c r="H61" i="8"/>
  <c r="H65" i="8"/>
  <c r="H14" i="8"/>
  <c r="B119" i="12"/>
  <c r="D82" i="12"/>
  <c r="D20" i="12"/>
  <c r="G116" i="12"/>
  <c r="G74" i="12"/>
  <c r="H113" i="12"/>
  <c r="I113" i="12"/>
  <c r="I116" i="12"/>
  <c r="G179" i="6"/>
  <c r="G143" i="6"/>
  <c r="E28" i="8"/>
  <c r="E29" i="8"/>
  <c r="E32" i="8"/>
  <c r="E36" i="8"/>
  <c r="E13" i="8"/>
  <c r="N151" i="12"/>
  <c r="O151" i="12"/>
  <c r="P151" i="12"/>
  <c r="Q151" i="12"/>
  <c r="I107" i="12"/>
  <c r="D15" i="14"/>
  <c r="E11" i="14"/>
  <c r="N114" i="12"/>
  <c r="H106" i="12"/>
  <c r="I106" i="12"/>
  <c r="J106" i="12"/>
  <c r="I98" i="12"/>
  <c r="I134" i="12"/>
  <c r="H144" i="12"/>
  <c r="M135" i="12"/>
  <c r="E108" i="12"/>
  <c r="G105" i="12"/>
  <c r="F44" i="12"/>
  <c r="F45" i="12"/>
  <c r="G40" i="12"/>
  <c r="F261" i="12"/>
  <c r="F172" i="12"/>
  <c r="D56" i="6"/>
  <c r="D95" i="6"/>
  <c r="J141" i="12"/>
  <c r="J150" i="12"/>
  <c r="K150" i="12"/>
  <c r="L150" i="12"/>
  <c r="D91" i="8"/>
  <c r="D92" i="8"/>
  <c r="D104" i="8"/>
  <c r="D106" i="8"/>
  <c r="D80" i="8"/>
  <c r="F84" i="6"/>
  <c r="E86" i="6"/>
  <c r="E309" i="6"/>
  <c r="F282" i="6"/>
  <c r="J90" i="12"/>
  <c r="K90" i="12"/>
  <c r="L90" i="12"/>
  <c r="D24" i="12"/>
  <c r="D119" i="12"/>
  <c r="D83" i="12"/>
  <c r="D9" i="12"/>
  <c r="K227" i="12"/>
  <c r="H133" i="12"/>
  <c r="E61" i="8"/>
  <c r="E65" i="8"/>
  <c r="E14" i="8"/>
  <c r="H160" i="12"/>
  <c r="J157" i="12"/>
  <c r="K239" i="12"/>
  <c r="I152" i="12"/>
  <c r="N158" i="12"/>
  <c r="L205" i="12"/>
  <c r="M205" i="12"/>
  <c r="N197" i="12"/>
  <c r="O197" i="12"/>
  <c r="L252" i="12"/>
  <c r="M252" i="12"/>
  <c r="N218" i="12"/>
  <c r="O218" i="12"/>
  <c r="P218" i="12"/>
  <c r="Q218" i="12"/>
  <c r="W209" i="12"/>
  <c r="X209" i="12"/>
  <c r="Y209" i="12"/>
  <c r="Z209" i="12"/>
  <c r="AA209" i="12"/>
  <c r="M217" i="12"/>
  <c r="N217" i="12"/>
  <c r="H37" i="17"/>
  <c r="H39" i="17"/>
  <c r="I36" i="17"/>
  <c r="K49" i="17"/>
  <c r="K51" i="17"/>
  <c r="L48" i="17"/>
  <c r="Q220" i="12"/>
  <c r="R220" i="12"/>
  <c r="S220" i="12"/>
  <c r="J31" i="17"/>
  <c r="J33" i="17"/>
  <c r="K30" i="17"/>
  <c r="P208" i="12"/>
  <c r="Q208" i="12"/>
  <c r="R208" i="12"/>
  <c r="S208" i="12"/>
  <c r="T208" i="12"/>
  <c r="U208" i="12"/>
  <c r="N244" i="12"/>
  <c r="O244" i="12"/>
  <c r="O196" i="12"/>
  <c r="P196" i="12"/>
  <c r="M193" i="12"/>
  <c r="N193" i="12"/>
  <c r="L207" i="12"/>
  <c r="L230" i="12"/>
  <c r="M230" i="12"/>
  <c r="L43" i="17"/>
  <c r="L45" i="17"/>
  <c r="M42" i="17"/>
  <c r="K204" i="12"/>
  <c r="K216" i="12"/>
  <c r="L216" i="12"/>
  <c r="K241" i="12"/>
  <c r="M255" i="12"/>
  <c r="N242" i="12"/>
  <c r="O242" i="12"/>
  <c r="M254" i="12"/>
  <c r="N228" i="12"/>
  <c r="L194" i="12"/>
  <c r="L192" i="12"/>
  <c r="N243" i="12"/>
  <c r="O243" i="12"/>
  <c r="P243" i="12"/>
  <c r="Q243" i="12"/>
  <c r="N229" i="12"/>
  <c r="O229" i="12"/>
  <c r="P229" i="12"/>
  <c r="Q229" i="12"/>
  <c r="R229" i="12"/>
  <c r="S229" i="12"/>
  <c r="N206" i="12"/>
  <c r="N195" i="12"/>
  <c r="N232" i="12"/>
  <c r="O232" i="12"/>
  <c r="V245" i="12"/>
  <c r="W245" i="12"/>
  <c r="X245" i="12"/>
  <c r="Y245" i="12"/>
  <c r="Z245" i="12"/>
  <c r="AA245" i="12"/>
  <c r="T257" i="12"/>
  <c r="U257" i="12"/>
  <c r="V257" i="12"/>
  <c r="W257" i="12"/>
  <c r="X257" i="12"/>
  <c r="Y257" i="12"/>
  <c r="Z257" i="12"/>
  <c r="AA257" i="12"/>
  <c r="T233" i="12"/>
  <c r="U233" i="12"/>
  <c r="V233" i="12"/>
  <c r="W233" i="12"/>
  <c r="X233" i="12"/>
  <c r="Y233" i="12"/>
  <c r="Z233" i="12"/>
  <c r="AA233" i="12"/>
  <c r="S221" i="12"/>
  <c r="T221" i="12"/>
  <c r="U221" i="12"/>
  <c r="V221" i="12"/>
  <c r="W221" i="12"/>
  <c r="X221" i="12"/>
  <c r="Y221" i="12"/>
  <c r="Z221" i="12"/>
  <c r="AA221" i="12"/>
  <c r="F75" i="12"/>
  <c r="G70" i="12"/>
  <c r="G75" i="12"/>
  <c r="H70" i="12"/>
  <c r="G128" i="12"/>
  <c r="H126" i="12"/>
  <c r="I144" i="12"/>
  <c r="F89" i="12"/>
  <c r="R99" i="12"/>
  <c r="S99" i="12"/>
  <c r="T99" i="12"/>
  <c r="U99" i="12"/>
  <c r="V99" i="12"/>
  <c r="W99" i="12"/>
  <c r="X99" i="12"/>
  <c r="Y99" i="12"/>
  <c r="Z99" i="12"/>
  <c r="AA99" i="12"/>
  <c r="H191" i="12"/>
  <c r="H198" i="12"/>
  <c r="E119" i="12"/>
  <c r="E83" i="12"/>
  <c r="E9" i="12"/>
  <c r="Q31" i="13"/>
  <c r="K203" i="12"/>
  <c r="K210" i="12"/>
  <c r="F100" i="12"/>
  <c r="F34" i="12"/>
  <c r="F35" i="12"/>
  <c r="G30" i="12"/>
  <c r="G97" i="12"/>
  <c r="H258" i="12"/>
  <c r="I251" i="12"/>
  <c r="G45" i="12"/>
  <c r="H40" i="12"/>
  <c r="L239" i="12"/>
  <c r="M239" i="12"/>
  <c r="I215" i="12"/>
  <c r="J215" i="12"/>
  <c r="D25" i="12"/>
  <c r="E20" i="12"/>
  <c r="E25" i="12"/>
  <c r="F20" i="12"/>
  <c r="K152" i="12"/>
  <c r="U256" i="12"/>
  <c r="V256" i="12"/>
  <c r="L143" i="12"/>
  <c r="M143" i="12"/>
  <c r="N143" i="12"/>
  <c r="O143" i="12"/>
  <c r="P143" i="12"/>
  <c r="L152" i="12"/>
  <c r="M150" i="12"/>
  <c r="M152" i="12"/>
  <c r="V159" i="12"/>
  <c r="W159" i="12"/>
  <c r="X159" i="12"/>
  <c r="Y159" i="12"/>
  <c r="Z159" i="12"/>
  <c r="AA159" i="12"/>
  <c r="M90" i="12"/>
  <c r="G108" i="12"/>
  <c r="H105" i="12"/>
  <c r="J107" i="12"/>
  <c r="K107" i="12"/>
  <c r="J113" i="12"/>
  <c r="G145" i="6"/>
  <c r="G185" i="6"/>
  <c r="H139" i="6"/>
  <c r="G183" i="6"/>
  <c r="D37" i="13"/>
  <c r="P31" i="13"/>
  <c r="AA31" i="13"/>
  <c r="D107" i="8"/>
  <c r="E105" i="8"/>
  <c r="J98" i="12"/>
  <c r="J134" i="12"/>
  <c r="K234" i="12"/>
  <c r="F11" i="14"/>
  <c r="E15" i="14"/>
  <c r="F277" i="8"/>
  <c r="F254" i="8"/>
  <c r="F278" i="8"/>
  <c r="F103" i="8"/>
  <c r="J160" i="12"/>
  <c r="K157" i="12"/>
  <c r="I105" i="12"/>
  <c r="I108" i="12"/>
  <c r="F173" i="12"/>
  <c r="G170" i="12"/>
  <c r="G173" i="12"/>
  <c r="H170" i="12"/>
  <c r="R151" i="12"/>
  <c r="S151" i="12"/>
  <c r="T151" i="12"/>
  <c r="U151" i="12"/>
  <c r="V151" i="12"/>
  <c r="W151" i="12"/>
  <c r="X151" i="12"/>
  <c r="O114" i="12"/>
  <c r="F143" i="8"/>
  <c r="F179" i="8"/>
  <c r="K106" i="12"/>
  <c r="L227" i="12"/>
  <c r="M227" i="12"/>
  <c r="N227" i="12"/>
  <c r="E87" i="6"/>
  <c r="E92" i="6"/>
  <c r="E91" i="6"/>
  <c r="D5" i="12"/>
  <c r="D84" i="12"/>
  <c r="E82" i="12"/>
  <c r="E84" i="12"/>
  <c r="F82" i="12"/>
  <c r="F66" i="6"/>
  <c r="F79" i="6"/>
  <c r="F85" i="6"/>
  <c r="H136" i="12"/>
  <c r="I133" i="12"/>
  <c r="I136" i="12"/>
  <c r="D10" i="6"/>
  <c r="D57" i="6"/>
  <c r="D7" i="6"/>
  <c r="D11" i="6"/>
  <c r="N135" i="12"/>
  <c r="N252" i="12"/>
  <c r="O252" i="12"/>
  <c r="O158" i="12"/>
  <c r="F283" i="6"/>
  <c r="F307" i="6"/>
  <c r="F82" i="6"/>
  <c r="F38" i="6"/>
  <c r="F41" i="6"/>
  <c r="F285" i="6"/>
  <c r="F306" i="6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N91" i="12"/>
  <c r="O91" i="12"/>
  <c r="P91" i="12"/>
  <c r="Q91" i="12"/>
  <c r="J144" i="12"/>
  <c r="K141" i="12"/>
  <c r="J152" i="12"/>
  <c r="O149" i="12"/>
  <c r="H116" i="12"/>
  <c r="E80" i="8"/>
  <c r="E91" i="8"/>
  <c r="E92" i="8"/>
  <c r="E104" i="8"/>
  <c r="Q115" i="12"/>
  <c r="R115" i="12"/>
  <c r="S115" i="12"/>
  <c r="T115" i="12"/>
  <c r="U115" i="12"/>
  <c r="V115" i="12"/>
  <c r="W115" i="12"/>
  <c r="X115" i="12"/>
  <c r="Y115" i="12"/>
  <c r="Z115" i="12"/>
  <c r="AA115" i="12"/>
  <c r="N205" i="12"/>
  <c r="O205" i="12"/>
  <c r="P205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R231" i="12"/>
  <c r="Q196" i="12"/>
  <c r="R196" i="12"/>
  <c r="N230" i="12"/>
  <c r="O230" i="12"/>
  <c r="R218" i="12"/>
  <c r="S218" i="12"/>
  <c r="T218" i="12"/>
  <c r="U218" i="12"/>
  <c r="V218" i="12"/>
  <c r="W218" i="12"/>
  <c r="X218" i="12"/>
  <c r="Y218" i="12"/>
  <c r="Z218" i="12"/>
  <c r="AA218" i="12"/>
  <c r="I37" i="17"/>
  <c r="I39" i="17"/>
  <c r="J36" i="17"/>
  <c r="P242" i="12"/>
  <c r="Q242" i="12"/>
  <c r="L204" i="12"/>
  <c r="M43" i="17"/>
  <c r="M45" i="17"/>
  <c r="N42" i="17"/>
  <c r="S219" i="12"/>
  <c r="T219" i="12"/>
  <c r="U219" i="12"/>
  <c r="N254" i="12"/>
  <c r="K31" i="17"/>
  <c r="K33" i="17"/>
  <c r="L30" i="17"/>
  <c r="P244" i="12"/>
  <c r="O195" i="12"/>
  <c r="P195" i="12"/>
  <c r="Q195" i="12"/>
  <c r="R195" i="12"/>
  <c r="S195" i="12"/>
  <c r="T195" i="12"/>
  <c r="U195" i="12"/>
  <c r="T220" i="12"/>
  <c r="U220" i="12"/>
  <c r="V220" i="12"/>
  <c r="W220" i="12"/>
  <c r="X220" i="12"/>
  <c r="Y220" i="12"/>
  <c r="Z220" i="12"/>
  <c r="AA220" i="12"/>
  <c r="R243" i="12"/>
  <c r="S243" i="12"/>
  <c r="T243" i="12"/>
  <c r="U243" i="12"/>
  <c r="V243" i="12"/>
  <c r="W243" i="12"/>
  <c r="X243" i="12"/>
  <c r="Y243" i="12"/>
  <c r="Z243" i="12"/>
  <c r="AA243" i="12"/>
  <c r="V208" i="12"/>
  <c r="W208" i="12"/>
  <c r="X208" i="12"/>
  <c r="Y208" i="12"/>
  <c r="Z208" i="12"/>
  <c r="AA208" i="12"/>
  <c r="T229" i="12"/>
  <c r="U229" i="12"/>
  <c r="V229" i="12"/>
  <c r="W229" i="12"/>
  <c r="X229" i="12"/>
  <c r="Y229" i="12"/>
  <c r="Z229" i="12"/>
  <c r="AA229" i="12"/>
  <c r="M194" i="12"/>
  <c r="M192" i="12"/>
  <c r="L49" i="17"/>
  <c r="L51" i="17"/>
  <c r="M48" i="17"/>
  <c r="O228" i="12"/>
  <c r="O193" i="12"/>
  <c r="L241" i="12"/>
  <c r="M241" i="12"/>
  <c r="K246" i="12"/>
  <c r="M216" i="12"/>
  <c r="N216" i="12"/>
  <c r="P197" i="12"/>
  <c r="O240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N255" i="12"/>
  <c r="M207" i="12"/>
  <c r="N207" i="12"/>
  <c r="P232" i="12"/>
  <c r="Q232" i="12"/>
  <c r="R232" i="12"/>
  <c r="I163" i="12"/>
  <c r="I127" i="12"/>
  <c r="H74" i="12"/>
  <c r="H75" i="12"/>
  <c r="I70" i="12"/>
  <c r="H261" i="12"/>
  <c r="H172" i="12"/>
  <c r="H173" i="12"/>
  <c r="I170" i="12"/>
  <c r="E37" i="13"/>
  <c r="AB31" i="13"/>
  <c r="H89" i="12"/>
  <c r="H92" i="12"/>
  <c r="H24" i="12"/>
  <c r="F92" i="12"/>
  <c r="G89" i="12"/>
  <c r="G92" i="12"/>
  <c r="G24" i="12"/>
  <c r="I191" i="12"/>
  <c r="J191" i="12"/>
  <c r="F256" i="8"/>
  <c r="H97" i="12"/>
  <c r="I97" i="12"/>
  <c r="I100" i="12"/>
  <c r="G100" i="12"/>
  <c r="G34" i="12"/>
  <c r="G35" i="12"/>
  <c r="H30" i="12"/>
  <c r="L203" i="12"/>
  <c r="M203" i="12"/>
  <c r="K64" i="12"/>
  <c r="Q143" i="12"/>
  <c r="R143" i="12"/>
  <c r="R91" i="12"/>
  <c r="S91" i="12"/>
  <c r="T91" i="12"/>
  <c r="U91" i="12"/>
  <c r="V91" i="12"/>
  <c r="W91" i="12"/>
  <c r="X91" i="12"/>
  <c r="Y91" i="12"/>
  <c r="Z91" i="12"/>
  <c r="AA91" i="12"/>
  <c r="J251" i="12"/>
  <c r="K215" i="12"/>
  <c r="K222" i="12"/>
  <c r="N150" i="12"/>
  <c r="O150" i="12"/>
  <c r="P150" i="12"/>
  <c r="N239" i="12"/>
  <c r="O239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Z142" i="12"/>
  <c r="AA142" i="12"/>
  <c r="M246" i="12"/>
  <c r="M64" i="12"/>
  <c r="Y151" i="12"/>
  <c r="Z151" i="12"/>
  <c r="AA151" i="12"/>
  <c r="W256" i="12"/>
  <c r="X256" i="12"/>
  <c r="Y256" i="12"/>
  <c r="Z256" i="12"/>
  <c r="AA256" i="12"/>
  <c r="O227" i="12"/>
  <c r="P227" i="12"/>
  <c r="Q227" i="12"/>
  <c r="G282" i="6"/>
  <c r="F309" i="6"/>
  <c r="P252" i="12"/>
  <c r="Q252" i="12"/>
  <c r="J133" i="12"/>
  <c r="K133" i="12"/>
  <c r="E93" i="6"/>
  <c r="E106" i="8"/>
  <c r="E88" i="6"/>
  <c r="L106" i="12"/>
  <c r="J105" i="12"/>
  <c r="J108" i="12"/>
  <c r="H108" i="12"/>
  <c r="M234" i="12"/>
  <c r="K134" i="12"/>
  <c r="L134" i="12"/>
  <c r="M134" i="12"/>
  <c r="N134" i="12"/>
  <c r="O134" i="12"/>
  <c r="P134" i="12"/>
  <c r="Q134" i="12"/>
  <c r="J116" i="12"/>
  <c r="F86" i="6"/>
  <c r="G84" i="6"/>
  <c r="F184" i="3"/>
  <c r="F26" i="8"/>
  <c r="F27" i="8"/>
  <c r="F42" i="6"/>
  <c r="H163" i="12"/>
  <c r="H127" i="12"/>
  <c r="H128" i="12"/>
  <c r="I126" i="12"/>
  <c r="I128" i="12"/>
  <c r="J126" i="12"/>
  <c r="H44" i="12"/>
  <c r="H45" i="12"/>
  <c r="I40" i="12"/>
  <c r="F183" i="8"/>
  <c r="E85" i="12"/>
  <c r="F145" i="8"/>
  <c r="F185" i="8"/>
  <c r="G11" i="14"/>
  <c r="F15" i="14"/>
  <c r="H179" i="6"/>
  <c r="H143" i="6"/>
  <c r="L234" i="12"/>
  <c r="F119" i="12"/>
  <c r="F83" i="12"/>
  <c r="F84" i="12"/>
  <c r="G82" i="12"/>
  <c r="F24" i="12"/>
  <c r="F25" i="12"/>
  <c r="G20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L107" i="12"/>
  <c r="P149" i="12"/>
  <c r="G69" i="6"/>
  <c r="G70" i="6"/>
  <c r="G83" i="6"/>
  <c r="G39" i="6"/>
  <c r="G53" i="6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K98" i="12"/>
  <c r="L98" i="12"/>
  <c r="M98" i="12"/>
  <c r="N98" i="12"/>
  <c r="O98" i="12"/>
  <c r="P98" i="12"/>
  <c r="Q98" i="12"/>
  <c r="R98" i="12"/>
  <c r="S98" i="12"/>
  <c r="T98" i="12"/>
  <c r="F280" i="8"/>
  <c r="D24" i="17"/>
  <c r="K144" i="12"/>
  <c r="L141" i="12"/>
  <c r="D10" i="12"/>
  <c r="D12" i="12"/>
  <c r="D112" i="8"/>
  <c r="D108" i="8"/>
  <c r="D113" i="8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O135" i="12"/>
  <c r="K160" i="12"/>
  <c r="L157" i="12"/>
  <c r="M157" i="12"/>
  <c r="M160" i="12"/>
  <c r="K113" i="12"/>
  <c r="K116" i="12"/>
  <c r="N234" i="12"/>
  <c r="P230" i="12"/>
  <c r="Q230" i="12"/>
  <c r="R230" i="12"/>
  <c r="S230" i="12"/>
  <c r="T230" i="12"/>
  <c r="U230" i="12"/>
  <c r="V230" i="12"/>
  <c r="W230" i="12"/>
  <c r="X230" i="12"/>
  <c r="Y230" i="12"/>
  <c r="Z230" i="12"/>
  <c r="AA230" i="12"/>
  <c r="S231" i="12"/>
  <c r="T231" i="12"/>
  <c r="M204" i="12"/>
  <c r="N204" i="12"/>
  <c r="N241" i="12"/>
  <c r="V219" i="12"/>
  <c r="W219" i="12"/>
  <c r="X219" i="12"/>
  <c r="Y219" i="12"/>
  <c r="Z219" i="12"/>
  <c r="AA219" i="12"/>
  <c r="R242" i="12"/>
  <c r="S242" i="12"/>
  <c r="T242" i="12"/>
  <c r="U242" i="12"/>
  <c r="V242" i="12"/>
  <c r="W242" i="12"/>
  <c r="X242" i="12"/>
  <c r="Y242" i="12"/>
  <c r="Z242" i="12"/>
  <c r="AA242" i="12"/>
  <c r="O216" i="12"/>
  <c r="J37" i="17"/>
  <c r="J39" i="17"/>
  <c r="K36" i="17"/>
  <c r="H6" i="20"/>
  <c r="M49" i="17"/>
  <c r="M51" i="17"/>
  <c r="N48" i="17"/>
  <c r="L31" i="17"/>
  <c r="L33" i="17"/>
  <c r="M30" i="17"/>
  <c r="L246" i="12"/>
  <c r="L64" i="12"/>
  <c r="P228" i="12"/>
  <c r="N192" i="12"/>
  <c r="S196" i="12"/>
  <c r="T196" i="12"/>
  <c r="V195" i="12"/>
  <c r="W195" i="12"/>
  <c r="X195" i="12"/>
  <c r="Y195" i="12"/>
  <c r="Z195" i="12"/>
  <c r="AA195" i="12"/>
  <c r="Q197" i="12"/>
  <c r="P240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Q205" i="12"/>
  <c r="R205" i="12"/>
  <c r="S205" i="12"/>
  <c r="T205" i="12"/>
  <c r="U205" i="12"/>
  <c r="V205" i="12"/>
  <c r="P193" i="12"/>
  <c r="O255" i="12"/>
  <c r="P255" i="12"/>
  <c r="Q255" i="12"/>
  <c r="R255" i="12"/>
  <c r="S255" i="12"/>
  <c r="T255" i="12"/>
  <c r="U255" i="12"/>
  <c r="V255" i="12"/>
  <c r="W255" i="12"/>
  <c r="X255" i="12"/>
  <c r="Y255" i="12"/>
  <c r="Z255" i="12"/>
  <c r="AA255" i="12"/>
  <c r="N43" i="17"/>
  <c r="N45" i="17"/>
  <c r="O42" i="17"/>
  <c r="Q244" i="12"/>
  <c r="O254" i="12"/>
  <c r="N194" i="12"/>
  <c r="S232" i="12"/>
  <c r="T232" i="12"/>
  <c r="U232" i="12"/>
  <c r="V232" i="12"/>
  <c r="W232" i="12"/>
  <c r="X232" i="12"/>
  <c r="Y232" i="12"/>
  <c r="Z232" i="12"/>
  <c r="AA232" i="12"/>
  <c r="K191" i="12"/>
  <c r="K198" i="12"/>
  <c r="I261" i="12"/>
  <c r="I172" i="12"/>
  <c r="I173" i="12"/>
  <c r="J170" i="12"/>
  <c r="O152" i="12"/>
  <c r="I89" i="12"/>
  <c r="J89" i="12"/>
  <c r="G25" i="12"/>
  <c r="H20" i="12"/>
  <c r="H25" i="12"/>
  <c r="I20" i="12"/>
  <c r="G119" i="12"/>
  <c r="G83" i="12"/>
  <c r="G9" i="12"/>
  <c r="S31" i="13"/>
  <c r="D109" i="8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K97" i="12"/>
  <c r="L97" i="12"/>
  <c r="L100" i="12"/>
  <c r="Q150" i="12"/>
  <c r="R150" i="12"/>
  <c r="S150" i="12"/>
  <c r="T150" i="12"/>
  <c r="U150" i="12"/>
  <c r="V150" i="12"/>
  <c r="W150" i="12"/>
  <c r="X150" i="12"/>
  <c r="Y150" i="12"/>
  <c r="Z150" i="12"/>
  <c r="AA150" i="12"/>
  <c r="L210" i="12"/>
  <c r="N152" i="12"/>
  <c r="R227" i="12"/>
  <c r="S227" i="12"/>
  <c r="T227" i="12"/>
  <c r="U227" i="12"/>
  <c r="V227" i="12"/>
  <c r="W227" i="12"/>
  <c r="X227" i="12"/>
  <c r="Y227" i="12"/>
  <c r="Z227" i="12"/>
  <c r="AA227" i="12"/>
  <c r="H100" i="12"/>
  <c r="H34" i="12"/>
  <c r="H35" i="12"/>
  <c r="I30" i="12"/>
  <c r="J97" i="12"/>
  <c r="J100" i="12"/>
  <c r="P152" i="12"/>
  <c r="L215" i="12"/>
  <c r="M215" i="12"/>
  <c r="K65" i="12"/>
  <c r="L60" i="12"/>
  <c r="L65" i="12"/>
  <c r="M60" i="12"/>
  <c r="M65" i="12"/>
  <c r="N60" i="12"/>
  <c r="L113" i="12"/>
  <c r="L116" i="12"/>
  <c r="K105" i="12"/>
  <c r="K108" i="12"/>
  <c r="K54" i="12"/>
  <c r="J261" i="12"/>
  <c r="J172" i="12"/>
  <c r="K251" i="12"/>
  <c r="L251" i="12"/>
  <c r="R134" i="12"/>
  <c r="S134" i="12"/>
  <c r="T134" i="12"/>
  <c r="U134" i="12"/>
  <c r="V134" i="12"/>
  <c r="W134" i="12"/>
  <c r="X134" i="12"/>
  <c r="Y134" i="12"/>
  <c r="Z134" i="12"/>
  <c r="AA134" i="12"/>
  <c r="M210" i="12"/>
  <c r="D38" i="13"/>
  <c r="D39" i="13"/>
  <c r="D31" i="13"/>
  <c r="D55" i="13"/>
  <c r="P30" i="13"/>
  <c r="AA30" i="13"/>
  <c r="S143" i="12"/>
  <c r="T143" i="12"/>
  <c r="U143" i="12"/>
  <c r="V143" i="12"/>
  <c r="W143" i="12"/>
  <c r="X143" i="12"/>
  <c r="Y143" i="12"/>
  <c r="Z143" i="12"/>
  <c r="AA143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F9" i="12"/>
  <c r="F105" i="8"/>
  <c r="E107" i="8"/>
  <c r="R252" i="12"/>
  <c r="S252" i="12"/>
  <c r="L160" i="12"/>
  <c r="N157" i="12"/>
  <c r="Q149" i="12"/>
  <c r="J136" i="12"/>
  <c r="F43" i="6"/>
  <c r="F44" i="6"/>
  <c r="F45" i="6"/>
  <c r="F19" i="6"/>
  <c r="F20" i="6"/>
  <c r="F87" i="6"/>
  <c r="F92" i="6"/>
  <c r="F91" i="6"/>
  <c r="F93" i="6"/>
  <c r="L144" i="12"/>
  <c r="M141" i="12"/>
  <c r="G84" i="12"/>
  <c r="H82" i="12"/>
  <c r="D25" i="17"/>
  <c r="D56" i="17"/>
  <c r="D54" i="13"/>
  <c r="D55" i="17"/>
  <c r="U98" i="12"/>
  <c r="V98" i="12"/>
  <c r="W98" i="12"/>
  <c r="X98" i="12"/>
  <c r="Y98" i="12"/>
  <c r="Z98" i="12"/>
  <c r="AA98" i="12"/>
  <c r="H145" i="6"/>
  <c r="H185" i="6"/>
  <c r="H183" i="6"/>
  <c r="H11" i="14"/>
  <c r="G15" i="14"/>
  <c r="G306" i="6"/>
  <c r="G283" i="6"/>
  <c r="G307" i="6"/>
  <c r="G82" i="6"/>
  <c r="G38" i="6"/>
  <c r="G41" i="6"/>
  <c r="G285" i="6"/>
  <c r="O234" i="12"/>
  <c r="P135" i="12"/>
  <c r="M113" i="12"/>
  <c r="M116" i="12"/>
  <c r="F80" i="8"/>
  <c r="F91" i="8"/>
  <c r="F92" i="8"/>
  <c r="F104" i="8"/>
  <c r="F106" i="8"/>
  <c r="G66" i="6"/>
  <c r="G79" i="6"/>
  <c r="G85" i="6"/>
  <c r="M106" i="12"/>
  <c r="N106" i="12"/>
  <c r="O106" i="12"/>
  <c r="P106" i="12"/>
  <c r="F28" i="8"/>
  <c r="F29" i="8"/>
  <c r="F32" i="8"/>
  <c r="F36" i="8"/>
  <c r="F13" i="8"/>
  <c r="D114" i="8"/>
  <c r="D83" i="8"/>
  <c r="D84" i="8"/>
  <c r="D72" i="8"/>
  <c r="D73" i="8"/>
  <c r="D12" i="8"/>
  <c r="D16" i="8"/>
  <c r="K136" i="12"/>
  <c r="L133" i="12"/>
  <c r="D14" i="12"/>
  <c r="D77" i="12"/>
  <c r="E5" i="12"/>
  <c r="I92" i="12"/>
  <c r="E95" i="6"/>
  <c r="E56" i="6"/>
  <c r="P216" i="12"/>
  <c r="Q216" i="12"/>
  <c r="U231" i="12"/>
  <c r="V231" i="12"/>
  <c r="O241" i="12"/>
  <c r="N246" i="12"/>
  <c r="U196" i="12"/>
  <c r="V196" i="12"/>
  <c r="O204" i="12"/>
  <c r="W205" i="12"/>
  <c r="X205" i="12"/>
  <c r="Y205" i="12"/>
  <c r="Z205" i="12"/>
  <c r="AA205" i="12"/>
  <c r="O192" i="12"/>
  <c r="N49" i="17"/>
  <c r="N51" i="17"/>
  <c r="O48" i="17"/>
  <c r="R244" i="12"/>
  <c r="Q240" i="12"/>
  <c r="M31" i="17"/>
  <c r="M33" i="17"/>
  <c r="N30" i="17"/>
  <c r="P254" i="12"/>
  <c r="Q193" i="12"/>
  <c r="R193" i="12"/>
  <c r="S193" i="12"/>
  <c r="T193" i="12"/>
  <c r="U193" i="12"/>
  <c r="V193" i="12"/>
  <c r="W193" i="12"/>
  <c r="X193" i="12"/>
  <c r="R197" i="12"/>
  <c r="O43" i="17"/>
  <c r="O45" i="17"/>
  <c r="P42" i="17"/>
  <c r="K37" i="17"/>
  <c r="K39" i="17"/>
  <c r="L36" i="17"/>
  <c r="O194" i="12"/>
  <c r="P234" i="12"/>
  <c r="Q228" i="12"/>
  <c r="B9" i="20"/>
  <c r="G50" i="20"/>
  <c r="B24" i="20"/>
  <c r="L191" i="12"/>
  <c r="M191" i="12"/>
  <c r="L222" i="12"/>
  <c r="N210" i="12"/>
  <c r="G37" i="13"/>
  <c r="AD31" i="13"/>
  <c r="J92" i="12"/>
  <c r="K89" i="12"/>
  <c r="L89" i="12"/>
  <c r="L92" i="12"/>
  <c r="L198" i="12"/>
  <c r="K100" i="12"/>
  <c r="K34" i="12"/>
  <c r="H119" i="12"/>
  <c r="H83" i="12"/>
  <c r="H9" i="12"/>
  <c r="T31" i="13"/>
  <c r="M97" i="12"/>
  <c r="M100" i="12"/>
  <c r="M34" i="12"/>
  <c r="J173" i="12"/>
  <c r="K170" i="12"/>
  <c r="L34" i="12"/>
  <c r="N64" i="12"/>
  <c r="N65" i="12"/>
  <c r="O60" i="12"/>
  <c r="Q106" i="12"/>
  <c r="R106" i="12"/>
  <c r="S106" i="12"/>
  <c r="T106" i="12"/>
  <c r="U106" i="12"/>
  <c r="V106" i="12"/>
  <c r="W106" i="12"/>
  <c r="X106" i="12"/>
  <c r="Y106" i="12"/>
  <c r="Z106" i="12"/>
  <c r="AA106" i="12"/>
  <c r="O210" i="12"/>
  <c r="L105" i="12"/>
  <c r="M105" i="12"/>
  <c r="K258" i="12"/>
  <c r="K55" i="12"/>
  <c r="L50" i="12"/>
  <c r="M251" i="12"/>
  <c r="M258" i="12"/>
  <c r="M74" i="12"/>
  <c r="L258" i="12"/>
  <c r="D27" i="17"/>
  <c r="E24" i="17"/>
  <c r="M198" i="12"/>
  <c r="N191" i="12"/>
  <c r="D30" i="13"/>
  <c r="W231" i="12"/>
  <c r="X231" i="12"/>
  <c r="Y231" i="12"/>
  <c r="Z231" i="12"/>
  <c r="AA231" i="12"/>
  <c r="M108" i="12"/>
  <c r="F95" i="6"/>
  <c r="F56" i="6"/>
  <c r="R31" i="13"/>
  <c r="F37" i="13"/>
  <c r="AC31" i="13"/>
  <c r="G184" i="3"/>
  <c r="G26" i="8"/>
  <c r="G27" i="8"/>
  <c r="G42" i="6"/>
  <c r="N113" i="12"/>
  <c r="M144" i="12"/>
  <c r="N141" i="12"/>
  <c r="F88" i="6"/>
  <c r="J163" i="12"/>
  <c r="J127" i="12"/>
  <c r="J128" i="12"/>
  <c r="K126" i="12"/>
  <c r="H282" i="6"/>
  <c r="G309" i="6"/>
  <c r="E10" i="12"/>
  <c r="E12" i="12"/>
  <c r="Q135" i="12"/>
  <c r="R135" i="12"/>
  <c r="S135" i="12"/>
  <c r="T135" i="12"/>
  <c r="U135" i="12"/>
  <c r="V135" i="12"/>
  <c r="W135" i="12"/>
  <c r="X135" i="12"/>
  <c r="Y135" i="12"/>
  <c r="Z135" i="12"/>
  <c r="AA135" i="12"/>
  <c r="D57" i="13"/>
  <c r="H84" i="6"/>
  <c r="G86" i="6"/>
  <c r="L136" i="12"/>
  <c r="L163" i="12"/>
  <c r="L127" i="12"/>
  <c r="M133" i="12"/>
  <c r="N215" i="12"/>
  <c r="M222" i="12"/>
  <c r="E112" i="8"/>
  <c r="E108" i="8"/>
  <c r="E113" i="8"/>
  <c r="H69" i="6"/>
  <c r="H70" i="6"/>
  <c r="H83" i="6"/>
  <c r="H39" i="6"/>
  <c r="H53" i="6"/>
  <c r="N160" i="12"/>
  <c r="O157" i="12"/>
  <c r="E10" i="6"/>
  <c r="E57" i="6"/>
  <c r="E7" i="6"/>
  <c r="E11" i="6"/>
  <c r="I119" i="12"/>
  <c r="I83" i="12"/>
  <c r="K163" i="12"/>
  <c r="K127" i="12"/>
  <c r="K44" i="12"/>
  <c r="F107" i="8"/>
  <c r="D56" i="13"/>
  <c r="I11" i="14"/>
  <c r="Q152" i="12"/>
  <c r="R149" i="12"/>
  <c r="W196" i="12"/>
  <c r="X196" i="12"/>
  <c r="Y196" i="12"/>
  <c r="Z196" i="12"/>
  <c r="AA196" i="12"/>
  <c r="P241" i="12"/>
  <c r="O246" i="12"/>
  <c r="O64" i="12"/>
  <c r="P204" i="12"/>
  <c r="Q204" i="12"/>
  <c r="N31" i="17"/>
  <c r="N33" i="17"/>
  <c r="O30" i="17"/>
  <c r="O49" i="17"/>
  <c r="O51" i="17"/>
  <c r="P48" i="17"/>
  <c r="L37" i="17"/>
  <c r="L39" i="17"/>
  <c r="M36" i="17"/>
  <c r="P43" i="17"/>
  <c r="P45" i="17"/>
  <c r="Q42" i="17"/>
  <c r="Q254" i="12"/>
  <c r="S197" i="12"/>
  <c r="T197" i="12"/>
  <c r="U197" i="12"/>
  <c r="S244" i="12"/>
  <c r="T244" i="12"/>
  <c r="P194" i="12"/>
  <c r="Q194" i="12"/>
  <c r="R194" i="12"/>
  <c r="S194" i="12"/>
  <c r="T194" i="12"/>
  <c r="U194" i="12"/>
  <c r="V194" i="12"/>
  <c r="W194" i="12"/>
  <c r="X194" i="12"/>
  <c r="Y194" i="12"/>
  <c r="Z194" i="12"/>
  <c r="T252" i="12"/>
  <c r="P192" i="12"/>
  <c r="Q234" i="12"/>
  <c r="R228" i="12"/>
  <c r="Y193" i="12"/>
  <c r="Z193" i="12"/>
  <c r="AA193" i="12"/>
  <c r="R240" i="12"/>
  <c r="R216" i="12"/>
  <c r="D9" i="20"/>
  <c r="N251" i="12"/>
  <c r="N258" i="12"/>
  <c r="K35" i="12"/>
  <c r="L30" i="12"/>
  <c r="L35" i="12"/>
  <c r="M30" i="12"/>
  <c r="M35" i="12"/>
  <c r="N30" i="12"/>
  <c r="L261" i="12"/>
  <c r="L172" i="12"/>
  <c r="D58" i="17"/>
  <c r="D59" i="17"/>
  <c r="H37" i="13"/>
  <c r="N97" i="12"/>
  <c r="N100" i="12"/>
  <c r="N34" i="12"/>
  <c r="K92" i="12"/>
  <c r="H84" i="12"/>
  <c r="I82" i="12"/>
  <c r="N105" i="12"/>
  <c r="AE31" i="13"/>
  <c r="J119" i="12"/>
  <c r="J83" i="12"/>
  <c r="E114" i="8"/>
  <c r="E83" i="8"/>
  <c r="E84" i="8"/>
  <c r="E72" i="8"/>
  <c r="E73" i="8"/>
  <c r="E12" i="8"/>
  <c r="E16" i="8"/>
  <c r="L74" i="12"/>
  <c r="K128" i="12"/>
  <c r="L126" i="12"/>
  <c r="L128" i="12"/>
  <c r="M126" i="12"/>
  <c r="K261" i="12"/>
  <c r="K172" i="12"/>
  <c r="K173" i="12"/>
  <c r="L170" i="12"/>
  <c r="K74" i="12"/>
  <c r="K75" i="12"/>
  <c r="L70" i="12"/>
  <c r="L108" i="12"/>
  <c r="L54" i="12"/>
  <c r="L55" i="12"/>
  <c r="M50" i="12"/>
  <c r="O191" i="12"/>
  <c r="N198" i="12"/>
  <c r="M54" i="12"/>
  <c r="O65" i="12"/>
  <c r="P60" i="12"/>
  <c r="V197" i="12"/>
  <c r="W197" i="12"/>
  <c r="X197" i="12"/>
  <c r="Y197" i="12"/>
  <c r="Z197" i="12"/>
  <c r="AA197" i="12"/>
  <c r="K45" i="12"/>
  <c r="L40" i="12"/>
  <c r="H66" i="6"/>
  <c r="H79" i="6"/>
  <c r="M261" i="12"/>
  <c r="M172" i="12"/>
  <c r="L24" i="12"/>
  <c r="R152" i="12"/>
  <c r="S149" i="12"/>
  <c r="F112" i="8"/>
  <c r="F108" i="8"/>
  <c r="F113" i="8"/>
  <c r="F109" i="8"/>
  <c r="O160" i="12"/>
  <c r="P157" i="12"/>
  <c r="E109" i="8"/>
  <c r="L44" i="12"/>
  <c r="F10" i="6"/>
  <c r="F57" i="6"/>
  <c r="F7" i="6"/>
  <c r="F11" i="6"/>
  <c r="N116" i="12"/>
  <c r="O113" i="12"/>
  <c r="N222" i="12"/>
  <c r="O215" i="12"/>
  <c r="G87" i="6"/>
  <c r="G92" i="6"/>
  <c r="G91" i="6"/>
  <c r="G93" i="6"/>
  <c r="G88" i="6"/>
  <c r="Q30" i="13"/>
  <c r="E38" i="13"/>
  <c r="E39" i="13"/>
  <c r="E31" i="13"/>
  <c r="AB30" i="13"/>
  <c r="E55" i="13"/>
  <c r="G43" i="6"/>
  <c r="G44" i="6"/>
  <c r="G45" i="6"/>
  <c r="G19" i="6"/>
  <c r="G20" i="6"/>
  <c r="K119" i="12"/>
  <c r="K83" i="12"/>
  <c r="K24" i="12"/>
  <c r="I9" i="12"/>
  <c r="I84" i="12"/>
  <c r="J82" i="12"/>
  <c r="J84" i="12"/>
  <c r="K82" i="12"/>
  <c r="M136" i="12"/>
  <c r="M163" i="12"/>
  <c r="M127" i="12"/>
  <c r="N133" i="12"/>
  <c r="F5" i="12"/>
  <c r="F10" i="12"/>
  <c r="E77" i="12"/>
  <c r="E14" i="12"/>
  <c r="H283" i="6"/>
  <c r="H307" i="6"/>
  <c r="H82" i="6"/>
  <c r="H38" i="6"/>
  <c r="H41" i="6"/>
  <c r="H285" i="6"/>
  <c r="H309" i="6"/>
  <c r="H306" i="6"/>
  <c r="G28" i="8"/>
  <c r="G29" i="8"/>
  <c r="G32" i="8"/>
  <c r="G36" i="8"/>
  <c r="G13" i="8"/>
  <c r="G16" i="8"/>
  <c r="M89" i="12"/>
  <c r="D58" i="13"/>
  <c r="E56" i="13"/>
  <c r="N108" i="12"/>
  <c r="O105" i="12"/>
  <c r="E55" i="17"/>
  <c r="E25" i="17"/>
  <c r="E56" i="17"/>
  <c r="E54" i="13"/>
  <c r="J11" i="14"/>
  <c r="J9" i="12"/>
  <c r="N144" i="12"/>
  <c r="O141" i="12"/>
  <c r="P210" i="12"/>
  <c r="AA194" i="12"/>
  <c r="U244" i="12"/>
  <c r="Q241" i="12"/>
  <c r="P246" i="12"/>
  <c r="P64" i="12"/>
  <c r="P49" i="17"/>
  <c r="P51" i="17"/>
  <c r="Q48" i="17"/>
  <c r="Q192" i="12"/>
  <c r="U252" i="12"/>
  <c r="O31" i="17"/>
  <c r="O33" i="17"/>
  <c r="P30" i="17"/>
  <c r="Q210" i="12"/>
  <c r="R204" i="12"/>
  <c r="S240" i="12"/>
  <c r="Q43" i="17"/>
  <c r="Q45" i="17"/>
  <c r="R42" i="17"/>
  <c r="R234" i="12"/>
  <c r="S228" i="12"/>
  <c r="M37" i="17"/>
  <c r="M39" i="17"/>
  <c r="N36" i="17"/>
  <c r="R254" i="12"/>
  <c r="S216" i="12"/>
  <c r="N74" i="12"/>
  <c r="O251" i="12"/>
  <c r="O258" i="12"/>
  <c r="L173" i="12"/>
  <c r="M170" i="12"/>
  <c r="M173" i="12"/>
  <c r="N170" i="12"/>
  <c r="L75" i="12"/>
  <c r="M70" i="12"/>
  <c r="M75" i="12"/>
  <c r="N70" i="12"/>
  <c r="M128" i="12"/>
  <c r="N126" i="12"/>
  <c r="K25" i="12"/>
  <c r="L20" i="12"/>
  <c r="L25" i="12"/>
  <c r="M20" i="12"/>
  <c r="O97" i="12"/>
  <c r="O100" i="12"/>
  <c r="O34" i="12"/>
  <c r="N35" i="12"/>
  <c r="O30" i="12"/>
  <c r="M55" i="12"/>
  <c r="N50" i="12"/>
  <c r="K9" i="12"/>
  <c r="P251" i="12"/>
  <c r="Q251" i="12"/>
  <c r="L119" i="12"/>
  <c r="L83" i="12"/>
  <c r="L9" i="12"/>
  <c r="M44" i="12"/>
  <c r="P191" i="12"/>
  <c r="O198" i="12"/>
  <c r="L45" i="12"/>
  <c r="M40" i="12"/>
  <c r="P65" i="12"/>
  <c r="Q60" i="12"/>
  <c r="E27" i="17"/>
  <c r="E58" i="17"/>
  <c r="E59" i="17"/>
  <c r="M92" i="12"/>
  <c r="N89" i="12"/>
  <c r="K84" i="12"/>
  <c r="L82" i="12"/>
  <c r="N261" i="12"/>
  <c r="N172" i="12"/>
  <c r="H42" i="6"/>
  <c r="H184" i="3"/>
  <c r="H26" i="8"/>
  <c r="H27" i="8"/>
  <c r="D59" i="13"/>
  <c r="D60" i="13"/>
  <c r="O116" i="12"/>
  <c r="P113" i="12"/>
  <c r="P160" i="12"/>
  <c r="Q157" i="12"/>
  <c r="G56" i="6"/>
  <c r="G95" i="6"/>
  <c r="V31" i="13"/>
  <c r="AG31" i="13"/>
  <c r="J37" i="13"/>
  <c r="N136" i="12"/>
  <c r="N163" i="12"/>
  <c r="N127" i="12"/>
  <c r="O133" i="12"/>
  <c r="E30" i="13"/>
  <c r="P215" i="12"/>
  <c r="O222" i="12"/>
  <c r="F114" i="8"/>
  <c r="F83" i="8"/>
  <c r="F84" i="8"/>
  <c r="F72" i="8"/>
  <c r="F73" i="8"/>
  <c r="F12" i="8"/>
  <c r="F16" i="8"/>
  <c r="H85" i="6"/>
  <c r="H86" i="6"/>
  <c r="O144" i="12"/>
  <c r="P141" i="12"/>
  <c r="F12" i="12"/>
  <c r="F77" i="12"/>
  <c r="F14" i="12"/>
  <c r="G5" i="12"/>
  <c r="E57" i="13"/>
  <c r="S152" i="12"/>
  <c r="T149" i="12"/>
  <c r="O108" i="12"/>
  <c r="P105" i="12"/>
  <c r="N54" i="12"/>
  <c r="AF31" i="13"/>
  <c r="I37" i="13"/>
  <c r="U31" i="13"/>
  <c r="R241" i="12"/>
  <c r="Q246" i="12"/>
  <c r="Q64" i="12"/>
  <c r="V244" i="12"/>
  <c r="W244" i="12"/>
  <c r="X244" i="12"/>
  <c r="Y244" i="12"/>
  <c r="Z244" i="12"/>
  <c r="AA244" i="12"/>
  <c r="N37" i="17"/>
  <c r="N39" i="17"/>
  <c r="O36" i="17"/>
  <c r="S234" i="12"/>
  <c r="T228" i="12"/>
  <c r="V252" i="12"/>
  <c r="P31" i="17"/>
  <c r="P33" i="17"/>
  <c r="Q30" i="17"/>
  <c r="R210" i="12"/>
  <c r="S204" i="12"/>
  <c r="R43" i="17"/>
  <c r="R45" i="17"/>
  <c r="S42" i="17"/>
  <c r="R192" i="12"/>
  <c r="Q49" i="17"/>
  <c r="Q51" i="17"/>
  <c r="R48" i="17"/>
  <c r="S254" i="12"/>
  <c r="T216" i="12"/>
  <c r="T240" i="12"/>
  <c r="O74" i="12"/>
  <c r="N75" i="12"/>
  <c r="O70" i="12"/>
  <c r="N128" i="12"/>
  <c r="O126" i="12"/>
  <c r="L84" i="12"/>
  <c r="M82" i="12"/>
  <c r="P97" i="12"/>
  <c r="P100" i="12"/>
  <c r="P34" i="12"/>
  <c r="F24" i="17"/>
  <c r="F55" i="17"/>
  <c r="O35" i="12"/>
  <c r="P30" i="12"/>
  <c r="P258" i="12"/>
  <c r="N55" i="12"/>
  <c r="O50" i="12"/>
  <c r="M45" i="12"/>
  <c r="N40" i="12"/>
  <c r="R251" i="12"/>
  <c r="Q258" i="12"/>
  <c r="Q65" i="12"/>
  <c r="R60" i="12"/>
  <c r="Q191" i="12"/>
  <c r="P198" i="12"/>
  <c r="N173" i="12"/>
  <c r="O170" i="12"/>
  <c r="P108" i="12"/>
  <c r="Q105" i="12"/>
  <c r="E58" i="13"/>
  <c r="E59" i="13"/>
  <c r="E60" i="13"/>
  <c r="F56" i="13"/>
  <c r="P116" i="12"/>
  <c r="Q113" i="12"/>
  <c r="O54" i="12"/>
  <c r="G10" i="12"/>
  <c r="G12" i="12"/>
  <c r="O261" i="12"/>
  <c r="O172" i="12"/>
  <c r="N44" i="12"/>
  <c r="Q215" i="12"/>
  <c r="P222" i="12"/>
  <c r="P144" i="12"/>
  <c r="Q141" i="12"/>
  <c r="O136" i="12"/>
  <c r="O163" i="12"/>
  <c r="O127" i="12"/>
  <c r="O128" i="12"/>
  <c r="P126" i="12"/>
  <c r="P133" i="12"/>
  <c r="H28" i="8"/>
  <c r="H29" i="8"/>
  <c r="H32" i="8"/>
  <c r="H36" i="8"/>
  <c r="H13" i="8"/>
  <c r="H16" i="8"/>
  <c r="G20" i="8"/>
  <c r="D5" i="14"/>
  <c r="F38" i="13"/>
  <c r="F39" i="13"/>
  <c r="F31" i="13"/>
  <c r="AC30" i="13"/>
  <c r="F55" i="13"/>
  <c r="R30" i="13"/>
  <c r="T152" i="12"/>
  <c r="U149" i="12"/>
  <c r="Q160" i="12"/>
  <c r="R157" i="12"/>
  <c r="H43" i="6"/>
  <c r="H44" i="6"/>
  <c r="H45" i="6"/>
  <c r="H19" i="6"/>
  <c r="H20" i="6"/>
  <c r="D22" i="6"/>
  <c r="N92" i="12"/>
  <c r="O89" i="12"/>
  <c r="D33" i="13"/>
  <c r="D34" i="13"/>
  <c r="D4" i="14"/>
  <c r="D64" i="13"/>
  <c r="AA33" i="13"/>
  <c r="AA34" i="13"/>
  <c r="P33" i="13"/>
  <c r="P34" i="13"/>
  <c r="G10" i="6"/>
  <c r="G57" i="6"/>
  <c r="G7" i="6"/>
  <c r="G11" i="6"/>
  <c r="H87" i="6"/>
  <c r="H92" i="6"/>
  <c r="H88" i="6"/>
  <c r="H91" i="6"/>
  <c r="M119" i="12"/>
  <c r="M83" i="12"/>
  <c r="M84" i="12"/>
  <c r="N82" i="12"/>
  <c r="M24" i="12"/>
  <c r="M25" i="12"/>
  <c r="N20" i="12"/>
  <c r="S241" i="12"/>
  <c r="R246" i="12"/>
  <c r="R64" i="12"/>
  <c r="U216" i="12"/>
  <c r="R49" i="17"/>
  <c r="R51" i="17"/>
  <c r="S48" i="17"/>
  <c r="Q31" i="17"/>
  <c r="Q33" i="17"/>
  <c r="R30" i="17"/>
  <c r="T234" i="12"/>
  <c r="U228" i="12"/>
  <c r="T254" i="12"/>
  <c r="W252" i="12"/>
  <c r="S43" i="17"/>
  <c r="S45" i="17"/>
  <c r="T42" i="17"/>
  <c r="O37" i="17"/>
  <c r="O39" i="17"/>
  <c r="P36" i="17"/>
  <c r="U240" i="12"/>
  <c r="S192" i="12"/>
  <c r="S210" i="12"/>
  <c r="T204" i="12"/>
  <c r="O75" i="12"/>
  <c r="P70" i="12"/>
  <c r="F25" i="17"/>
  <c r="F56" i="17"/>
  <c r="F54" i="13"/>
  <c r="F57" i="13"/>
  <c r="P35" i="12"/>
  <c r="Q30" i="12"/>
  <c r="O55" i="12"/>
  <c r="P50" i="12"/>
  <c r="Q97" i="12"/>
  <c r="N45" i="12"/>
  <c r="O40" i="12"/>
  <c r="P74" i="12"/>
  <c r="P75" i="12"/>
  <c r="Q70" i="12"/>
  <c r="S251" i="12"/>
  <c r="R258" i="12"/>
  <c r="R65" i="12"/>
  <c r="S60" i="12"/>
  <c r="R191" i="12"/>
  <c r="Q198" i="12"/>
  <c r="O173" i="12"/>
  <c r="P170" i="12"/>
  <c r="O92" i="12"/>
  <c r="P89" i="12"/>
  <c r="R215" i="12"/>
  <c r="Q222" i="12"/>
  <c r="P136" i="12"/>
  <c r="P163" i="12"/>
  <c r="P127" i="12"/>
  <c r="P128" i="12"/>
  <c r="Q126" i="12"/>
  <c r="Q133" i="12"/>
  <c r="R160" i="12"/>
  <c r="S157" i="12"/>
  <c r="M9" i="12"/>
  <c r="D35" i="13"/>
  <c r="G77" i="12"/>
  <c r="H5" i="12"/>
  <c r="H10" i="12"/>
  <c r="G14" i="12"/>
  <c r="Q108" i="12"/>
  <c r="R105" i="12"/>
  <c r="H93" i="6"/>
  <c r="P35" i="13"/>
  <c r="U152" i="12"/>
  <c r="V149" i="12"/>
  <c r="P54" i="12"/>
  <c r="Q116" i="12"/>
  <c r="Q74" i="12"/>
  <c r="R113" i="12"/>
  <c r="F30" i="13"/>
  <c r="O44" i="12"/>
  <c r="D6" i="14"/>
  <c r="D13" i="14"/>
  <c r="P261" i="12"/>
  <c r="P172" i="12"/>
  <c r="N119" i="12"/>
  <c r="N83" i="12"/>
  <c r="N9" i="12"/>
  <c r="N24" i="12"/>
  <c r="N25" i="12"/>
  <c r="O20" i="12"/>
  <c r="Q144" i="12"/>
  <c r="R141" i="12"/>
  <c r="G55" i="13"/>
  <c r="G38" i="13"/>
  <c r="G39" i="13"/>
  <c r="G31" i="13"/>
  <c r="AD30" i="13"/>
  <c r="S30" i="13"/>
  <c r="E64" i="13"/>
  <c r="AB33" i="13"/>
  <c r="AB34" i="13"/>
  <c r="Q33" i="13"/>
  <c r="Q34" i="13"/>
  <c r="E33" i="13"/>
  <c r="E34" i="13"/>
  <c r="E4" i="14"/>
  <c r="E6" i="14"/>
  <c r="E13" i="14"/>
  <c r="T241" i="12"/>
  <c r="S246" i="12"/>
  <c r="S64" i="12"/>
  <c r="T43" i="17"/>
  <c r="T45" i="17"/>
  <c r="U42" i="17"/>
  <c r="R31" i="17"/>
  <c r="R33" i="17"/>
  <c r="S30" i="17"/>
  <c r="S49" i="17"/>
  <c r="S51" i="17"/>
  <c r="T48" i="17"/>
  <c r="P37" i="17"/>
  <c r="P39" i="17"/>
  <c r="Q36" i="17"/>
  <c r="V240" i="12"/>
  <c r="V216" i="12"/>
  <c r="X252" i="12"/>
  <c r="T210" i="12"/>
  <c r="U204" i="12"/>
  <c r="U254" i="12"/>
  <c r="T192" i="12"/>
  <c r="U234" i="12"/>
  <c r="V228" i="12"/>
  <c r="F27" i="17"/>
  <c r="F58" i="17"/>
  <c r="F59" i="17"/>
  <c r="Q75" i="12"/>
  <c r="R70" i="12"/>
  <c r="P55" i="12"/>
  <c r="Q50" i="12"/>
  <c r="S97" i="12"/>
  <c r="S100" i="12"/>
  <c r="S34" i="12"/>
  <c r="Q100" i="12"/>
  <c r="Q34" i="12"/>
  <c r="Q35" i="12"/>
  <c r="R30" i="12"/>
  <c r="R97" i="12"/>
  <c r="R100" i="12"/>
  <c r="R34" i="12"/>
  <c r="O45" i="12"/>
  <c r="P40" i="12"/>
  <c r="Q54" i="12"/>
  <c r="N84" i="12"/>
  <c r="O82" i="12"/>
  <c r="S258" i="12"/>
  <c r="T251" i="12"/>
  <c r="S65" i="12"/>
  <c r="T60" i="12"/>
  <c r="G24" i="17"/>
  <c r="G25" i="17"/>
  <c r="G56" i="17"/>
  <c r="G54" i="13"/>
  <c r="P44" i="12"/>
  <c r="S191" i="12"/>
  <c r="R198" i="12"/>
  <c r="H56" i="6"/>
  <c r="H95" i="6"/>
  <c r="R116" i="12"/>
  <c r="R74" i="12"/>
  <c r="S113" i="12"/>
  <c r="P92" i="12"/>
  <c r="Q89" i="12"/>
  <c r="Q35" i="13"/>
  <c r="E17" i="14"/>
  <c r="E19" i="14"/>
  <c r="H12" i="12"/>
  <c r="I5" i="12"/>
  <c r="I10" i="12"/>
  <c r="H14" i="12"/>
  <c r="H77" i="12"/>
  <c r="G30" i="13"/>
  <c r="V152" i="12"/>
  <c r="W149" i="12"/>
  <c r="Q136" i="12"/>
  <c r="Q163" i="12"/>
  <c r="Q127" i="12"/>
  <c r="Q128" i="12"/>
  <c r="R126" i="12"/>
  <c r="R133" i="12"/>
  <c r="P173" i="12"/>
  <c r="Q170" i="12"/>
  <c r="G56" i="13"/>
  <c r="F58" i="13"/>
  <c r="F59" i="13"/>
  <c r="F60" i="13"/>
  <c r="R108" i="12"/>
  <c r="S105" i="12"/>
  <c r="O119" i="12"/>
  <c r="O83" i="12"/>
  <c r="O9" i="12"/>
  <c r="O24" i="12"/>
  <c r="O25" i="12"/>
  <c r="P20" i="12"/>
  <c r="S215" i="12"/>
  <c r="R222" i="12"/>
  <c r="R144" i="12"/>
  <c r="S141" i="12"/>
  <c r="S160" i="12"/>
  <c r="T157" i="12"/>
  <c r="Q261" i="12"/>
  <c r="Q172" i="12"/>
  <c r="E35" i="13"/>
  <c r="U241" i="12"/>
  <c r="T246" i="12"/>
  <c r="T64" i="12"/>
  <c r="S31" i="17"/>
  <c r="S33" i="17"/>
  <c r="T30" i="17"/>
  <c r="V234" i="12"/>
  <c r="W228" i="12"/>
  <c r="W216" i="12"/>
  <c r="T49" i="17"/>
  <c r="T51" i="17"/>
  <c r="U48" i="17"/>
  <c r="V254" i="12"/>
  <c r="W240" i="12"/>
  <c r="Y252" i="12"/>
  <c r="U192" i="12"/>
  <c r="U210" i="12"/>
  <c r="V204" i="12"/>
  <c r="Q37" i="17"/>
  <c r="Q39" i="17"/>
  <c r="R36" i="17"/>
  <c r="U43" i="17"/>
  <c r="U45" i="17"/>
  <c r="V42" i="17"/>
  <c r="R75" i="12"/>
  <c r="S70" i="12"/>
  <c r="R35" i="12"/>
  <c r="S30" i="12"/>
  <c r="S35" i="12"/>
  <c r="T30" i="12"/>
  <c r="Q55" i="12"/>
  <c r="R50" i="12"/>
  <c r="G55" i="17"/>
  <c r="P45" i="12"/>
  <c r="Q40" i="12"/>
  <c r="O84" i="12"/>
  <c r="P82" i="12"/>
  <c r="T97" i="12"/>
  <c r="U251" i="12"/>
  <c r="T258" i="12"/>
  <c r="T100" i="12"/>
  <c r="T34" i="12"/>
  <c r="U97" i="12"/>
  <c r="T65" i="12"/>
  <c r="U60" i="12"/>
  <c r="G57" i="13"/>
  <c r="H56" i="13"/>
  <c r="Q44" i="12"/>
  <c r="T191" i="12"/>
  <c r="S198" i="12"/>
  <c r="G27" i="17"/>
  <c r="G58" i="17"/>
  <c r="Q173" i="12"/>
  <c r="R170" i="12"/>
  <c r="T160" i="12"/>
  <c r="U157" i="12"/>
  <c r="R33" i="13"/>
  <c r="R34" i="13"/>
  <c r="F64" i="13"/>
  <c r="AC33" i="13"/>
  <c r="AC34" i="13"/>
  <c r="F33" i="13"/>
  <c r="F34" i="13"/>
  <c r="F4" i="14"/>
  <c r="F6" i="14"/>
  <c r="F13" i="14"/>
  <c r="H10" i="6"/>
  <c r="H57" i="6"/>
  <c r="H7" i="6"/>
  <c r="H11" i="6"/>
  <c r="D13" i="6"/>
  <c r="D24" i="6"/>
  <c r="S144" i="12"/>
  <c r="T141" i="12"/>
  <c r="Q92" i="12"/>
  <c r="R89" i="12"/>
  <c r="R136" i="12"/>
  <c r="R163" i="12"/>
  <c r="R127" i="12"/>
  <c r="R128" i="12"/>
  <c r="S126" i="12"/>
  <c r="S133" i="12"/>
  <c r="R261" i="12"/>
  <c r="R172" i="12"/>
  <c r="T215" i="12"/>
  <c r="S222" i="12"/>
  <c r="R54" i="12"/>
  <c r="S116" i="12"/>
  <c r="S74" i="12"/>
  <c r="T113" i="12"/>
  <c r="I12" i="12"/>
  <c r="I56" i="4"/>
  <c r="I55" i="4"/>
  <c r="J5" i="12"/>
  <c r="J10" i="12"/>
  <c r="J12" i="12"/>
  <c r="J56" i="4"/>
  <c r="J55" i="4"/>
  <c r="I77" i="12"/>
  <c r="I14" i="12"/>
  <c r="W152" i="12"/>
  <c r="X149" i="12"/>
  <c r="H38" i="13"/>
  <c r="H39" i="13"/>
  <c r="H31" i="13"/>
  <c r="T30" i="13"/>
  <c r="AE30" i="13"/>
  <c r="H55" i="13"/>
  <c r="P119" i="12"/>
  <c r="P83" i="12"/>
  <c r="P9" i="12"/>
  <c r="P24" i="12"/>
  <c r="P25" i="12"/>
  <c r="Q20" i="12"/>
  <c r="S108" i="12"/>
  <c r="T105" i="12"/>
  <c r="V241" i="12"/>
  <c r="V246" i="12"/>
  <c r="V64" i="12"/>
  <c r="U246" i="12"/>
  <c r="U64" i="12"/>
  <c r="V43" i="17"/>
  <c r="V45" i="17"/>
  <c r="W42" i="17"/>
  <c r="R37" i="17"/>
  <c r="R39" i="17"/>
  <c r="S36" i="17"/>
  <c r="U49" i="17"/>
  <c r="U51" i="17"/>
  <c r="V48" i="17"/>
  <c r="W234" i="12"/>
  <c r="X228" i="12"/>
  <c r="X216" i="12"/>
  <c r="X240" i="12"/>
  <c r="Z252" i="12"/>
  <c r="V192" i="12"/>
  <c r="T31" i="17"/>
  <c r="T33" i="17"/>
  <c r="U30" i="17"/>
  <c r="V210" i="12"/>
  <c r="W204" i="12"/>
  <c r="W254" i="12"/>
  <c r="R55" i="12"/>
  <c r="S50" i="12"/>
  <c r="S75" i="12"/>
  <c r="T70" i="12"/>
  <c r="G59" i="17"/>
  <c r="T35" i="12"/>
  <c r="U30" i="12"/>
  <c r="Q45" i="12"/>
  <c r="R40" i="12"/>
  <c r="V97" i="12"/>
  <c r="U100" i="12"/>
  <c r="U34" i="12"/>
  <c r="V251" i="12"/>
  <c r="U258" i="12"/>
  <c r="U65" i="12"/>
  <c r="V60" i="12"/>
  <c r="V65" i="12"/>
  <c r="W60" i="12"/>
  <c r="G58" i="13"/>
  <c r="G59" i="13"/>
  <c r="G60" i="13"/>
  <c r="U191" i="12"/>
  <c r="T198" i="12"/>
  <c r="J38" i="13"/>
  <c r="J39" i="13"/>
  <c r="J31" i="13"/>
  <c r="J14" i="12"/>
  <c r="H24" i="17"/>
  <c r="H25" i="17"/>
  <c r="H56" i="17"/>
  <c r="H54" i="13"/>
  <c r="V30" i="13"/>
  <c r="AG30" i="13"/>
  <c r="J77" i="12"/>
  <c r="K5" i="12"/>
  <c r="K10" i="12"/>
  <c r="K12" i="12"/>
  <c r="F35" i="13"/>
  <c r="T144" i="12"/>
  <c r="U141" i="12"/>
  <c r="S54" i="12"/>
  <c r="X152" i="12"/>
  <c r="Y149" i="12"/>
  <c r="F17" i="14"/>
  <c r="F19" i="14"/>
  <c r="R44" i="12"/>
  <c r="R35" i="13"/>
  <c r="U160" i="12"/>
  <c r="V157" i="12"/>
  <c r="P84" i="12"/>
  <c r="Q82" i="12"/>
  <c r="S136" i="12"/>
  <c r="S163" i="12"/>
  <c r="S127" i="12"/>
  <c r="S128" i="12"/>
  <c r="T126" i="12"/>
  <c r="T133" i="12"/>
  <c r="I38" i="13"/>
  <c r="I39" i="13"/>
  <c r="I31" i="13"/>
  <c r="I55" i="13"/>
  <c r="U30" i="13"/>
  <c r="AF30" i="13"/>
  <c r="J55" i="13"/>
  <c r="S261" i="12"/>
  <c r="S172" i="12"/>
  <c r="R92" i="12"/>
  <c r="S89" i="12"/>
  <c r="R173" i="12"/>
  <c r="S170" i="12"/>
  <c r="T116" i="12"/>
  <c r="T74" i="12"/>
  <c r="U113" i="12"/>
  <c r="T108" i="12"/>
  <c r="T54" i="12"/>
  <c r="U105" i="12"/>
  <c r="H30" i="13"/>
  <c r="U215" i="12"/>
  <c r="T222" i="12"/>
  <c r="Q119" i="12"/>
  <c r="Q83" i="12"/>
  <c r="Q9" i="12"/>
  <c r="Q24" i="12"/>
  <c r="Q25" i="12"/>
  <c r="R20" i="12"/>
  <c r="W241" i="12"/>
  <c r="V49" i="17"/>
  <c r="V51" i="17"/>
  <c r="W48" i="17"/>
  <c r="Y216" i="12"/>
  <c r="S37" i="17"/>
  <c r="S39" i="17"/>
  <c r="T36" i="17"/>
  <c r="AA252" i="12"/>
  <c r="X254" i="12"/>
  <c r="J32" i="13"/>
  <c r="V32" i="13"/>
  <c r="AG32" i="13"/>
  <c r="J53" i="13"/>
  <c r="W43" i="17"/>
  <c r="W45" i="17"/>
  <c r="X42" i="17"/>
  <c r="U31" i="17"/>
  <c r="U33" i="17"/>
  <c r="V30" i="17"/>
  <c r="X234" i="12"/>
  <c r="Y228" i="12"/>
  <c r="W210" i="12"/>
  <c r="X204" i="12"/>
  <c r="Y240" i="12"/>
  <c r="W192" i="12"/>
  <c r="S55" i="12"/>
  <c r="T50" i="12"/>
  <c r="T55" i="12"/>
  <c r="U50" i="12"/>
  <c r="U35" i="12"/>
  <c r="V30" i="12"/>
  <c r="T75" i="12"/>
  <c r="U70" i="12"/>
  <c r="R45" i="12"/>
  <c r="S40" i="12"/>
  <c r="V100" i="12"/>
  <c r="V34" i="12"/>
  <c r="W97" i="12"/>
  <c r="W251" i="12"/>
  <c r="V258" i="12"/>
  <c r="V191" i="12"/>
  <c r="U198" i="12"/>
  <c r="H55" i="17"/>
  <c r="J30" i="13"/>
  <c r="S173" i="12"/>
  <c r="T170" i="12"/>
  <c r="I30" i="13"/>
  <c r="G33" i="13"/>
  <c r="G34" i="13"/>
  <c r="G4" i="14"/>
  <c r="G6" i="14"/>
  <c r="G13" i="14"/>
  <c r="G17" i="14"/>
  <c r="G19" i="14"/>
  <c r="S33" i="13"/>
  <c r="S34" i="13"/>
  <c r="G64" i="13"/>
  <c r="AD33" i="13"/>
  <c r="AD34" i="13"/>
  <c r="U116" i="12"/>
  <c r="U74" i="12"/>
  <c r="V113" i="12"/>
  <c r="V215" i="12"/>
  <c r="U222" i="12"/>
  <c r="Q84" i="12"/>
  <c r="R82" i="12"/>
  <c r="U144" i="12"/>
  <c r="V141" i="12"/>
  <c r="U108" i="12"/>
  <c r="V105" i="12"/>
  <c r="V160" i="12"/>
  <c r="W157" i="12"/>
  <c r="T136" i="12"/>
  <c r="T163" i="12"/>
  <c r="T127" i="12"/>
  <c r="T128" i="12"/>
  <c r="U126" i="12"/>
  <c r="U133" i="12"/>
  <c r="Y152" i="12"/>
  <c r="Z149" i="12"/>
  <c r="T261" i="12"/>
  <c r="T172" i="12"/>
  <c r="S92" i="12"/>
  <c r="T89" i="12"/>
  <c r="R119" i="12"/>
  <c r="R83" i="12"/>
  <c r="R9" i="12"/>
  <c r="R24" i="12"/>
  <c r="R25" i="12"/>
  <c r="S20" i="12"/>
  <c r="S44" i="12"/>
  <c r="I32" i="13"/>
  <c r="I53" i="13"/>
  <c r="U32" i="13"/>
  <c r="AF32" i="13"/>
  <c r="H27" i="17"/>
  <c r="X241" i="12"/>
  <c r="W246" i="12"/>
  <c r="W64" i="12"/>
  <c r="W65" i="12"/>
  <c r="X60" i="12"/>
  <c r="T37" i="17"/>
  <c r="T39" i="17"/>
  <c r="U36" i="17"/>
  <c r="W49" i="17"/>
  <c r="W51" i="17"/>
  <c r="X48" i="17"/>
  <c r="Z240" i="12"/>
  <c r="Y254" i="12"/>
  <c r="X210" i="12"/>
  <c r="Y204" i="12"/>
  <c r="K14" i="12"/>
  <c r="K77" i="12"/>
  <c r="L5" i="12"/>
  <c r="X192" i="12"/>
  <c r="X43" i="17"/>
  <c r="X45" i="17"/>
  <c r="Y42" i="17"/>
  <c r="Z216" i="12"/>
  <c r="V31" i="17"/>
  <c r="V33" i="17"/>
  <c r="W30" i="17"/>
  <c r="Y234" i="12"/>
  <c r="Z228" i="12"/>
  <c r="V35" i="12"/>
  <c r="W30" i="12"/>
  <c r="U75" i="12"/>
  <c r="V70" i="12"/>
  <c r="S45" i="12"/>
  <c r="T40" i="12"/>
  <c r="U54" i="12"/>
  <c r="U55" i="12"/>
  <c r="V50" i="12"/>
  <c r="X251" i="12"/>
  <c r="W258" i="12"/>
  <c r="X97" i="12"/>
  <c r="W100" i="12"/>
  <c r="W34" i="12"/>
  <c r="W191" i="12"/>
  <c r="V198" i="12"/>
  <c r="G35" i="13"/>
  <c r="R84" i="12"/>
  <c r="S82" i="12"/>
  <c r="T92" i="12"/>
  <c r="U89" i="12"/>
  <c r="W160" i="12"/>
  <c r="X157" i="12"/>
  <c r="S35" i="13"/>
  <c r="S119" i="12"/>
  <c r="S83" i="12"/>
  <c r="S9" i="12"/>
  <c r="S24" i="12"/>
  <c r="S25" i="12"/>
  <c r="T20" i="12"/>
  <c r="V108" i="12"/>
  <c r="W105" i="12"/>
  <c r="Z152" i="12"/>
  <c r="AA149" i="12"/>
  <c r="AA152" i="12"/>
  <c r="W215" i="12"/>
  <c r="V222" i="12"/>
  <c r="T173" i="12"/>
  <c r="U170" i="12"/>
  <c r="H58" i="17"/>
  <c r="H59" i="17"/>
  <c r="I24" i="17"/>
  <c r="V144" i="12"/>
  <c r="W141" i="12"/>
  <c r="V116" i="12"/>
  <c r="V74" i="12"/>
  <c r="W113" i="12"/>
  <c r="T44" i="12"/>
  <c r="U261" i="12"/>
  <c r="U172" i="12"/>
  <c r="U136" i="12"/>
  <c r="U163" i="12"/>
  <c r="U127" i="12"/>
  <c r="U128" i="12"/>
  <c r="V126" i="12"/>
  <c r="V133" i="12"/>
  <c r="Y241" i="12"/>
  <c r="X246" i="12"/>
  <c r="X64" i="12"/>
  <c r="X65" i="12"/>
  <c r="Y60" i="12"/>
  <c r="Y43" i="17"/>
  <c r="Y45" i="17"/>
  <c r="Z42" i="17"/>
  <c r="X49" i="17"/>
  <c r="X51" i="17"/>
  <c r="Y48" i="17"/>
  <c r="L10" i="12"/>
  <c r="AA216" i="12"/>
  <c r="Y210" i="12"/>
  <c r="Z204" i="12"/>
  <c r="U37" i="17"/>
  <c r="U39" i="17"/>
  <c r="V36" i="17"/>
  <c r="Y192" i="12"/>
  <c r="Z254" i="12"/>
  <c r="W31" i="17"/>
  <c r="W33" i="17"/>
  <c r="X30" i="17"/>
  <c r="Z234" i="12"/>
  <c r="AA228" i="12"/>
  <c r="AA234" i="12"/>
  <c r="AA240" i="12"/>
  <c r="W35" i="12"/>
  <c r="X30" i="12"/>
  <c r="V75" i="12"/>
  <c r="W70" i="12"/>
  <c r="T45" i="12"/>
  <c r="U40" i="12"/>
  <c r="V54" i="12"/>
  <c r="V55" i="12"/>
  <c r="W50" i="12"/>
  <c r="Y251" i="12"/>
  <c r="X258" i="12"/>
  <c r="Y97" i="12"/>
  <c r="Y100" i="12"/>
  <c r="Y34" i="12"/>
  <c r="X100" i="12"/>
  <c r="X34" i="12"/>
  <c r="U44" i="12"/>
  <c r="X191" i="12"/>
  <c r="W198" i="12"/>
  <c r="U173" i="12"/>
  <c r="V170" i="12"/>
  <c r="U92" i="12"/>
  <c r="V89" i="12"/>
  <c r="W144" i="12"/>
  <c r="X141" i="12"/>
  <c r="T119" i="12"/>
  <c r="T83" i="12"/>
  <c r="T9" i="12"/>
  <c r="T24" i="12"/>
  <c r="T25" i="12"/>
  <c r="U20" i="12"/>
  <c r="V136" i="12"/>
  <c r="V163" i="12"/>
  <c r="V127" i="12"/>
  <c r="V128" i="12"/>
  <c r="W126" i="12"/>
  <c r="W133" i="12"/>
  <c r="V261" i="12"/>
  <c r="V172" i="12"/>
  <c r="I25" i="17"/>
  <c r="I56" i="17"/>
  <c r="I54" i="13"/>
  <c r="I55" i="17"/>
  <c r="S84" i="12"/>
  <c r="T82" i="12"/>
  <c r="W116" i="12"/>
  <c r="W74" i="12"/>
  <c r="X113" i="12"/>
  <c r="X215" i="12"/>
  <c r="W222" i="12"/>
  <c r="W108" i="12"/>
  <c r="X105" i="12"/>
  <c r="X160" i="12"/>
  <c r="Y157" i="12"/>
  <c r="Z241" i="12"/>
  <c r="Y246" i="12"/>
  <c r="Y64" i="12"/>
  <c r="Y65" i="12"/>
  <c r="Z60" i="12"/>
  <c r="V37" i="17"/>
  <c r="V39" i="17"/>
  <c r="W36" i="17"/>
  <c r="Y49" i="17"/>
  <c r="Y51" i="17"/>
  <c r="Z48" i="17"/>
  <c r="Z192" i="12"/>
  <c r="X31" i="17"/>
  <c r="X33" i="17"/>
  <c r="Y30" i="17"/>
  <c r="Z210" i="12"/>
  <c r="AA204" i="12"/>
  <c r="AA210" i="12"/>
  <c r="Z43" i="17"/>
  <c r="Z45" i="17"/>
  <c r="AA42" i="17"/>
  <c r="L77" i="12"/>
  <c r="L14" i="12"/>
  <c r="M5" i="12"/>
  <c r="AA254" i="12"/>
  <c r="L12" i="12"/>
  <c r="W75" i="12"/>
  <c r="X70" i="12"/>
  <c r="X35" i="12"/>
  <c r="Y30" i="12"/>
  <c r="Y35" i="12"/>
  <c r="Z30" i="12"/>
  <c r="U45" i="12"/>
  <c r="V40" i="12"/>
  <c r="V44" i="12"/>
  <c r="W54" i="12"/>
  <c r="W55" i="12"/>
  <c r="X50" i="12"/>
  <c r="Z97" i="12"/>
  <c r="Z100" i="12"/>
  <c r="Z34" i="12"/>
  <c r="Z251" i="12"/>
  <c r="Y258" i="12"/>
  <c r="Y191" i="12"/>
  <c r="X198" i="12"/>
  <c r="I27" i="17"/>
  <c r="J24" i="17"/>
  <c r="X108" i="12"/>
  <c r="Y105" i="12"/>
  <c r="V92" i="12"/>
  <c r="W89" i="12"/>
  <c r="W261" i="12"/>
  <c r="W172" i="12"/>
  <c r="W136" i="12"/>
  <c r="W163" i="12"/>
  <c r="W127" i="12"/>
  <c r="W128" i="12"/>
  <c r="X126" i="12"/>
  <c r="X133" i="12"/>
  <c r="U119" i="12"/>
  <c r="U83" i="12"/>
  <c r="U9" i="12"/>
  <c r="U24" i="12"/>
  <c r="U25" i="12"/>
  <c r="V20" i="12"/>
  <c r="X144" i="12"/>
  <c r="Y141" i="12"/>
  <c r="V173" i="12"/>
  <c r="W170" i="12"/>
  <c r="Y215" i="12"/>
  <c r="X222" i="12"/>
  <c r="T84" i="12"/>
  <c r="U82" i="12"/>
  <c r="Y160" i="12"/>
  <c r="Z157" i="12"/>
  <c r="X116" i="12"/>
  <c r="X74" i="12"/>
  <c r="Y113" i="12"/>
  <c r="AA241" i="12"/>
  <c r="AA246" i="12"/>
  <c r="AA64" i="12"/>
  <c r="Z246" i="12"/>
  <c r="Z64" i="12"/>
  <c r="Z65" i="12"/>
  <c r="AA60" i="12"/>
  <c r="AA43" i="17"/>
  <c r="AA45" i="17"/>
  <c r="Y31" i="17"/>
  <c r="Y33" i="17"/>
  <c r="Z30" i="17"/>
  <c r="M10" i="12"/>
  <c r="M12" i="12"/>
  <c r="AA192" i="12"/>
  <c r="Z49" i="17"/>
  <c r="Z51" i="17"/>
  <c r="AA48" i="17"/>
  <c r="W37" i="17"/>
  <c r="W39" i="17"/>
  <c r="X36" i="17"/>
  <c r="X75" i="12"/>
  <c r="Y70" i="12"/>
  <c r="V45" i="12"/>
  <c r="W40" i="12"/>
  <c r="Z35" i="12"/>
  <c r="AA30" i="12"/>
  <c r="AA251" i="12"/>
  <c r="AA258" i="12"/>
  <c r="Z258" i="12"/>
  <c r="U84" i="12"/>
  <c r="V82" i="12"/>
  <c r="AA97" i="12"/>
  <c r="AA100" i="12"/>
  <c r="AA34" i="12"/>
  <c r="I58" i="17"/>
  <c r="I59" i="17"/>
  <c r="W44" i="12"/>
  <c r="Z191" i="12"/>
  <c r="Y198" i="12"/>
  <c r="Z215" i="12"/>
  <c r="Y222" i="12"/>
  <c r="X136" i="12"/>
  <c r="X163" i="12"/>
  <c r="X127" i="12"/>
  <c r="X128" i="12"/>
  <c r="Y126" i="12"/>
  <c r="Y133" i="12"/>
  <c r="Y108" i="12"/>
  <c r="Z105" i="12"/>
  <c r="Y116" i="12"/>
  <c r="Y74" i="12"/>
  <c r="Z113" i="12"/>
  <c r="W173" i="12"/>
  <c r="X170" i="12"/>
  <c r="X54" i="12"/>
  <c r="X55" i="12"/>
  <c r="Y50" i="12"/>
  <c r="X261" i="12"/>
  <c r="X172" i="12"/>
  <c r="W92" i="12"/>
  <c r="X89" i="12"/>
  <c r="V119" i="12"/>
  <c r="V83" i="12"/>
  <c r="V9" i="12"/>
  <c r="V24" i="12"/>
  <c r="V25" i="12"/>
  <c r="W20" i="12"/>
  <c r="AA65" i="12"/>
  <c r="Z160" i="12"/>
  <c r="AA157" i="12"/>
  <c r="AA160" i="12"/>
  <c r="Y144" i="12"/>
  <c r="Z141" i="12"/>
  <c r="J55" i="17"/>
  <c r="J25" i="17"/>
  <c r="J56" i="17"/>
  <c r="J54" i="13"/>
  <c r="Z31" i="17"/>
  <c r="Z33" i="17"/>
  <c r="AA30" i="17"/>
  <c r="M77" i="12"/>
  <c r="M14" i="12"/>
  <c r="N5" i="12"/>
  <c r="X37" i="17"/>
  <c r="X39" i="17"/>
  <c r="Y36" i="17"/>
  <c r="AA49" i="17"/>
  <c r="AA51" i="17"/>
  <c r="Y75" i="12"/>
  <c r="Z70" i="12"/>
  <c r="W45" i="12"/>
  <c r="X40" i="12"/>
  <c r="AA35" i="12"/>
  <c r="X44" i="12"/>
  <c r="AA191" i="12"/>
  <c r="AA198" i="12"/>
  <c r="Z198" i="12"/>
  <c r="Y54" i="12"/>
  <c r="Y55" i="12"/>
  <c r="Z50" i="12"/>
  <c r="J27" i="17"/>
  <c r="J58" i="17"/>
  <c r="J59" i="17"/>
  <c r="X92" i="12"/>
  <c r="Y89" i="12"/>
  <c r="X173" i="12"/>
  <c r="Y170" i="12"/>
  <c r="AA215" i="12"/>
  <c r="AA222" i="12"/>
  <c r="Z222" i="12"/>
  <c r="Z144" i="12"/>
  <c r="AA141" i="12"/>
  <c r="AA144" i="12"/>
  <c r="W119" i="12"/>
  <c r="W83" i="12"/>
  <c r="W9" i="12"/>
  <c r="W24" i="12"/>
  <c r="W25" i="12"/>
  <c r="X20" i="12"/>
  <c r="Z116" i="12"/>
  <c r="Z74" i="12"/>
  <c r="AA113" i="12"/>
  <c r="AA116" i="12"/>
  <c r="AA74" i="12"/>
  <c r="V84" i="12"/>
  <c r="W82" i="12"/>
  <c r="Y136" i="12"/>
  <c r="Y163" i="12"/>
  <c r="Y127" i="12"/>
  <c r="Y128" i="12"/>
  <c r="Z126" i="12"/>
  <c r="Z133" i="12"/>
  <c r="Y44" i="12"/>
  <c r="Y261" i="12"/>
  <c r="Y172" i="12"/>
  <c r="Z108" i="12"/>
  <c r="AA105" i="12"/>
  <c r="AA108" i="12"/>
  <c r="N10" i="12"/>
  <c r="AA31" i="17"/>
  <c r="AA33" i="17"/>
  <c r="Y37" i="17"/>
  <c r="Y39" i="17"/>
  <c r="Z36" i="17"/>
  <c r="Z75" i="12"/>
  <c r="AA70" i="12"/>
  <c r="AA75" i="12"/>
  <c r="X45" i="12"/>
  <c r="Y40" i="12"/>
  <c r="Y45" i="12"/>
  <c r="Z40" i="12"/>
  <c r="Z54" i="12"/>
  <c r="Z55" i="12"/>
  <c r="AA50" i="12"/>
  <c r="K24" i="17"/>
  <c r="AA261" i="12"/>
  <c r="AA172" i="12"/>
  <c r="Y173" i="12"/>
  <c r="Z170" i="12"/>
  <c r="Z136" i="12"/>
  <c r="Z163" i="12"/>
  <c r="Z127" i="12"/>
  <c r="Z128" i="12"/>
  <c r="AA126" i="12"/>
  <c r="AA133" i="12"/>
  <c r="AA136" i="12"/>
  <c r="AA163" i="12"/>
  <c r="AA127" i="12"/>
  <c r="D129" i="12"/>
  <c r="C129" i="12"/>
  <c r="X119" i="12"/>
  <c r="X83" i="12"/>
  <c r="X9" i="12"/>
  <c r="X24" i="12"/>
  <c r="X25" i="12"/>
  <c r="Y20" i="12"/>
  <c r="Y92" i="12"/>
  <c r="Z89" i="12"/>
  <c r="W84" i="12"/>
  <c r="X82" i="12"/>
  <c r="Z261" i="12"/>
  <c r="Z172" i="12"/>
  <c r="AA54" i="12"/>
  <c r="Z37" i="17"/>
  <c r="Z39" i="17"/>
  <c r="AA36" i="17"/>
  <c r="O5" i="12"/>
  <c r="N14" i="12"/>
  <c r="N77" i="12"/>
  <c r="N12" i="12"/>
  <c r="K55" i="17"/>
  <c r="H5" i="20"/>
  <c r="H9" i="20"/>
  <c r="X84" i="12"/>
  <c r="Y82" i="12"/>
  <c r="AA128" i="12"/>
  <c r="K25" i="17"/>
  <c r="K56" i="17"/>
  <c r="AA55" i="12"/>
  <c r="D174" i="12"/>
  <c r="C174" i="12"/>
  <c r="Z173" i="12"/>
  <c r="AA170" i="12"/>
  <c r="AA173" i="12"/>
  <c r="Z44" i="12"/>
  <c r="Z45" i="12"/>
  <c r="AA40" i="12"/>
  <c r="AA44" i="12"/>
  <c r="Z92" i="12"/>
  <c r="AA89" i="12"/>
  <c r="AA92" i="12"/>
  <c r="Y119" i="12"/>
  <c r="Y83" i="12"/>
  <c r="Y9" i="12"/>
  <c r="Y24" i="12"/>
  <c r="Y25" i="12"/>
  <c r="Z20" i="12"/>
  <c r="O10" i="12"/>
  <c r="O12" i="12"/>
  <c r="AA37" i="17"/>
  <c r="AA39" i="17"/>
  <c r="K27" i="17"/>
  <c r="K58" i="17"/>
  <c r="K59" i="17"/>
  <c r="Y84" i="12"/>
  <c r="Z82" i="12"/>
  <c r="AA45" i="12"/>
  <c r="AA119" i="12"/>
  <c r="AA83" i="12"/>
  <c r="AA24" i="12"/>
  <c r="Z119" i="12"/>
  <c r="Z83" i="12"/>
  <c r="Z9" i="12"/>
  <c r="Z24" i="12"/>
  <c r="Z25" i="12"/>
  <c r="AA20" i="12"/>
  <c r="P5" i="12"/>
  <c r="O77" i="12"/>
  <c r="O14" i="12"/>
  <c r="L24" i="17"/>
  <c r="L55" i="17"/>
  <c r="AA25" i="12"/>
  <c r="D85" i="12"/>
  <c r="C85" i="12"/>
  <c r="AA9" i="12"/>
  <c r="Z84" i="12"/>
  <c r="AA82" i="12"/>
  <c r="AA84" i="12"/>
  <c r="P10" i="12"/>
  <c r="P12" i="12"/>
  <c r="L25" i="17"/>
  <c r="L56" i="17"/>
  <c r="P14" i="12"/>
  <c r="Q5" i="12"/>
  <c r="P77" i="12"/>
  <c r="L27" i="17"/>
  <c r="M24" i="17"/>
  <c r="M55" i="17"/>
  <c r="Q10" i="12"/>
  <c r="Q12" i="12"/>
  <c r="M25" i="17"/>
  <c r="M56" i="17"/>
  <c r="L58" i="17"/>
  <c r="L59" i="17"/>
  <c r="R5" i="12"/>
  <c r="Q14" i="12"/>
  <c r="Q77" i="12"/>
  <c r="M27" i="17"/>
  <c r="R10" i="12"/>
  <c r="R12" i="12"/>
  <c r="N24" i="17"/>
  <c r="M58" i="17"/>
  <c r="M59" i="17"/>
  <c r="S5" i="12"/>
  <c r="R14" i="12"/>
  <c r="R77" i="12"/>
  <c r="N55" i="17"/>
  <c r="N25" i="17"/>
  <c r="N56" i="17"/>
  <c r="S10" i="12"/>
  <c r="N27" i="17"/>
  <c r="S77" i="12"/>
  <c r="S14" i="12"/>
  <c r="T5" i="12"/>
  <c r="S12" i="12"/>
  <c r="O24" i="17"/>
  <c r="N58" i="17"/>
  <c r="N59" i="17"/>
  <c r="T10" i="12"/>
  <c r="O25" i="17"/>
  <c r="O56" i="17"/>
  <c r="O55" i="17"/>
  <c r="U5" i="12"/>
  <c r="T14" i="12"/>
  <c r="T77" i="12"/>
  <c r="T12" i="12"/>
  <c r="O27" i="17"/>
  <c r="P24" i="17"/>
  <c r="U10" i="12"/>
  <c r="U12" i="12"/>
  <c r="O58" i="17"/>
  <c r="O59" i="17"/>
  <c r="P25" i="17"/>
  <c r="P56" i="17"/>
  <c r="P55" i="17"/>
  <c r="V5" i="12"/>
  <c r="U14" i="12"/>
  <c r="U77" i="12"/>
  <c r="P27" i="17"/>
  <c r="Q24" i="17"/>
  <c r="V10" i="12"/>
  <c r="P58" i="17"/>
  <c r="P59" i="17"/>
  <c r="Q25" i="17"/>
  <c r="Q56" i="17"/>
  <c r="Q55" i="17"/>
  <c r="W5" i="12"/>
  <c r="V14" i="12"/>
  <c r="V77" i="12"/>
  <c r="V12" i="12"/>
  <c r="Q27" i="17"/>
  <c r="Q58" i="17"/>
  <c r="Q59" i="17"/>
  <c r="W10" i="12"/>
  <c r="R24" i="17"/>
  <c r="R55" i="17"/>
  <c r="X5" i="12"/>
  <c r="W77" i="12"/>
  <c r="W14" i="12"/>
  <c r="W12" i="12"/>
  <c r="R25" i="17"/>
  <c r="R27" i="17"/>
  <c r="X10" i="12"/>
  <c r="X12" i="12"/>
  <c r="R56" i="17"/>
  <c r="S24" i="17"/>
  <c r="R58" i="17"/>
  <c r="Y5" i="12"/>
  <c r="X77" i="12"/>
  <c r="X14" i="12"/>
  <c r="R59" i="17"/>
  <c r="S55" i="17"/>
  <c r="S25" i="17"/>
  <c r="S56" i="17"/>
  <c r="Y10" i="12"/>
  <c r="S27" i="17"/>
  <c r="S58" i="17"/>
  <c r="S59" i="17"/>
  <c r="Z5" i="12"/>
  <c r="Y14" i="12"/>
  <c r="Y77" i="12"/>
  <c r="Y12" i="12"/>
  <c r="T24" i="17"/>
  <c r="T55" i="17"/>
  <c r="Z10" i="12"/>
  <c r="Z12" i="12"/>
  <c r="T25" i="17"/>
  <c r="T56" i="17"/>
  <c r="AA5" i="12"/>
  <c r="Z77" i="12"/>
  <c r="Z14" i="12"/>
  <c r="T27" i="17"/>
  <c r="AA10" i="12"/>
  <c r="AA12" i="12"/>
  <c r="T58" i="17"/>
  <c r="T59" i="17"/>
  <c r="U24" i="17"/>
  <c r="AA77" i="12"/>
  <c r="C77" i="12"/>
  <c r="AA14" i="12"/>
  <c r="C14" i="12"/>
  <c r="U25" i="17"/>
  <c r="U55" i="17"/>
  <c r="C1" i="12"/>
  <c r="C2" i="12"/>
  <c r="U56" i="17"/>
  <c r="U27" i="17"/>
  <c r="V24" i="17"/>
  <c r="U58" i="17"/>
  <c r="U59" i="17"/>
  <c r="V55" i="17"/>
  <c r="V25" i="17"/>
  <c r="V56" i="17"/>
  <c r="V27" i="17"/>
  <c r="W24" i="17"/>
  <c r="V58" i="17"/>
  <c r="V59" i="17"/>
  <c r="W25" i="17"/>
  <c r="W56" i="17"/>
  <c r="W55" i="17"/>
  <c r="W27" i="17"/>
  <c r="X24" i="17"/>
  <c r="W58" i="17"/>
  <c r="W59" i="17"/>
  <c r="X25" i="17"/>
  <c r="X56" i="17"/>
  <c r="X55" i="17"/>
  <c r="X27" i="17"/>
  <c r="Y24" i="17"/>
  <c r="X58" i="17"/>
  <c r="X59" i="17"/>
  <c r="Y55" i="17"/>
  <c r="Y25" i="17"/>
  <c r="Y56" i="17"/>
  <c r="Y27" i="17"/>
  <c r="Z24" i="17"/>
  <c r="Y58" i="17"/>
  <c r="Y59" i="17"/>
  <c r="Z25" i="17"/>
  <c r="Z56" i="17"/>
  <c r="Z55" i="17"/>
  <c r="Z27" i="17"/>
  <c r="AA24" i="17"/>
  <c r="G58" i="14"/>
  <c r="S58" i="14"/>
  <c r="G59" i="14"/>
  <c r="S59" i="14"/>
  <c r="G56" i="14"/>
  <c r="S56" i="14"/>
  <c r="G57" i="14"/>
  <c r="S57" i="14"/>
  <c r="Z58" i="17"/>
  <c r="Z59" i="17"/>
  <c r="AA25" i="17"/>
  <c r="AA55" i="17"/>
  <c r="J100" i="4"/>
  <c r="H58" i="14"/>
  <c r="T58" i="14"/>
  <c r="J101" i="4"/>
  <c r="H59" i="14"/>
  <c r="T59" i="14"/>
  <c r="H51" i="13"/>
  <c r="H57" i="13"/>
  <c r="H15" i="14"/>
  <c r="G60" i="14"/>
  <c r="S60" i="14"/>
  <c r="S76" i="14"/>
  <c r="I8" i="14"/>
  <c r="J102" i="4"/>
  <c r="H60" i="14"/>
  <c r="T60" i="14"/>
  <c r="J98" i="4"/>
  <c r="H56" i="14"/>
  <c r="T56" i="14"/>
  <c r="J99" i="4"/>
  <c r="H57" i="14"/>
  <c r="T57" i="14"/>
  <c r="AA56" i="17"/>
  <c r="AA27" i="17"/>
  <c r="AA58" i="17"/>
  <c r="I51" i="13"/>
  <c r="I15" i="14"/>
  <c r="T76" i="14"/>
  <c r="J8" i="14"/>
  <c r="H58" i="13"/>
  <c r="H59" i="13"/>
  <c r="H60" i="13"/>
  <c r="I56" i="13"/>
  <c r="AA59" i="17"/>
  <c r="C59" i="17"/>
  <c r="C1" i="17"/>
  <c r="H33" i="13"/>
  <c r="H34" i="13"/>
  <c r="H4" i="14"/>
  <c r="H6" i="14"/>
  <c r="H13" i="14"/>
  <c r="H17" i="14"/>
  <c r="H19" i="14"/>
  <c r="T33" i="13"/>
  <c r="T34" i="13"/>
  <c r="H64" i="13"/>
  <c r="AE33" i="13"/>
  <c r="AE34" i="13"/>
  <c r="J51" i="13"/>
  <c r="J15" i="14"/>
  <c r="I57" i="13"/>
  <c r="C2" i="17"/>
  <c r="T35" i="13"/>
  <c r="I58" i="13"/>
  <c r="I59" i="13"/>
  <c r="I60" i="13"/>
  <c r="J56" i="13"/>
  <c r="J57" i="13"/>
  <c r="H35" i="13"/>
  <c r="J58" i="13"/>
  <c r="J59" i="13"/>
  <c r="J60" i="13"/>
  <c r="J64" i="13"/>
  <c r="AG33" i="13"/>
  <c r="AG34" i="13"/>
  <c r="B20" i="20"/>
  <c r="I64" i="13"/>
  <c r="AF33" i="13"/>
  <c r="AF34" i="13"/>
  <c r="U33" i="13"/>
  <c r="U34" i="13"/>
  <c r="I33" i="13"/>
  <c r="I34" i="13"/>
  <c r="I4" i="14"/>
  <c r="I6" i="14"/>
  <c r="I13" i="14"/>
  <c r="I17" i="14"/>
  <c r="I19" i="14"/>
  <c r="V33" i="13"/>
  <c r="V34" i="13"/>
  <c r="V35" i="13"/>
  <c r="J33" i="13"/>
  <c r="J34" i="13"/>
  <c r="J4" i="14"/>
  <c r="J6" i="14"/>
  <c r="J13" i="14"/>
  <c r="J17" i="14"/>
  <c r="I35" i="13"/>
  <c r="U35" i="13"/>
  <c r="J35" i="13"/>
  <c r="C35" i="13"/>
  <c r="D1" i="13"/>
  <c r="F1" i="14"/>
  <c r="J19" i="14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<sst xmlns="http://schemas.openxmlformats.org/spreadsheetml/2006/main" count="1247" uniqueCount="433">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</sst>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(* #,##0_);_(* \(#,##0\);_(* &quot;-&quot;_);_(@_)"/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0"/>
    <numFmt numFmtId="191" formatCode="0.000000"/>
    <numFmt numFmtId="192" formatCode="mmm\-yyyy"/>
    <numFmt numFmtId="193" formatCode="d/m/yyyy;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0" fontId="3" fillId="0" borderId="0"/>
    <xf numFmtId="41" fontId="3" fillId="10" borderId="0" applyFont="0" applyBorder="0" applyAlignment="0">
      <alignment horizontal="right"/>
      <protection locked="0"/>
    </xf>
    <xf numFmtId="41" fontId="3" fillId="11" borderId="0" applyFont="0" applyBorder="0">
      <alignment horizontal="right"/>
      <protection locked="0"/>
    </xf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ill="0"/>
    <xf numFmtId="0" fontId="3" fillId="0" borderId="0"/>
    <xf numFmtId="0" fontId="1" fillId="0" borderId="0"/>
    <xf numFmtId="0" fontId="51" fillId="15" borderId="0"/>
    <xf numFmtId="0" fontId="51" fillId="12" borderId="0">
      <alignment horizontal="left" vertical="center"/>
      <protection locked="0"/>
    </xf>
    <xf numFmtId="0" fontId="52" fillId="16" borderId="0">
      <alignment vertical="center"/>
      <protection locked="0"/>
    </xf>
  </cellStyleXfs>
  <cellXfs count="994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6" fillId="0" borderId="1" xfId="4" applyFont="1" applyFill="1" applyBorder="1"/>
    <xf numFmtId="0" fontId="6" fillId="0" borderId="2" xfId="4" quotePrefix="1" applyFont="1" applyFill="1" applyBorder="1" applyAlignment="1">
      <alignment horizontal="right"/>
    </xf>
    <xf numFmtId="0" fontId="6" fillId="0" borderId="3" xfId="4" quotePrefix="1" applyFont="1" applyFill="1" applyBorder="1" applyAlignment="1">
      <alignment horizontal="right"/>
    </xf>
    <xf numFmtId="0" fontId="6" fillId="0" borderId="4" xfId="4" quotePrefix="1" applyFont="1" applyFill="1" applyBorder="1" applyAlignment="1">
      <alignment horizontal="right"/>
    </xf>
    <xf numFmtId="0" fontId="9" fillId="0" borderId="1" xfId="4" applyFont="1" applyFill="1" applyBorder="1"/>
    <xf numFmtId="3" fontId="11" fillId="2" borderId="5" xfId="4" applyNumberFormat="1" applyFont="1" applyFill="1" applyBorder="1"/>
    <xf numFmtId="3" fontId="11" fillId="2" borderId="0" xfId="4" applyNumberFormat="1" applyFont="1" applyFill="1" applyBorder="1"/>
    <xf numFmtId="3" fontId="11" fillId="2" borderId="6" xfId="4" applyNumberFormat="1" applyFont="1" applyFill="1" applyBorder="1"/>
    <xf numFmtId="3" fontId="5" fillId="0" borderId="7" xfId="4" applyNumberFormat="1" applyFont="1" applyFill="1" applyBorder="1"/>
    <xf numFmtId="3" fontId="5" fillId="0" borderId="8" xfId="4" applyNumberFormat="1" applyFont="1" applyFill="1" applyBorder="1"/>
    <xf numFmtId="3" fontId="5" fillId="0" borderId="9" xfId="4" applyNumberFormat="1" applyFont="1" applyFill="1" applyBorder="1"/>
    <xf numFmtId="0" fontId="10" fillId="0" borderId="1" xfId="4" applyFont="1" applyFill="1" applyBorder="1"/>
    <xf numFmtId="3" fontId="10" fillId="0" borderId="0" xfId="4" applyNumberFormat="1" applyFont="1" applyFill="1" applyBorder="1" applyAlignment="1">
      <alignment horizontal="center"/>
    </xf>
    <xf numFmtId="3" fontId="11" fillId="2" borderId="7" xfId="4" applyNumberFormat="1" applyFont="1" applyFill="1" applyBorder="1"/>
    <xf numFmtId="3" fontId="11" fillId="2" borderId="8" xfId="4" applyNumberFormat="1" applyFont="1" applyFill="1" applyBorder="1"/>
    <xf numFmtId="3" fontId="11" fillId="2" borderId="9" xfId="4" applyNumberFormat="1" applyFont="1" applyFill="1" applyBorder="1"/>
    <xf numFmtId="3" fontId="5" fillId="0" borderId="0" xfId="4" applyNumberFormat="1" applyFont="1" applyFill="1" applyBorder="1"/>
    <xf numFmtId="0" fontId="5" fillId="0" borderId="0" xfId="4" applyFont="1" applyBorder="1"/>
    <xf numFmtId="0" fontId="5" fillId="0" borderId="0" xfId="4" applyFont="1"/>
    <xf numFmtId="0" fontId="5" fillId="0" borderId="1" xfId="4" applyFont="1" applyBorder="1"/>
    <xf numFmtId="0" fontId="5" fillId="0" borderId="5" xfId="4" applyFont="1" applyBorder="1"/>
    <xf numFmtId="3" fontId="11" fillId="2" borderId="5" xfId="3" applyNumberFormat="1" applyFont="1" applyFill="1" applyBorder="1"/>
    <xf numFmtId="3" fontId="11" fillId="2" borderId="0" xfId="3" applyNumberFormat="1" applyFont="1" applyFill="1" applyBorder="1"/>
    <xf numFmtId="3" fontId="11" fillId="2" borderId="6" xfId="3" applyNumberFormat="1" applyFont="1" applyFill="1" applyBorder="1"/>
    <xf numFmtId="3" fontId="11" fillId="2" borderId="10" xfId="3" applyNumberFormat="1" applyFont="1" applyFill="1" applyBorder="1"/>
    <xf numFmtId="3" fontId="11" fillId="2" borderId="11" xfId="3" applyNumberFormat="1" applyFont="1" applyFill="1" applyBorder="1"/>
    <xf numFmtId="3" fontId="11" fillId="2" borderId="12" xfId="3" applyNumberFormat="1" applyFont="1" applyFill="1" applyBorder="1"/>
    <xf numFmtId="0" fontId="6" fillId="0" borderId="0" xfId="4" applyFont="1" applyFill="1" applyBorder="1"/>
    <xf numFmtId="3" fontId="5" fillId="0" borderId="0" xfId="4" applyNumberFormat="1" applyFont="1"/>
    <xf numFmtId="0" fontId="6" fillId="0" borderId="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3" fontId="11" fillId="0" borderId="5" xfId="3" applyNumberFormat="1" applyFont="1" applyFill="1" applyBorder="1"/>
    <xf numFmtId="3" fontId="11" fillId="0" borderId="0" xfId="3" applyNumberFormat="1" applyFont="1" applyFill="1" applyBorder="1"/>
    <xf numFmtId="3" fontId="11" fillId="0" borderId="6" xfId="3" applyNumberFormat="1" applyFont="1" applyFill="1" applyBorder="1"/>
    <xf numFmtId="0" fontId="13" fillId="0" borderId="1" xfId="4" applyFont="1" applyBorder="1"/>
    <xf numFmtId="0" fontId="5" fillId="0" borderId="15" xfId="4" applyFont="1" applyBorder="1"/>
    <xf numFmtId="0" fontId="5" fillId="0" borderId="16" xfId="4" applyFont="1" applyBorder="1"/>
    <xf numFmtId="0" fontId="7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0" fontId="12" fillId="0" borderId="1" xfId="4" applyFont="1" applyFill="1" applyBorder="1"/>
    <xf numFmtId="180" fontId="6" fillId="0" borderId="0" xfId="6" applyNumberFormat="1" applyFont="1" applyFill="1" applyBorder="1" applyAlignment="1">
      <alignment horizontal="center"/>
    </xf>
    <xf numFmtId="169" fontId="5" fillId="0" borderId="0" xfId="6" applyNumberFormat="1" applyFont="1" applyFill="1" applyBorder="1"/>
    <xf numFmtId="0" fontId="6" fillId="0" borderId="15" xfId="4" quotePrefix="1" applyFont="1" applyFill="1" applyBorder="1" applyAlignment="1">
      <alignment horizontal="right"/>
    </xf>
    <xf numFmtId="0" fontId="6" fillId="0" borderId="17" xfId="4" quotePrefix="1" applyFont="1" applyFill="1" applyBorder="1" applyAlignment="1">
      <alignment horizontal="right"/>
    </xf>
    <xf numFmtId="0" fontId="6" fillId="0" borderId="16" xfId="4" quotePrefix="1" applyFont="1" applyFill="1" applyBorder="1" applyAlignment="1">
      <alignment horizontal="right"/>
    </xf>
    <xf numFmtId="0" fontId="5" fillId="0" borderId="15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5" fillId="0" borderId="11" xfId="4" applyFont="1" applyBorder="1" applyAlignment="1">
      <alignment horizontal="center"/>
    </xf>
    <xf numFmtId="10" fontId="6" fillId="0" borderId="0" xfId="6" applyNumberFormat="1" applyFont="1" applyFill="1" applyAlignment="1">
      <alignment horizontal="center"/>
    </xf>
    <xf numFmtId="0" fontId="12" fillId="0" borderId="0" xfId="4" applyFont="1" applyFill="1" applyBorder="1"/>
    <xf numFmtId="0" fontId="6" fillId="0" borderId="0" xfId="4" quotePrefix="1" applyFont="1" applyFill="1" applyBorder="1" applyAlignment="1">
      <alignment horizontal="right"/>
    </xf>
    <xf numFmtId="0" fontId="5" fillId="0" borderId="0" xfId="0" applyFont="1"/>
    <xf numFmtId="0" fontId="13" fillId="0" borderId="1" xfId="4" applyFont="1" applyBorder="1" applyAlignment="1">
      <alignment horizontal="left"/>
    </xf>
    <xf numFmtId="0" fontId="12" fillId="0" borderId="0" xfId="0" applyFont="1"/>
    <xf numFmtId="0" fontId="12" fillId="0" borderId="0" xfId="1" applyFont="1" applyFill="1"/>
    <xf numFmtId="178" fontId="5" fillId="0" borderId="0" xfId="4" applyNumberFormat="1" applyFont="1" applyFill="1" applyBorder="1" applyAlignment="1">
      <alignment horizontal="center"/>
    </xf>
    <xf numFmtId="0" fontId="5" fillId="3" borderId="10" xfId="4" applyFont="1" applyFill="1" applyBorder="1" applyAlignment="1">
      <alignment horizontal="center"/>
    </xf>
    <xf numFmtId="0" fontId="5" fillId="3" borderId="11" xfId="4" applyFont="1" applyFill="1" applyBorder="1" applyAlignment="1">
      <alignment horizontal="center"/>
    </xf>
    <xf numFmtId="0" fontId="5" fillId="3" borderId="12" xfId="4" applyFont="1" applyFill="1" applyBorder="1" applyAlignment="1">
      <alignment horizontal="center"/>
    </xf>
    <xf numFmtId="0" fontId="5" fillId="3" borderId="15" xfId="4" applyFont="1" applyFill="1" applyBorder="1" applyAlignment="1">
      <alignment horizontal="center"/>
    </xf>
    <xf numFmtId="0" fontId="5" fillId="3" borderId="17" xfId="4" applyFont="1" applyFill="1" applyBorder="1" applyAlignment="1">
      <alignment horizontal="center"/>
    </xf>
    <xf numFmtId="0" fontId="5" fillId="3" borderId="16" xfId="4" applyFont="1" applyFill="1" applyBorder="1" applyAlignment="1">
      <alignment horizontal="center"/>
    </xf>
    <xf numFmtId="0" fontId="5" fillId="0" borderId="15" xfId="4" applyFont="1" applyFill="1" applyBorder="1"/>
    <xf numFmtId="0" fontId="5" fillId="0" borderId="16" xfId="4" applyFont="1" applyFill="1" applyBorder="1"/>
    <xf numFmtId="0" fontId="5" fillId="0" borderId="18" xfId="4" applyFont="1" applyBorder="1"/>
    <xf numFmtId="0" fontId="5" fillId="0" borderId="18" xfId="4" applyFont="1" applyFill="1" applyBorder="1"/>
    <xf numFmtId="0" fontId="13" fillId="4" borderId="0" xfId="4" applyFont="1" applyFill="1" applyBorder="1" applyAlignment="1">
      <alignment horizontal="left"/>
    </xf>
    <xf numFmtId="0" fontId="5" fillId="0" borderId="0" xfId="1" applyFont="1" applyBorder="1"/>
    <xf numFmtId="0" fontId="13" fillId="0" borderId="0" xfId="1" applyFont="1"/>
    <xf numFmtId="3" fontId="11" fillId="2" borderId="6" xfId="1" applyNumberFormat="1" applyFont="1" applyFill="1" applyBorder="1"/>
    <xf numFmtId="3" fontId="5" fillId="0" borderId="8" xfId="1" applyNumberFormat="1" applyFont="1" applyBorder="1"/>
    <xf numFmtId="0" fontId="6" fillId="0" borderId="3" xfId="1" applyFont="1" applyBorder="1" applyAlignment="1">
      <alignment horizontal="right"/>
    </xf>
    <xf numFmtId="0" fontId="5" fillId="0" borderId="1" xfId="1" applyFont="1" applyFill="1" applyBorder="1" applyAlignment="1">
      <alignment wrapText="1"/>
    </xf>
    <xf numFmtId="3" fontId="11" fillId="2" borderId="5" xfId="1" applyNumberFormat="1" applyFont="1" applyFill="1" applyBorder="1"/>
    <xf numFmtId="3" fontId="11" fillId="2" borderId="10" xfId="1" applyNumberFormat="1" applyFont="1" applyFill="1" applyBorder="1"/>
    <xf numFmtId="3" fontId="11" fillId="2" borderId="12" xfId="1" applyNumberFormat="1" applyFont="1" applyFill="1" applyBorder="1"/>
    <xf numFmtId="3" fontId="5" fillId="0" borderId="0" xfId="1" applyNumberFormat="1" applyFont="1" applyBorder="1"/>
    <xf numFmtId="3" fontId="5" fillId="0" borderId="0" xfId="1" applyNumberFormat="1" applyFont="1" applyFill="1" applyBorder="1"/>
    <xf numFmtId="0" fontId="5" fillId="0" borderId="0" xfId="1" applyFont="1"/>
    <xf numFmtId="0" fontId="5" fillId="0" borderId="0" xfId="1" applyFont="1" applyFill="1"/>
    <xf numFmtId="0" fontId="12" fillId="0" borderId="0" xfId="1" applyFont="1" applyFill="1" applyBorder="1" applyAlignment="1">
      <alignment wrapText="1"/>
    </xf>
    <xf numFmtId="3" fontId="5" fillId="0" borderId="0" xfId="1" applyNumberFormat="1" applyFont="1"/>
    <xf numFmtId="0" fontId="5" fillId="0" borderId="0" xfId="1" applyFont="1" applyFill="1" applyBorder="1" applyAlignment="1">
      <alignment wrapText="1"/>
    </xf>
    <xf numFmtId="0" fontId="12" fillId="0" borderId="0" xfId="1" applyFont="1" applyProtection="1"/>
    <xf numFmtId="0" fontId="15" fillId="0" borderId="0" xfId="1" applyFont="1"/>
    <xf numFmtId="0" fontId="5" fillId="0" borderId="0" xfId="1" applyFont="1" applyFill="1" applyBorder="1"/>
    <xf numFmtId="3" fontId="5" fillId="0" borderId="8" xfId="3" applyNumberFormat="1" applyFont="1" applyFill="1" applyBorder="1"/>
    <xf numFmtId="0" fontId="6" fillId="0" borderId="0" xfId="1" applyFont="1" applyFill="1" applyBorder="1"/>
    <xf numFmtId="3" fontId="5" fillId="0" borderId="0" xfId="3" applyNumberFormat="1" applyFont="1" applyFill="1" applyBorder="1"/>
    <xf numFmtId="0" fontId="16" fillId="0" borderId="0" xfId="1" applyFont="1" applyFill="1"/>
    <xf numFmtId="0" fontId="13" fillId="0" borderId="0" xfId="4" applyFont="1" applyFill="1" applyBorder="1"/>
    <xf numFmtId="0" fontId="14" fillId="2" borderId="1" xfId="4" applyFont="1" applyFill="1" applyBorder="1"/>
    <xf numFmtId="0" fontId="14" fillId="3" borderId="0" xfId="4" applyFont="1" applyFill="1"/>
    <xf numFmtId="0" fontId="6" fillId="0" borderId="19" xfId="4" applyFont="1" applyFill="1" applyBorder="1" applyAlignment="1">
      <alignment horizontal="center"/>
    </xf>
    <xf numFmtId="17" fontId="5" fillId="0" borderId="0" xfId="1" applyNumberFormat="1" applyFont="1" applyFill="1" applyBorder="1"/>
    <xf numFmtId="0" fontId="6" fillId="0" borderId="0" xfId="1" applyFont="1"/>
    <xf numFmtId="10" fontId="5" fillId="0" borderId="0" xfId="4" applyNumberFormat="1" applyFont="1" applyFill="1" applyAlignment="1">
      <alignment horizontal="center"/>
    </xf>
    <xf numFmtId="2" fontId="5" fillId="0" borderId="0" xfId="4" applyNumberFormat="1" applyFont="1" applyFill="1" applyAlignment="1">
      <alignment horizontal="center"/>
    </xf>
    <xf numFmtId="9" fontId="5" fillId="0" borderId="0" xfId="4" applyNumberFormat="1" applyFont="1" applyFill="1" applyAlignment="1">
      <alignment horizontal="center"/>
    </xf>
    <xf numFmtId="10" fontId="5" fillId="0" borderId="0" xfId="6" applyNumberFormat="1" applyFont="1" applyFill="1" applyAlignment="1">
      <alignment horizontal="center"/>
    </xf>
    <xf numFmtId="175" fontId="5" fillId="0" borderId="13" xfId="4" applyNumberFormat="1" applyFont="1" applyFill="1" applyBorder="1" applyAlignment="1">
      <alignment horizontal="center"/>
    </xf>
    <xf numFmtId="175" fontId="5" fillId="0" borderId="14" xfId="4" applyNumberFormat="1" applyFont="1" applyFill="1" applyBorder="1" applyAlignment="1">
      <alignment horizontal="center"/>
    </xf>
    <xf numFmtId="3" fontId="5" fillId="0" borderId="0" xfId="1" applyNumberFormat="1" applyFont="1" applyFill="1"/>
    <xf numFmtId="3" fontId="5" fillId="0" borderId="3" xfId="1" applyNumberFormat="1" applyFont="1" applyBorder="1"/>
    <xf numFmtId="0" fontId="5" fillId="0" borderId="0" xfId="4" applyFont="1" applyFill="1" applyBorder="1" applyAlignment="1">
      <alignment horizontal="center"/>
    </xf>
    <xf numFmtId="175" fontId="11" fillId="3" borderId="13" xfId="4" applyNumberFormat="1" applyFont="1" applyFill="1" applyBorder="1" applyAlignment="1">
      <alignment horizontal="center"/>
    </xf>
    <xf numFmtId="175" fontId="11" fillId="3" borderId="14" xfId="4" applyNumberFormat="1" applyFont="1" applyFill="1" applyBorder="1" applyAlignment="1">
      <alignment horizontal="center"/>
    </xf>
    <xf numFmtId="10" fontId="11" fillId="3" borderId="0" xfId="6" applyNumberFormat="1" applyFont="1" applyFill="1" applyBorder="1" applyAlignment="1">
      <alignment horizontal="center"/>
    </xf>
    <xf numFmtId="0" fontId="11" fillId="3" borderId="0" xfId="4" applyFont="1" applyFill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10" fontId="5" fillId="0" borderId="13" xfId="1" applyNumberFormat="1" applyFont="1" applyFill="1" applyBorder="1" applyAlignment="1">
      <alignment horizontal="center"/>
    </xf>
    <xf numFmtId="10" fontId="5" fillId="0" borderId="19" xfId="1" applyNumberFormat="1" applyFont="1" applyFill="1" applyBorder="1" applyAlignment="1">
      <alignment horizontal="center"/>
    </xf>
    <xf numFmtId="10" fontId="5" fillId="0" borderId="14" xfId="1" applyNumberFormat="1" applyFont="1" applyFill="1" applyBorder="1" applyAlignment="1">
      <alignment horizontal="center"/>
    </xf>
    <xf numFmtId="3" fontId="11" fillId="0" borderId="0" xfId="4" applyNumberFormat="1" applyFont="1" applyFill="1" applyBorder="1"/>
    <xf numFmtId="0" fontId="15" fillId="0" borderId="0" xfId="0" applyFont="1" applyFill="1" applyBorder="1" applyAlignment="1">
      <alignment horizontal="center"/>
    </xf>
    <xf numFmtId="177" fontId="11" fillId="0" borderId="0" xfId="3" applyNumberFormat="1" applyFont="1" applyFill="1" applyBorder="1"/>
    <xf numFmtId="3" fontId="5" fillId="0" borderId="0" xfId="4" applyNumberFormat="1" applyFont="1" applyFill="1"/>
    <xf numFmtId="0" fontId="15" fillId="0" borderId="6" xfId="0" applyFont="1" applyBorder="1" applyAlignment="1">
      <alignment horizontal="center"/>
    </xf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0" applyFont="1"/>
    <xf numFmtId="1" fontId="21" fillId="0" borderId="0" xfId="0" applyNumberFormat="1" applyFont="1" applyProtection="1"/>
    <xf numFmtId="0" fontId="21" fillId="0" borderId="0" xfId="0" applyFont="1" applyBorder="1"/>
    <xf numFmtId="3" fontId="20" fillId="0" borderId="0" xfId="0" applyNumberFormat="1" applyFont="1"/>
    <xf numFmtId="1" fontId="22" fillId="0" borderId="0" xfId="0" applyNumberFormat="1" applyFont="1" applyBorder="1" applyAlignment="1" applyProtection="1">
      <alignment horizontal="left"/>
    </xf>
    <xf numFmtId="0" fontId="21" fillId="0" borderId="0" xfId="0" applyFont="1"/>
    <xf numFmtId="0" fontId="21" fillId="0" borderId="3" xfId="0" applyFont="1" applyBorder="1"/>
    <xf numFmtId="168" fontId="20" fillId="0" borderId="15" xfId="2" applyNumberFormat="1" applyFont="1" applyBorder="1"/>
    <xf numFmtId="168" fontId="20" fillId="0" borderId="17" xfId="2" applyNumberFormat="1" applyFont="1" applyBorder="1"/>
    <xf numFmtId="168" fontId="20" fillId="0" borderId="16" xfId="2" applyNumberFormat="1" applyFont="1" applyBorder="1"/>
    <xf numFmtId="168" fontId="20" fillId="0" borderId="5" xfId="0" applyNumberFormat="1" applyFont="1" applyBorder="1"/>
    <xf numFmtId="168" fontId="20" fillId="0" borderId="0" xfId="0" applyNumberFormat="1" applyFont="1" applyBorder="1"/>
    <xf numFmtId="168" fontId="20" fillId="0" borderId="6" xfId="0" applyNumberFormat="1" applyFont="1" applyBorder="1"/>
    <xf numFmtId="168" fontId="20" fillId="0" borderId="10" xfId="0" applyNumberFormat="1" applyFont="1" applyBorder="1"/>
    <xf numFmtId="168" fontId="20" fillId="0" borderId="11" xfId="0" applyNumberFormat="1" applyFont="1" applyBorder="1"/>
    <xf numFmtId="168" fontId="20" fillId="0" borderId="12" xfId="0" applyNumberFormat="1" applyFont="1" applyBorder="1"/>
    <xf numFmtId="168" fontId="21" fillId="0" borderId="8" xfId="0" applyNumberFormat="1" applyFont="1" applyBorder="1"/>
    <xf numFmtId="168" fontId="20" fillId="0" borderId="0" xfId="0" applyNumberFormat="1" applyFont="1"/>
    <xf numFmtId="168" fontId="21" fillId="0" borderId="0" xfId="2" applyNumberFormat="1" applyFont="1" applyBorder="1"/>
    <xf numFmtId="168" fontId="21" fillId="0" borderId="20" xfId="0" applyNumberFormat="1" applyFont="1" applyBorder="1"/>
    <xf numFmtId="168" fontId="20" fillId="0" borderId="0" xfId="6" applyNumberFormat="1" applyFont="1" applyFill="1"/>
    <xf numFmtId="170" fontId="21" fillId="0" borderId="0" xfId="2" applyNumberFormat="1" applyFont="1"/>
    <xf numFmtId="168" fontId="20" fillId="0" borderId="0" xfId="2" applyNumberFormat="1" applyFont="1"/>
    <xf numFmtId="0" fontId="23" fillId="0" borderId="0" xfId="0" applyFont="1" applyFill="1" applyAlignment="1">
      <alignment horizontal="left"/>
    </xf>
    <xf numFmtId="0" fontId="20" fillId="0" borderId="0" xfId="0" applyFont="1" applyFill="1"/>
    <xf numFmtId="168" fontId="24" fillId="0" borderId="0" xfId="0" applyNumberFormat="1" applyFont="1" applyFill="1" applyBorder="1" applyAlignment="1">
      <alignment horizontal="center"/>
    </xf>
    <xf numFmtId="169" fontId="23" fillId="0" borderId="0" xfId="6" applyNumberFormat="1" applyFont="1" applyFill="1" applyBorder="1"/>
    <xf numFmtId="0" fontId="20" fillId="0" borderId="0" xfId="0" applyFont="1" applyBorder="1"/>
    <xf numFmtId="0" fontId="21" fillId="0" borderId="0" xfId="0" applyFont="1" applyFill="1" applyBorder="1" applyAlignment="1">
      <alignment horizontal="right"/>
    </xf>
    <xf numFmtId="0" fontId="20" fillId="0" borderId="0" xfId="0" applyFont="1" applyFill="1" applyBorder="1"/>
    <xf numFmtId="168" fontId="20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169" fontId="21" fillId="0" borderId="0" xfId="6" applyNumberFormat="1" applyFont="1" applyFill="1" applyBorder="1"/>
    <xf numFmtId="0" fontId="22" fillId="0" borderId="0" xfId="0" applyFont="1" applyFill="1"/>
    <xf numFmtId="3" fontId="26" fillId="0" borderId="0" xfId="0" applyNumberFormat="1" applyFont="1" applyFill="1"/>
    <xf numFmtId="171" fontId="20" fillId="0" borderId="15" xfId="0" applyNumberFormat="1" applyFont="1" applyBorder="1"/>
    <xf numFmtId="171" fontId="20" fillId="0" borderId="17" xfId="0" applyNumberFormat="1" applyFont="1" applyBorder="1"/>
    <xf numFmtId="171" fontId="20" fillId="0" borderId="16" xfId="0" applyNumberFormat="1" applyFont="1" applyBorder="1"/>
    <xf numFmtId="171" fontId="20" fillId="0" borderId="5" xfId="0" applyNumberFormat="1" applyFont="1" applyBorder="1"/>
    <xf numFmtId="171" fontId="20" fillId="0" borderId="0" xfId="0" applyNumberFormat="1" applyFont="1" applyBorder="1"/>
    <xf numFmtId="171" fontId="20" fillId="0" borderId="6" xfId="0" applyNumberFormat="1" applyFont="1" applyBorder="1"/>
    <xf numFmtId="171" fontId="24" fillId="0" borderId="0" xfId="2" applyNumberFormat="1" applyFont="1" applyBorder="1"/>
    <xf numFmtId="171" fontId="24" fillId="0" borderId="6" xfId="2" applyNumberFormat="1" applyFont="1" applyBorder="1"/>
    <xf numFmtId="171" fontId="20" fillId="0" borderId="5" xfId="2" applyNumberFormat="1" applyFont="1" applyBorder="1"/>
    <xf numFmtId="171" fontId="20" fillId="0" borderId="0" xfId="2" applyNumberFormat="1" applyFont="1" applyBorder="1"/>
    <xf numFmtId="171" fontId="20" fillId="0" borderId="6" xfId="2" applyNumberFormat="1" applyFont="1" applyBorder="1"/>
    <xf numFmtId="171" fontId="20" fillId="0" borderId="10" xfId="0" applyNumberFormat="1" applyFont="1" applyBorder="1"/>
    <xf numFmtId="171" fontId="20" fillId="0" borderId="11" xfId="0" applyNumberFormat="1" applyFont="1" applyBorder="1"/>
    <xf numFmtId="171" fontId="20" fillId="0" borderId="12" xfId="0" applyNumberFormat="1" applyFont="1" applyBorder="1"/>
    <xf numFmtId="0" fontId="20" fillId="0" borderId="11" xfId="0" applyFont="1" applyBorder="1"/>
    <xf numFmtId="0" fontId="20" fillId="0" borderId="11" xfId="0" applyFont="1" applyFill="1" applyBorder="1"/>
    <xf numFmtId="0" fontId="22" fillId="0" borderId="0" xfId="0" applyFont="1" applyFill="1" applyAlignment="1">
      <alignment wrapText="1"/>
    </xf>
    <xf numFmtId="1" fontId="21" fillId="0" borderId="0" xfId="0" applyNumberFormat="1" applyFont="1" applyBorder="1" applyAlignment="1" applyProtection="1">
      <alignment horizontal="left"/>
    </xf>
    <xf numFmtId="1" fontId="21" fillId="0" borderId="3" xfId="0" applyNumberFormat="1" applyFont="1" applyBorder="1" applyAlignment="1" applyProtection="1">
      <alignment horizontal="center"/>
    </xf>
    <xf numFmtId="1" fontId="21" fillId="0" borderId="0" xfId="0" applyNumberFormat="1" applyFont="1" applyBorder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4" fontId="27" fillId="0" borderId="0" xfId="0" applyNumberFormat="1" applyFont="1" applyFill="1" applyBorder="1" applyAlignment="1" applyProtection="1">
      <alignment horizontal="center"/>
    </xf>
    <xf numFmtId="172" fontId="20" fillId="0" borderId="0" xfId="0" applyNumberFormat="1" applyFont="1" applyFill="1" applyBorder="1"/>
    <xf numFmtId="172" fontId="20" fillId="0" borderId="0" xfId="0" applyNumberFormat="1" applyFont="1" applyFill="1"/>
    <xf numFmtId="4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Protection="1"/>
    <xf numFmtId="4" fontId="20" fillId="0" borderId="0" xfId="0" applyNumberFormat="1" applyFont="1" applyBorder="1"/>
    <xf numFmtId="4" fontId="21" fillId="0" borderId="8" xfId="0" applyNumberFormat="1" applyFont="1" applyFill="1" applyBorder="1" applyAlignment="1" applyProtection="1">
      <alignment horizontal="center"/>
    </xf>
    <xf numFmtId="4" fontId="20" fillId="0" borderId="0" xfId="0" applyNumberFormat="1" applyFont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Fill="1" applyBorder="1"/>
    <xf numFmtId="4" fontId="28" fillId="0" borderId="0" xfId="0" applyNumberFormat="1" applyFont="1" applyFill="1" applyBorder="1" applyAlignment="1" applyProtection="1">
      <alignment horizontal="center"/>
    </xf>
    <xf numFmtId="4" fontId="20" fillId="0" borderId="11" xfId="0" applyNumberFormat="1" applyFont="1" applyFill="1" applyBorder="1" applyAlignment="1" applyProtection="1">
      <alignment horizontal="center"/>
    </xf>
    <xf numFmtId="0" fontId="21" fillId="0" borderId="0" xfId="0" applyFont="1" applyFill="1"/>
    <xf numFmtId="0" fontId="21" fillId="0" borderId="17" xfId="5" applyFont="1" applyFill="1" applyBorder="1" applyAlignment="1">
      <alignment horizontal="right"/>
    </xf>
    <xf numFmtId="0" fontId="21" fillId="0" borderId="3" xfId="5" applyFont="1" applyFill="1" applyBorder="1" applyAlignment="1">
      <alignment horizontal="right"/>
    </xf>
    <xf numFmtId="0" fontId="21" fillId="0" borderId="0" xfId="5" applyFont="1" applyFill="1" applyBorder="1" applyAlignment="1">
      <alignment horizontal="right"/>
    </xf>
    <xf numFmtId="10" fontId="20" fillId="0" borderId="0" xfId="0" applyNumberFormat="1" applyFont="1" applyFill="1" applyBorder="1"/>
    <xf numFmtId="9" fontId="20" fillId="0" borderId="0" xfId="0" applyNumberFormat="1" applyFont="1" applyFill="1" applyBorder="1"/>
    <xf numFmtId="9" fontId="20" fillId="0" borderId="0" xfId="6" applyFont="1" applyFill="1" applyBorder="1"/>
    <xf numFmtId="173" fontId="20" fillId="0" borderId="0" xfId="0" applyNumberFormat="1" applyFont="1" applyFill="1" applyBorder="1"/>
    <xf numFmtId="173" fontId="20" fillId="0" borderId="0" xfId="2" applyNumberFormat="1" applyFont="1" applyFill="1" applyBorder="1"/>
    <xf numFmtId="167" fontId="20" fillId="0" borderId="11" xfId="2" applyFont="1" applyFill="1" applyBorder="1"/>
    <xf numFmtId="167" fontId="20" fillId="0" borderId="0" xfId="2" applyFont="1" applyFill="1" applyBorder="1"/>
    <xf numFmtId="167" fontId="20" fillId="0" borderId="0" xfId="2" applyFont="1" applyFill="1"/>
    <xf numFmtId="10" fontId="20" fillId="0" borderId="19" xfId="6" applyNumberFormat="1" applyFont="1" applyFill="1" applyBorder="1"/>
    <xf numFmtId="173" fontId="20" fillId="0" borderId="17" xfId="2" applyNumberFormat="1" applyFont="1" applyFill="1" applyBorder="1"/>
    <xf numFmtId="173" fontId="20" fillId="0" borderId="11" xfId="2" applyNumberFormat="1" applyFont="1" applyFill="1" applyBorder="1"/>
    <xf numFmtId="173" fontId="21" fillId="0" borderId="3" xfId="2" applyNumberFormat="1" applyFont="1" applyFill="1" applyBorder="1"/>
    <xf numFmtId="173" fontId="21" fillId="0" borderId="0" xfId="2" applyNumberFormat="1" applyFont="1" applyFill="1" applyBorder="1"/>
    <xf numFmtId="169" fontId="21" fillId="0" borderId="3" xfId="6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3" fontId="20" fillId="0" borderId="0" xfId="0" applyNumberFormat="1" applyFont="1" applyFill="1"/>
    <xf numFmtId="3" fontId="20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3" fontId="28" fillId="0" borderId="0" xfId="0" applyNumberFormat="1" applyFont="1" applyFill="1" applyBorder="1"/>
    <xf numFmtId="0" fontId="29" fillId="0" borderId="0" xfId="0" applyFont="1"/>
    <xf numFmtId="3" fontId="20" fillId="0" borderId="3" xfId="0" applyNumberFormat="1" applyFont="1" applyFill="1" applyBorder="1"/>
    <xf numFmtId="3" fontId="26" fillId="0" borderId="0" xfId="0" applyNumberFormat="1" applyFont="1" applyFill="1" applyBorder="1"/>
    <xf numFmtId="0" fontId="22" fillId="0" borderId="0" xfId="0" applyFont="1" applyBorder="1"/>
    <xf numFmtId="3" fontId="23" fillId="0" borderId="0" xfId="0" applyNumberFormat="1" applyFont="1" applyFill="1" applyBorder="1"/>
    <xf numFmtId="9" fontId="20" fillId="0" borderId="0" xfId="6" applyFont="1"/>
    <xf numFmtId="0" fontId="0" fillId="0" borderId="0" xfId="0" applyFill="1"/>
    <xf numFmtId="0" fontId="29" fillId="0" borderId="0" xfId="0" applyFont="1" applyBorder="1"/>
    <xf numFmtId="0" fontId="21" fillId="0" borderId="11" xfId="0" applyFont="1" applyBorder="1"/>
    <xf numFmtId="3" fontId="23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0" xfId="0" applyNumberFormat="1" applyFont="1" applyBorder="1"/>
    <xf numFmtId="0" fontId="22" fillId="0" borderId="0" xfId="0" applyFont="1" applyAlignment="1">
      <alignment wrapText="1"/>
    </xf>
    <xf numFmtId="3" fontId="20" fillId="0" borderId="3" xfId="0" applyNumberFormat="1" applyFont="1" applyBorder="1"/>
    <xf numFmtId="0" fontId="28" fillId="0" borderId="0" xfId="0" applyFont="1"/>
    <xf numFmtId="1" fontId="21" fillId="0" borderId="3" xfId="0" applyNumberFormat="1" applyFont="1" applyBorder="1" applyAlignment="1" applyProtection="1">
      <alignment horizontal="right"/>
    </xf>
    <xf numFmtId="1" fontId="21" fillId="0" borderId="0" xfId="0" applyNumberFormat="1" applyFont="1" applyFill="1" applyBorder="1" applyAlignment="1" applyProtection="1">
      <alignment horizontal="right"/>
    </xf>
    <xf numFmtId="174" fontId="20" fillId="0" borderId="0" xfId="0" applyNumberFormat="1" applyFont="1" applyFill="1" applyBorder="1" applyAlignment="1">
      <alignment horizontal="left"/>
    </xf>
    <xf numFmtId="175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22" fillId="0" borderId="0" xfId="0" applyFont="1" applyFill="1" applyProtection="1"/>
    <xf numFmtId="1" fontId="21" fillId="0" borderId="3" xfId="0" applyNumberFormat="1" applyFont="1" applyFill="1" applyBorder="1" applyAlignment="1" applyProtection="1">
      <alignment horizontal="right"/>
    </xf>
    <xf numFmtId="1" fontId="21" fillId="0" borderId="0" xfId="0" applyNumberFormat="1" applyFont="1" applyFill="1" applyProtection="1"/>
    <xf numFmtId="1" fontId="20" fillId="0" borderId="0" xfId="0" applyNumberFormat="1" applyFont="1" applyFill="1" applyAlignment="1" applyProtection="1">
      <alignment horizontal="center"/>
    </xf>
    <xf numFmtId="3" fontId="20" fillId="0" borderId="0" xfId="0" applyNumberFormat="1" applyFont="1" applyFill="1" applyProtection="1"/>
    <xf numFmtId="2" fontId="20" fillId="0" borderId="0" xfId="0" applyNumberFormat="1" applyFont="1" applyFill="1" applyBorder="1" applyProtection="1"/>
    <xf numFmtId="4" fontId="20" fillId="0" borderId="0" xfId="0" applyNumberFormat="1" applyFont="1" applyFill="1" applyProtection="1"/>
    <xf numFmtId="3" fontId="20" fillId="0" borderId="3" xfId="0" applyNumberFormat="1" applyFont="1" applyFill="1" applyBorder="1" applyProtection="1"/>
    <xf numFmtId="0" fontId="30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20" fillId="0" borderId="0" xfId="0" applyNumberFormat="1" applyFont="1" applyFill="1"/>
    <xf numFmtId="0" fontId="31" fillId="0" borderId="0" xfId="0" applyFont="1" applyFill="1"/>
    <xf numFmtId="0" fontId="31" fillId="0" borderId="0" xfId="0" applyFont="1"/>
    <xf numFmtId="9" fontId="20" fillId="0" borderId="0" xfId="6" applyFont="1" applyFill="1"/>
    <xf numFmtId="0" fontId="29" fillId="0" borderId="0" xfId="0" applyFont="1" applyFill="1" applyBorder="1"/>
    <xf numFmtId="4" fontId="20" fillId="0" borderId="0" xfId="0" applyNumberFormat="1" applyFont="1" applyProtection="1"/>
    <xf numFmtId="4" fontId="20" fillId="0" borderId="0" xfId="0" applyNumberFormat="1" applyFont="1" applyFill="1" applyBorder="1" applyProtection="1"/>
    <xf numFmtId="0" fontId="22" fillId="0" borderId="0" xfId="0" applyFont="1" applyFill="1" applyBorder="1"/>
    <xf numFmtId="0" fontId="26" fillId="0" borderId="0" xfId="0" applyFont="1" applyFill="1"/>
    <xf numFmtId="3" fontId="26" fillId="0" borderId="0" xfId="0" applyNumberFormat="1" applyFont="1" applyFill="1" applyAlignment="1">
      <alignment horizontal="center"/>
    </xf>
    <xf numFmtId="3" fontId="28" fillId="0" borderId="0" xfId="0" applyNumberFormat="1" applyFont="1"/>
    <xf numFmtId="0" fontId="13" fillId="0" borderId="0" xfId="0" applyFont="1" applyFill="1"/>
    <xf numFmtId="0" fontId="12" fillId="0" borderId="0" xfId="0" applyFont="1" applyFill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0" xfId="0" applyFont="1"/>
    <xf numFmtId="0" fontId="32" fillId="0" borderId="0" xfId="0" applyFont="1" applyFill="1"/>
    <xf numFmtId="0" fontId="13" fillId="0" borderId="0" xfId="0" applyFont="1" applyFill="1" applyBorder="1"/>
    <xf numFmtId="0" fontId="0" fillId="0" borderId="0" xfId="0" applyFill="1" applyBorder="1"/>
    <xf numFmtId="0" fontId="32" fillId="0" borderId="0" xfId="0" applyFont="1" applyFill="1" applyBorder="1"/>
    <xf numFmtId="0" fontId="33" fillId="0" borderId="0" xfId="0" applyFont="1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9" fillId="0" borderId="0" xfId="0" applyFont="1" applyBorder="1" applyAlignment="1">
      <alignment horizontal="right"/>
    </xf>
    <xf numFmtId="166" fontId="5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10" fillId="0" borderId="0" xfId="0" applyNumberFormat="1" applyFont="1" applyFill="1" applyBorder="1"/>
    <xf numFmtId="166" fontId="5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20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10" fillId="0" borderId="0" xfId="0" applyNumberFormat="1" applyFont="1"/>
    <xf numFmtId="10" fontId="21" fillId="3" borderId="0" xfId="0" applyNumberFormat="1" applyFont="1" applyFill="1"/>
    <xf numFmtId="10" fontId="20" fillId="3" borderId="17" xfId="0" applyNumberFormat="1" applyFont="1" applyFill="1" applyBorder="1"/>
    <xf numFmtId="9" fontId="20" fillId="3" borderId="0" xfId="0" applyNumberFormat="1" applyFont="1" applyFill="1" applyBorder="1"/>
    <xf numFmtId="10" fontId="20" fillId="3" borderId="13" xfId="0" applyNumberFormat="1" applyFont="1" applyFill="1" applyBorder="1"/>
    <xf numFmtId="10" fontId="20" fillId="3" borderId="19" xfId="0" applyNumberFormat="1" applyFont="1" applyFill="1" applyBorder="1"/>
    <xf numFmtId="167" fontId="20" fillId="3" borderId="14" xfId="0" applyNumberFormat="1" applyFont="1" applyFill="1" applyBorder="1"/>
    <xf numFmtId="10" fontId="20" fillId="3" borderId="14" xfId="0" applyNumberFormat="1" applyFont="1" applyFill="1" applyBorder="1"/>
    <xf numFmtId="0" fontId="6" fillId="0" borderId="0" xfId="1" applyFont="1" applyBorder="1" applyAlignment="1">
      <alignment horizontal="right"/>
    </xf>
    <xf numFmtId="0" fontId="6" fillId="0" borderId="13" xfId="1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10" fontId="11" fillId="3" borderId="19" xfId="1" applyNumberFormat="1" applyFont="1" applyFill="1" applyBorder="1" applyAlignment="1">
      <alignment horizontal="center"/>
    </xf>
    <xf numFmtId="169" fontId="11" fillId="3" borderId="0" xfId="6" applyNumberFormat="1" applyFont="1" applyFill="1" applyBorder="1" applyAlignment="1">
      <alignment horizontal="center"/>
    </xf>
    <xf numFmtId="10" fontId="5" fillId="0" borderId="19" xfId="6" applyNumberFormat="1" applyFont="1" applyBorder="1" applyAlignment="1" applyProtection="1">
      <alignment horizontal="center"/>
    </xf>
    <xf numFmtId="17" fontId="5" fillId="0" borderId="13" xfId="1" applyNumberFormat="1" applyFont="1" applyBorder="1" applyAlignment="1">
      <alignment horizontal="center"/>
    </xf>
    <xf numFmtId="17" fontId="5" fillId="0" borderId="19" xfId="1" applyNumberFormat="1" applyFont="1" applyBorder="1" applyAlignment="1">
      <alignment horizontal="center"/>
    </xf>
    <xf numFmtId="10" fontId="6" fillId="0" borderId="0" xfId="6" applyNumberFormat="1" applyFont="1" applyAlignment="1">
      <alignment horizontal="center"/>
    </xf>
    <xf numFmtId="175" fontId="5" fillId="0" borderId="19" xfId="4" applyNumberFormat="1" applyFont="1" applyFill="1" applyBorder="1" applyAlignment="1">
      <alignment horizontal="center"/>
    </xf>
    <xf numFmtId="175" fontId="11" fillId="3" borderId="19" xfId="4" applyNumberFormat="1" applyFont="1" applyFill="1" applyBorder="1" applyAlignment="1">
      <alignment horizontal="center"/>
    </xf>
    <xf numFmtId="0" fontId="5" fillId="0" borderId="1" xfId="4" applyFont="1" applyFill="1" applyBorder="1"/>
    <xf numFmtId="167" fontId="5" fillId="0" borderId="0" xfId="2" applyFont="1" applyFill="1"/>
    <xf numFmtId="0" fontId="10" fillId="0" borderId="0" xfId="4" applyFont="1" applyFill="1" applyBorder="1"/>
    <xf numFmtId="3" fontId="6" fillId="0" borderId="14" xfId="1" applyNumberFormat="1" applyFont="1" applyBorder="1" applyAlignment="1">
      <alignment horizontal="center"/>
    </xf>
    <xf numFmtId="10" fontId="5" fillId="0" borderId="13" xfId="4" applyNumberFormat="1" applyFont="1" applyFill="1" applyBorder="1" applyAlignment="1">
      <alignment horizontal="center"/>
    </xf>
    <xf numFmtId="10" fontId="5" fillId="0" borderId="19" xfId="6" applyNumberFormat="1" applyFont="1" applyFill="1" applyBorder="1" applyAlignment="1">
      <alignment horizontal="center"/>
    </xf>
    <xf numFmtId="10" fontId="5" fillId="0" borderId="14" xfId="6" applyNumberFormat="1" applyFont="1" applyFill="1" applyBorder="1" applyAlignment="1">
      <alignment horizontal="center"/>
    </xf>
    <xf numFmtId="3" fontId="5" fillId="0" borderId="5" xfId="4" applyNumberFormat="1" applyFont="1" applyFill="1" applyBorder="1"/>
    <xf numFmtId="3" fontId="5" fillId="0" borderId="6" xfId="4" applyNumberFormat="1" applyFont="1" applyFill="1" applyBorder="1"/>
    <xf numFmtId="3" fontId="5" fillId="0" borderId="7" xfId="3" applyNumberFormat="1" applyFont="1" applyFill="1" applyBorder="1"/>
    <xf numFmtId="3" fontId="5" fillId="0" borderId="9" xfId="3" applyNumberFormat="1" applyFont="1" applyFill="1" applyBorder="1"/>
    <xf numFmtId="3" fontId="5" fillId="0" borderId="5" xfId="3" applyNumberFormat="1" applyFont="1" applyFill="1" applyBorder="1"/>
    <xf numFmtId="3" fontId="5" fillId="0" borderId="6" xfId="3" applyNumberFormat="1" applyFont="1" applyFill="1" applyBorder="1"/>
    <xf numFmtId="0" fontId="6" fillId="0" borderId="13" xfId="4" quotePrefix="1" applyFont="1" applyFill="1" applyBorder="1" applyAlignment="1">
      <alignment horizontal="center"/>
    </xf>
    <xf numFmtId="0" fontId="15" fillId="0" borderId="0" xfId="1" applyFont="1" applyBorder="1" applyAlignment="1">
      <alignment horizontal="center"/>
    </xf>
    <xf numFmtId="177" fontId="11" fillId="2" borderId="6" xfId="3" applyNumberFormat="1" applyFont="1" applyFill="1" applyBorder="1" applyAlignment="1"/>
    <xf numFmtId="0" fontId="5" fillId="0" borderId="0" xfId="4" applyFont="1" applyBorder="1" applyAlignment="1"/>
    <xf numFmtId="0" fontId="5" fillId="0" borderId="6" xfId="4" applyFont="1" applyBorder="1" applyAlignment="1"/>
    <xf numFmtId="0" fontId="0" fillId="0" borderId="6" xfId="0" applyBorder="1" applyAlignment="1"/>
    <xf numFmtId="177" fontId="11" fillId="2" borderId="12" xfId="3" applyNumberFormat="1" applyFont="1" applyFill="1" applyBorder="1" applyAlignment="1"/>
    <xf numFmtId="177" fontId="5" fillId="0" borderId="0" xfId="3" applyNumberFormat="1" applyFont="1" applyFill="1" applyBorder="1" applyAlignment="1"/>
    <xf numFmtId="0" fontId="5" fillId="0" borderId="0" xfId="1" applyFont="1" applyBorder="1" applyAlignment="1"/>
    <xf numFmtId="0" fontId="15" fillId="0" borderId="5" xfId="0" applyFont="1" applyBorder="1" applyAlignment="1">
      <alignment horizontal="left"/>
    </xf>
    <xf numFmtId="0" fontId="5" fillId="0" borderId="5" xfId="4" applyFont="1" applyBorder="1" applyAlignment="1"/>
    <xf numFmtId="0" fontId="7" fillId="0" borderId="0" xfId="0" applyFont="1"/>
    <xf numFmtId="0" fontId="6" fillId="0" borderId="0" xfId="0" applyFont="1" applyProtection="1"/>
    <xf numFmtId="0" fontId="13" fillId="0" borderId="0" xfId="0" applyFont="1"/>
    <xf numFmtId="1" fontId="6" fillId="0" borderId="0" xfId="0" applyNumberFormat="1" applyFont="1" applyProtection="1"/>
    <xf numFmtId="0" fontId="6" fillId="0" borderId="0" xfId="0" applyFont="1" applyBorder="1"/>
    <xf numFmtId="3" fontId="5" fillId="0" borderId="0" xfId="0" applyNumberFormat="1" applyFont="1"/>
    <xf numFmtId="0" fontId="6" fillId="0" borderId="3" xfId="0" applyFont="1" applyBorder="1"/>
    <xf numFmtId="168" fontId="5" fillId="0" borderId="0" xfId="0" applyNumberFormat="1" applyFont="1" applyBorder="1"/>
    <xf numFmtId="3" fontId="10" fillId="0" borderId="0" xfId="0" applyNumberFormat="1" applyFont="1" applyFill="1"/>
    <xf numFmtId="171" fontId="5" fillId="0" borderId="0" xfId="0" applyNumberFormat="1" applyFont="1" applyBorder="1"/>
    <xf numFmtId="171" fontId="5" fillId="0" borderId="11" xfId="0" applyNumberFormat="1" applyFont="1" applyBorder="1"/>
    <xf numFmtId="0" fontId="5" fillId="0" borderId="11" xfId="0" applyFont="1" applyBorder="1"/>
    <xf numFmtId="0" fontId="5" fillId="0" borderId="11" xfId="0" applyFont="1" applyFill="1" applyBorder="1"/>
    <xf numFmtId="0" fontId="13" fillId="0" borderId="0" xfId="0" applyFont="1" applyFill="1" applyAlignment="1">
      <alignment wrapText="1"/>
    </xf>
    <xf numFmtId="0" fontId="5" fillId="0" borderId="0" xfId="0" applyFont="1" applyBorder="1"/>
    <xf numFmtId="1" fontId="6" fillId="0" borderId="0" xfId="0" applyNumberFormat="1" applyFont="1" applyBorder="1" applyAlignment="1" applyProtection="1">
      <alignment horizontal="left"/>
    </xf>
    <xf numFmtId="1" fontId="6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72" fontId="5" fillId="0" borderId="0" xfId="0" applyNumberFormat="1" applyFont="1" applyFill="1" applyBorder="1"/>
    <xf numFmtId="172" fontId="5" fillId="0" borderId="0" xfId="0" applyNumberFormat="1" applyFont="1" applyFill="1"/>
    <xf numFmtId="4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" fontId="5" fillId="0" borderId="0" xfId="0" applyNumberFormat="1" applyFont="1" applyBorder="1"/>
    <xf numFmtId="4" fontId="5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5" fillId="0" borderId="11" xfId="0" applyNumberFormat="1" applyFont="1" applyFill="1" applyBorder="1" applyAlignment="1" applyProtection="1">
      <alignment horizontal="center"/>
    </xf>
    <xf numFmtId="0" fontId="6" fillId="0" borderId="3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10" fontId="5" fillId="0" borderId="0" xfId="0" applyNumberFormat="1" applyFont="1" applyFill="1" applyBorder="1"/>
    <xf numFmtId="173" fontId="5" fillId="0" borderId="0" xfId="0" applyNumberFormat="1" applyFont="1" applyFill="1" applyBorder="1"/>
    <xf numFmtId="173" fontId="5" fillId="0" borderId="0" xfId="2" applyNumberFormat="1" applyFont="1" applyFill="1" applyBorder="1"/>
    <xf numFmtId="167" fontId="5" fillId="0" borderId="11" xfId="2" applyFont="1" applyFill="1" applyBorder="1"/>
    <xf numFmtId="167" fontId="5" fillId="0" borderId="0" xfId="2" applyFont="1" applyFill="1" applyBorder="1"/>
    <xf numFmtId="173" fontId="6" fillId="0" borderId="0" xfId="2" applyNumberFormat="1" applyFont="1" applyFill="1" applyBorder="1"/>
    <xf numFmtId="3" fontId="5" fillId="0" borderId="0" xfId="0" applyNumberFormat="1" applyFont="1" applyFill="1"/>
    <xf numFmtId="3" fontId="5" fillId="0" borderId="3" xfId="0" applyNumberFormat="1" applyFont="1" applyFill="1" applyBorder="1"/>
    <xf numFmtId="3" fontId="37" fillId="0" borderId="0" xfId="0" applyNumberFormat="1" applyFont="1" applyFill="1" applyBorder="1"/>
    <xf numFmtId="0" fontId="6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13" fillId="0" borderId="0" xfId="0" applyFont="1" applyAlignment="1">
      <alignment wrapText="1"/>
    </xf>
    <xf numFmtId="3" fontId="5" fillId="0" borderId="3" xfId="0" applyNumberFormat="1" applyFont="1" applyBorder="1"/>
    <xf numFmtId="0" fontId="35" fillId="0" borderId="0" xfId="0" applyFont="1"/>
    <xf numFmtId="1" fontId="6" fillId="0" borderId="3" xfId="0" applyNumberFormat="1" applyFont="1" applyBorder="1" applyAlignment="1" applyProtection="1">
      <alignment horizontal="right"/>
    </xf>
    <xf numFmtId="1" fontId="6" fillId="0" borderId="0" xfId="0" applyNumberFormat="1" applyFont="1" applyFill="1" applyBorder="1" applyAlignment="1" applyProtection="1">
      <alignment horizontal="right"/>
    </xf>
    <xf numFmtId="174" fontId="5" fillId="0" borderId="0" xfId="0" applyNumberFormat="1" applyFont="1" applyFill="1" applyBorder="1" applyAlignment="1">
      <alignment horizontal="left"/>
    </xf>
    <xf numFmtId="175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13" fillId="0" borderId="0" xfId="0" applyFont="1" applyFill="1" applyProtection="1"/>
    <xf numFmtId="1" fontId="6" fillId="0" borderId="3" xfId="0" applyNumberFormat="1" applyFont="1" applyFill="1" applyBorder="1" applyAlignment="1" applyProtection="1">
      <alignment horizontal="right"/>
    </xf>
    <xf numFmtId="1" fontId="6" fillId="0" borderId="0" xfId="0" applyNumberFormat="1" applyFont="1" applyFill="1" applyProtection="1"/>
    <xf numFmtId="1" fontId="5" fillId="0" borderId="0" xfId="0" applyNumberFormat="1" applyFont="1" applyFill="1" applyAlignment="1" applyProtection="1">
      <alignment horizontal="center"/>
    </xf>
    <xf numFmtId="3" fontId="5" fillId="0" borderId="0" xfId="0" applyNumberFormat="1" applyFont="1" applyFill="1" applyProtection="1"/>
    <xf numFmtId="2" fontId="5" fillId="0" borderId="0" xfId="0" applyNumberFormat="1" applyFont="1" applyFill="1" applyBorder="1" applyProtection="1"/>
    <xf numFmtId="4" fontId="5" fillId="0" borderId="0" xfId="0" applyNumberFormat="1" applyFont="1" applyFill="1" applyProtection="1"/>
    <xf numFmtId="3" fontId="5" fillId="0" borderId="3" xfId="0" applyNumberFormat="1" applyFont="1" applyFill="1" applyBorder="1" applyProtection="1"/>
    <xf numFmtId="0" fontId="5" fillId="0" borderId="0" xfId="0" applyFont="1" applyAlignment="1">
      <alignment wrapText="1"/>
    </xf>
    <xf numFmtId="10" fontId="5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5" fontId="5" fillId="0" borderId="0" xfId="0" applyNumberFormat="1" applyFont="1" applyFill="1" applyAlignment="1" applyProtection="1">
      <alignment horizontal="right"/>
    </xf>
    <xf numFmtId="10" fontId="5" fillId="0" borderId="13" xfId="0" applyNumberFormat="1" applyFont="1" applyFill="1" applyBorder="1"/>
    <xf numFmtId="10" fontId="5" fillId="0" borderId="19" xfId="0" applyNumberFormat="1" applyFont="1" applyFill="1" applyBorder="1"/>
    <xf numFmtId="10" fontId="5" fillId="0" borderId="14" xfId="0" applyNumberFormat="1" applyFont="1" applyFill="1" applyBorder="1"/>
    <xf numFmtId="0" fontId="5" fillId="0" borderId="0" xfId="0" applyFont="1" applyAlignment="1">
      <alignment horizontal="center" wrapText="1"/>
    </xf>
    <xf numFmtId="167" fontId="5" fillId="0" borderId="14" xfId="0" applyNumberFormat="1" applyFont="1" applyFill="1" applyBorder="1"/>
    <xf numFmtId="9" fontId="5" fillId="0" borderId="13" xfId="0" applyNumberFormat="1" applyFont="1" applyFill="1" applyBorder="1"/>
    <xf numFmtId="9" fontId="5" fillId="0" borderId="19" xfId="0" applyNumberFormat="1" applyFont="1" applyFill="1" applyBorder="1"/>
    <xf numFmtId="3" fontId="6" fillId="0" borderId="3" xfId="0" applyNumberFormat="1" applyFont="1" applyFill="1" applyBorder="1"/>
    <xf numFmtId="3" fontId="5" fillId="0" borderId="8" xfId="0" applyNumberFormat="1" applyFont="1" applyFill="1" applyBorder="1"/>
    <xf numFmtId="3" fontId="6" fillId="0" borderId="8" xfId="0" applyNumberFormat="1" applyFont="1" applyFill="1" applyBorder="1"/>
    <xf numFmtId="10" fontId="5" fillId="0" borderId="0" xfId="6" applyNumberFormat="1" applyFont="1"/>
    <xf numFmtId="1" fontId="5" fillId="0" borderId="0" xfId="0" applyNumberFormat="1" applyFont="1" applyProtection="1"/>
    <xf numFmtId="1" fontId="5" fillId="0" borderId="0" xfId="0" quotePrefix="1" applyNumberFormat="1" applyFont="1" applyProtection="1"/>
    <xf numFmtId="0" fontId="5" fillId="0" borderId="0" xfId="0" applyFont="1" applyFill="1" applyAlignment="1">
      <alignment wrapText="1"/>
    </xf>
    <xf numFmtId="10" fontId="5" fillId="0" borderId="0" xfId="6" applyNumberFormat="1" applyFont="1" applyFill="1" applyBorder="1"/>
    <xf numFmtId="4" fontId="5" fillId="0" borderId="0" xfId="0" applyNumberFormat="1" applyFont="1"/>
    <xf numFmtId="4" fontId="11" fillId="0" borderId="0" xfId="0" applyNumberFormat="1" applyFont="1"/>
    <xf numFmtId="10" fontId="5" fillId="0" borderId="0" xfId="6" applyNumberFormat="1" applyFont="1" applyFill="1"/>
    <xf numFmtId="3" fontId="6" fillId="0" borderId="8" xfId="0" applyNumberFormat="1" applyFont="1" applyBorder="1"/>
    <xf numFmtId="1" fontId="6" fillId="0" borderId="8" xfId="0" applyNumberFormat="1" applyFont="1" applyBorder="1" applyProtection="1"/>
    <xf numFmtId="0" fontId="6" fillId="0" borderId="8" xfId="0" applyFont="1" applyBorder="1"/>
    <xf numFmtId="3" fontId="5" fillId="0" borderId="8" xfId="0" applyNumberFormat="1" applyFont="1" applyBorder="1"/>
    <xf numFmtId="0" fontId="13" fillId="0" borderId="0" xfId="1" applyFont="1" applyFill="1"/>
    <xf numFmtId="10" fontId="5" fillId="0" borderId="13" xfId="6" applyNumberFormat="1" applyFont="1" applyFill="1" applyBorder="1" applyProtection="1">
      <protection locked="0"/>
    </xf>
    <xf numFmtId="10" fontId="5" fillId="0" borderId="19" xfId="6" applyNumberFormat="1" applyFont="1" applyFill="1" applyBorder="1" applyProtection="1">
      <protection locked="0"/>
    </xf>
    <xf numFmtId="167" fontId="5" fillId="0" borderId="19" xfId="2" applyFont="1" applyFill="1" applyBorder="1" applyProtection="1">
      <protection locked="0"/>
    </xf>
    <xf numFmtId="9" fontId="5" fillId="0" borderId="19" xfId="6" applyFont="1" applyFill="1" applyBorder="1" applyProtection="1">
      <protection locked="0"/>
    </xf>
    <xf numFmtId="10" fontId="5" fillId="0" borderId="14" xfId="6" applyNumberFormat="1" applyFont="1" applyFill="1" applyBorder="1" applyProtection="1">
      <protection locked="0"/>
    </xf>
    <xf numFmtId="10" fontId="5" fillId="0" borderId="13" xfId="6" applyNumberFormat="1" applyFont="1" applyBorder="1"/>
    <xf numFmtId="10" fontId="5" fillId="0" borderId="19" xfId="6" applyNumberFormat="1" applyFont="1" applyBorder="1" applyProtection="1"/>
    <xf numFmtId="10" fontId="5" fillId="0" borderId="19" xfId="1" applyNumberFormat="1" applyFont="1" applyBorder="1"/>
    <xf numFmtId="10" fontId="5" fillId="0" borderId="14" xfId="6" applyNumberFormat="1" applyFont="1" applyBorder="1"/>
    <xf numFmtId="10" fontId="11" fillId="0" borderId="0" xfId="1" applyNumberFormat="1" applyFont="1" applyFill="1"/>
    <xf numFmtId="10" fontId="35" fillId="0" borderId="0" xfId="1" applyNumberFormat="1" applyFont="1" applyFill="1"/>
    <xf numFmtId="0" fontId="5" fillId="0" borderId="0" xfId="1" quotePrefix="1" applyFont="1" applyFill="1" applyAlignment="1">
      <alignment horizontal="left"/>
    </xf>
    <xf numFmtId="0" fontId="5" fillId="0" borderId="0" xfId="1" quotePrefix="1" applyFont="1" applyFill="1"/>
    <xf numFmtId="180" fontId="5" fillId="0" borderId="0" xfId="6" applyNumberFormat="1" applyFont="1" applyFill="1"/>
    <xf numFmtId="0" fontId="13" fillId="0" borderId="1" xfId="4" applyFont="1" applyFill="1" applyBorder="1"/>
    <xf numFmtId="0" fontId="13" fillId="0" borderId="0" xfId="1" applyFont="1" applyFill="1" applyBorder="1" applyAlignment="1">
      <alignment wrapText="1"/>
    </xf>
    <xf numFmtId="0" fontId="15" fillId="0" borderId="0" xfId="1" applyFont="1" applyFill="1" applyBorder="1" applyAlignment="1">
      <alignment wrapText="1"/>
    </xf>
    <xf numFmtId="0" fontId="9" fillId="0" borderId="0" xfId="4" applyFont="1" applyFill="1" applyBorder="1"/>
    <xf numFmtId="0" fontId="14" fillId="0" borderId="0" xfId="4" applyFont="1" applyFill="1" applyBorder="1"/>
    <xf numFmtId="0" fontId="12" fillId="0" borderId="0" xfId="1" applyFont="1" applyFill="1" applyProtection="1"/>
    <xf numFmtId="0" fontId="15" fillId="0" borderId="0" xfId="1" applyFont="1" applyFill="1"/>
    <xf numFmtId="0" fontId="13" fillId="0" borderId="0" xfId="1" applyFont="1" applyFill="1" applyBorder="1"/>
    <xf numFmtId="0" fontId="5" fillId="0" borderId="18" xfId="1" applyFont="1" applyFill="1" applyBorder="1"/>
    <xf numFmtId="0" fontId="6" fillId="0" borderId="0" xfId="1" applyFont="1" applyFill="1"/>
    <xf numFmtId="0" fontId="10" fillId="0" borderId="0" xfId="1" applyFont="1" applyFill="1" applyBorder="1" applyAlignment="1">
      <alignment wrapText="1"/>
    </xf>
    <xf numFmtId="0" fontId="5" fillId="0" borderId="18" xfId="1" applyFont="1" applyFill="1" applyBorder="1" applyAlignment="1">
      <alignment wrapText="1"/>
    </xf>
    <xf numFmtId="0" fontId="6" fillId="0" borderId="0" xfId="1" applyFont="1" applyBorder="1"/>
    <xf numFmtId="0" fontId="5" fillId="0" borderId="0" xfId="1" applyFont="1" applyProtection="1"/>
    <xf numFmtId="0" fontId="5" fillId="0" borderId="0" xfId="1" applyFont="1" applyBorder="1" applyProtection="1"/>
    <xf numFmtId="169" fontId="5" fillId="0" borderId="0" xfId="6" applyNumberFormat="1" applyFont="1" applyProtection="1"/>
    <xf numFmtId="0" fontId="12" fillId="0" borderId="0" xfId="1" applyFont="1" applyBorder="1"/>
    <xf numFmtId="0" fontId="5" fillId="0" borderId="0" xfId="1" applyFont="1" applyFill="1" applyProtection="1"/>
    <xf numFmtId="170" fontId="5" fillId="0" borderId="0" xfId="1" applyNumberFormat="1" applyFont="1"/>
    <xf numFmtId="185" fontId="5" fillId="0" borderId="0" xfId="1" applyNumberFormat="1" applyFont="1" applyFill="1" applyBorder="1" applyAlignment="1">
      <alignment horizontal="center"/>
    </xf>
    <xf numFmtId="0" fontId="6" fillId="0" borderId="3" xfId="1" applyFont="1" applyBorder="1"/>
    <xf numFmtId="0" fontId="5" fillId="0" borderId="0" xfId="1" applyFont="1" applyAlignment="1">
      <alignment horizontal="right"/>
    </xf>
    <xf numFmtId="175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174" fontId="6" fillId="0" borderId="13" xfId="1" applyNumberFormat="1" applyFont="1" applyFill="1" applyBorder="1" applyAlignment="1">
      <alignment horizontal="center"/>
    </xf>
    <xf numFmtId="174" fontId="6" fillId="0" borderId="14" xfId="1" applyNumberFormat="1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8" xfId="1" applyFont="1" applyBorder="1"/>
    <xf numFmtId="3" fontId="6" fillId="0" borderId="8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right"/>
    </xf>
    <xf numFmtId="3" fontId="5" fillId="5" borderId="0" xfId="1" applyNumberFormat="1" applyFont="1" applyFill="1"/>
    <xf numFmtId="0" fontId="5" fillId="5" borderId="0" xfId="1" applyFont="1" applyFill="1"/>
    <xf numFmtId="3" fontId="5" fillId="5" borderId="0" xfId="1" applyNumberFormat="1" applyFont="1" applyFill="1" applyBorder="1"/>
    <xf numFmtId="3" fontId="11" fillId="0" borderId="0" xfId="1" applyNumberFormat="1" applyFont="1"/>
    <xf numFmtId="0" fontId="12" fillId="6" borderId="0" xfId="1" applyFont="1" applyFill="1" applyBorder="1"/>
    <xf numFmtId="170" fontId="6" fillId="0" borderId="0" xfId="1" applyNumberFormat="1" applyFont="1" applyFill="1" applyBorder="1"/>
    <xf numFmtId="9" fontId="11" fillId="0" borderId="0" xfId="6" applyFont="1" applyFill="1"/>
    <xf numFmtId="10" fontId="5" fillId="0" borderId="13" xfId="1" applyNumberFormat="1" applyFont="1" applyFill="1" applyBorder="1"/>
    <xf numFmtId="10" fontId="5" fillId="0" borderId="19" xfId="1" applyNumberFormat="1" applyFont="1" applyFill="1" applyBorder="1"/>
    <xf numFmtId="10" fontId="5" fillId="0" borderId="14" xfId="1" applyNumberFormat="1" applyFont="1" applyFill="1" applyBorder="1"/>
    <xf numFmtId="0" fontId="5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6" fontId="35" fillId="0" borderId="0" xfId="1" applyNumberFormat="1" applyFont="1" applyFill="1" applyAlignment="1">
      <alignment horizontal="center"/>
    </xf>
    <xf numFmtId="186" fontId="35" fillId="0" borderId="0" xfId="0" applyNumberFormat="1" applyFont="1" applyFill="1"/>
    <xf numFmtId="0" fontId="10" fillId="7" borderId="2" xfId="1" applyFont="1" applyFill="1" applyBorder="1" applyAlignment="1">
      <alignment horizontal="right"/>
    </xf>
    <xf numFmtId="186" fontId="10" fillId="7" borderId="4" xfId="1" applyNumberFormat="1" applyFont="1" applyFill="1" applyBorder="1" applyAlignment="1">
      <alignment horizontal="center"/>
    </xf>
    <xf numFmtId="1" fontId="6" fillId="0" borderId="0" xfId="0" applyNumberFormat="1" applyFont="1" applyAlignment="1" applyProtection="1">
      <alignment horizontal="center"/>
    </xf>
    <xf numFmtId="1" fontId="5" fillId="0" borderId="0" xfId="0" applyNumberFormat="1" applyFont="1" applyFill="1" applyBorder="1" applyProtection="1"/>
    <xf numFmtId="1" fontId="5" fillId="0" borderId="0" xfId="0" applyNumberFormat="1" applyFont="1" applyBorder="1" applyProtection="1"/>
    <xf numFmtId="1" fontId="12" fillId="0" borderId="0" xfId="0" applyNumberFormat="1" applyFont="1" applyProtection="1"/>
    <xf numFmtId="1" fontId="6" fillId="0" borderId="11" xfId="0" applyNumberFormat="1" applyFont="1" applyBorder="1" applyAlignment="1" applyProtection="1">
      <alignment horizontal="center"/>
    </xf>
    <xf numFmtId="1" fontId="5" fillId="0" borderId="11" xfId="0" applyNumberFormat="1" applyFont="1" applyBorder="1" applyProtection="1"/>
    <xf numFmtId="182" fontId="5" fillId="0" borderId="0" xfId="0" applyNumberFormat="1" applyFont="1" applyFill="1" applyProtection="1"/>
    <xf numFmtId="181" fontId="5" fillId="0" borderId="0" xfId="0" applyNumberFormat="1" applyFont="1" applyFill="1" applyBorder="1" applyProtection="1"/>
    <xf numFmtId="1" fontId="39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1" fontId="40" fillId="0" borderId="0" xfId="0" applyNumberFormat="1" applyFont="1" applyFill="1" applyBorder="1" applyAlignment="1" applyProtection="1">
      <alignment horizontal="left"/>
    </xf>
    <xf numFmtId="1" fontId="13" fillId="0" borderId="0" xfId="0" applyNumberFormat="1" applyFont="1" applyFill="1" applyProtection="1"/>
    <xf numFmtId="1" fontId="12" fillId="0" borderId="0" xfId="0" applyNumberFormat="1" applyFont="1" applyFill="1" applyProtection="1"/>
    <xf numFmtId="0" fontId="37" fillId="0" borderId="0" xfId="0" applyFont="1" applyFill="1" applyBorder="1"/>
    <xf numFmtId="9" fontId="5" fillId="0" borderId="0" xfId="0" applyNumberFormat="1" applyFont="1" applyBorder="1"/>
    <xf numFmtId="173" fontId="6" fillId="0" borderId="3" xfId="2" applyNumberFormat="1" applyFont="1" applyBorder="1"/>
    <xf numFmtId="10" fontId="5" fillId="0" borderId="0" xfId="6" applyNumberFormat="1" applyFont="1" applyBorder="1"/>
    <xf numFmtId="167" fontId="5" fillId="0" borderId="0" xfId="0" applyNumberFormat="1" applyFont="1" applyBorder="1"/>
    <xf numFmtId="9" fontId="5" fillId="0" borderId="0" xfId="6" applyNumberFormat="1" applyFont="1" applyBorder="1"/>
    <xf numFmtId="0" fontId="15" fillId="0" borderId="0" xfId="0" applyFont="1" applyProtection="1"/>
    <xf numFmtId="3" fontId="5" fillId="0" borderId="0" xfId="0" applyNumberFormat="1" applyFont="1" applyProtection="1"/>
    <xf numFmtId="164" fontId="5" fillId="0" borderId="0" xfId="0" applyNumberFormat="1" applyFont="1" applyProtection="1"/>
    <xf numFmtId="3" fontId="5" fillId="0" borderId="8" xfId="0" applyNumberFormat="1" applyFont="1" applyBorder="1" applyProtection="1"/>
    <xf numFmtId="0" fontId="6" fillId="0" borderId="3" xfId="0" applyFont="1" applyBorder="1" applyProtection="1"/>
    <xf numFmtId="0" fontId="41" fillId="0" borderId="5" xfId="0" applyFont="1" applyBorder="1" applyAlignment="1">
      <alignment horizontal="left"/>
    </xf>
    <xf numFmtId="0" fontId="5" fillId="8" borderId="0" xfId="0" applyFont="1" applyFill="1"/>
    <xf numFmtId="10" fontId="5" fillId="0" borderId="0" xfId="0" applyNumberFormat="1" applyFont="1"/>
    <xf numFmtId="2" fontId="5" fillId="0" borderId="0" xfId="0" applyNumberFormat="1" applyFont="1"/>
    <xf numFmtId="0" fontId="10" fillId="0" borderId="0" xfId="0" applyFont="1"/>
    <xf numFmtId="3" fontId="6" fillId="0" borderId="0" xfId="0" applyNumberFormat="1" applyFont="1"/>
    <xf numFmtId="0" fontId="10" fillId="0" borderId="0" xfId="0" applyFont="1" applyAlignment="1">
      <alignment horizontal="right"/>
    </xf>
    <xf numFmtId="0" fontId="13" fillId="0" borderId="0" xfId="1" applyFont="1" applyAlignment="1">
      <alignment horizontal="center"/>
    </xf>
    <xf numFmtId="187" fontId="5" fillId="0" borderId="0" xfId="1" applyNumberFormat="1" applyFont="1" applyFill="1"/>
    <xf numFmtId="3" fontId="5" fillId="0" borderId="3" xfId="0" applyNumberFormat="1" applyFont="1" applyBorder="1" applyProtection="1"/>
    <xf numFmtId="1" fontId="12" fillId="0" borderId="0" xfId="0" applyNumberFormat="1" applyFont="1" applyBorder="1" applyAlignment="1" applyProtection="1">
      <alignment horizontal="center"/>
    </xf>
    <xf numFmtId="3" fontId="5" fillId="8" borderId="0" xfId="0" applyNumberFormat="1" applyFont="1" applyFill="1"/>
    <xf numFmtId="0" fontId="5" fillId="8" borderId="8" xfId="0" applyFont="1" applyFill="1" applyBorder="1"/>
    <xf numFmtId="3" fontId="5" fillId="8" borderId="8" xfId="0" applyNumberFormat="1" applyFont="1" applyFill="1" applyBorder="1"/>
    <xf numFmtId="0" fontId="5" fillId="0" borderId="18" xfId="0" applyFont="1" applyBorder="1"/>
    <xf numFmtId="3" fontId="5" fillId="0" borderId="18" xfId="0" applyNumberFormat="1" applyFont="1" applyFill="1" applyBorder="1"/>
    <xf numFmtId="169" fontId="23" fillId="3" borderId="0" xfId="6" applyNumberFormat="1" applyFont="1" applyFill="1" applyBorder="1" applyAlignment="1">
      <alignment horizontal="center"/>
    </xf>
    <xf numFmtId="3" fontId="24" fillId="3" borderId="0" xfId="0" applyNumberFormat="1" applyFont="1" applyFill="1" applyBorder="1"/>
    <xf numFmtId="175" fontId="24" fillId="3" borderId="0" xfId="0" applyNumberFormat="1" applyFont="1" applyFill="1" applyAlignment="1" applyProtection="1">
      <alignment horizontal="right"/>
    </xf>
    <xf numFmtId="166" fontId="42" fillId="3" borderId="0" xfId="3" applyFont="1" applyFill="1"/>
    <xf numFmtId="0" fontId="42" fillId="0" borderId="0" xfId="0" applyFont="1" applyFill="1"/>
    <xf numFmtId="176" fontId="42" fillId="3" borderId="0" xfId="3" applyNumberFormat="1" applyFont="1" applyFill="1"/>
    <xf numFmtId="3" fontId="11" fillId="3" borderId="0" xfId="0" applyNumberFormat="1" applyFont="1" applyFill="1" applyBorder="1"/>
    <xf numFmtId="3" fontId="11" fillId="0" borderId="0" xfId="0" applyNumberFormat="1" applyFont="1" applyFill="1" applyBorder="1"/>
    <xf numFmtId="166" fontId="42" fillId="3" borderId="0" xfId="0" applyNumberFormat="1" applyFont="1" applyFill="1"/>
    <xf numFmtId="165" fontId="42" fillId="3" borderId="0" xfId="0" applyNumberFormat="1" applyFont="1" applyFill="1"/>
    <xf numFmtId="0" fontId="42" fillId="0" borderId="0" xfId="0" applyFont="1"/>
    <xf numFmtId="3" fontId="42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/>
    </xf>
    <xf numFmtId="166" fontId="11" fillId="3" borderId="0" xfId="3" applyFont="1" applyFill="1"/>
    <xf numFmtId="0" fontId="24" fillId="0" borderId="0" xfId="0" applyFont="1"/>
    <xf numFmtId="0" fontId="43" fillId="0" borderId="0" xfId="0" applyFont="1"/>
    <xf numFmtId="3" fontId="42" fillId="3" borderId="0" xfId="0" applyNumberFormat="1" applyFont="1" applyFill="1"/>
    <xf numFmtId="10" fontId="5" fillId="0" borderId="0" xfId="0" applyNumberFormat="1" applyFont="1" applyProtection="1"/>
    <xf numFmtId="0" fontId="13" fillId="3" borderId="0" xfId="4" applyFont="1" applyFill="1" applyBorder="1"/>
    <xf numFmtId="0" fontId="10" fillId="6" borderId="0" xfId="1" applyFont="1" applyFill="1"/>
    <xf numFmtId="186" fontId="10" fillId="6" borderId="0" xfId="1" applyNumberFormat="1" applyFont="1" applyFill="1" applyAlignment="1">
      <alignment horizontal="center"/>
    </xf>
    <xf numFmtId="186" fontId="10" fillId="4" borderId="0" xfId="0" applyNumberFormat="1" applyFont="1" applyFill="1" applyAlignment="1">
      <alignment horizontal="center"/>
    </xf>
    <xf numFmtId="0" fontId="6" fillId="6" borderId="0" xfId="1" applyFont="1" applyFill="1"/>
    <xf numFmtId="186" fontId="10" fillId="4" borderId="0" xfId="0" applyNumberFormat="1" applyFont="1" applyFill="1"/>
    <xf numFmtId="0" fontId="10" fillId="4" borderId="0" xfId="0" applyFont="1" applyFill="1" applyProtection="1"/>
    <xf numFmtId="0" fontId="5" fillId="4" borderId="0" xfId="0" applyFont="1" applyFill="1" applyProtection="1"/>
    <xf numFmtId="166" fontId="42" fillId="0" borderId="0" xfId="3" applyFont="1" applyFill="1"/>
    <xf numFmtId="176" fontId="42" fillId="0" borderId="0" xfId="3" applyNumberFormat="1" applyFont="1" applyFill="1"/>
    <xf numFmtId="0" fontId="11" fillId="9" borderId="0" xfId="1" applyFont="1" applyFill="1"/>
    <xf numFmtId="0" fontId="37" fillId="0" borderId="2" xfId="4" applyFont="1" applyBorder="1" applyAlignment="1">
      <alignment horizontal="center"/>
    </xf>
    <xf numFmtId="173" fontId="5" fillId="0" borderId="8" xfId="2" applyNumberFormat="1" applyFont="1" applyBorder="1"/>
    <xf numFmtId="0" fontId="5" fillId="4" borderId="0" xfId="0" applyFont="1" applyFill="1" applyBorder="1" applyProtection="1"/>
    <xf numFmtId="0" fontId="5" fillId="0" borderId="0" xfId="4" applyFont="1" applyAlignment="1"/>
    <xf numFmtId="0" fontId="5" fillId="0" borderId="0" xfId="4" applyFont="1" applyFill="1" applyAlignment="1"/>
    <xf numFmtId="0" fontId="12" fillId="0" borderId="0" xfId="4" applyFont="1" applyAlignment="1"/>
    <xf numFmtId="0" fontId="6" fillId="0" borderId="0" xfId="4" applyFont="1" applyFill="1" applyAlignment="1"/>
    <xf numFmtId="0" fontId="11" fillId="2" borderId="21" xfId="4" applyFont="1" applyFill="1" applyBorder="1" applyAlignment="1"/>
    <xf numFmtId="0" fontId="6" fillId="0" borderId="0" xfId="4" applyFont="1" applyAlignment="1"/>
    <xf numFmtId="0" fontId="16" fillId="0" borderId="0" xfId="4" applyFont="1" applyFill="1" applyAlignment="1"/>
    <xf numFmtId="0" fontId="6" fillId="0" borderId="0" xfId="1" applyFont="1" applyAlignment="1"/>
    <xf numFmtId="0" fontId="3" fillId="0" borderId="0" xfId="1" applyAlignment="1"/>
    <xf numFmtId="0" fontId="37" fillId="4" borderId="21" xfId="1" applyFont="1" applyFill="1" applyBorder="1" applyAlignment="1">
      <alignment horizontal="center"/>
    </xf>
    <xf numFmtId="0" fontId="6" fillId="0" borderId="0" xfId="1" applyFont="1" applyBorder="1" applyAlignment="1"/>
    <xf numFmtId="0" fontId="3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3" fontId="11" fillId="2" borderId="22" xfId="4" applyNumberFormat="1" applyFont="1" applyFill="1" applyBorder="1"/>
    <xf numFmtId="0" fontId="13" fillId="3" borderId="0" xfId="4" applyFont="1" applyFill="1" applyBorder="1" applyProtection="1"/>
    <xf numFmtId="0" fontId="10" fillId="7" borderId="2" xfId="1" applyFont="1" applyFill="1" applyBorder="1" applyAlignment="1" applyProtection="1">
      <alignment horizontal="right"/>
    </xf>
    <xf numFmtId="186" fontId="10" fillId="7" borderId="4" xfId="1" applyNumberFormat="1" applyFont="1" applyFill="1" applyBorder="1" applyAlignment="1" applyProtection="1">
      <alignment horizontal="center"/>
    </xf>
    <xf numFmtId="0" fontId="6" fillId="0" borderId="0" xfId="1" applyFont="1" applyAlignment="1" applyProtection="1">
      <alignment horizontal="right"/>
    </xf>
    <xf numFmtId="0" fontId="16" fillId="0" borderId="0" xfId="1" applyFont="1" applyFill="1" applyProtection="1"/>
    <xf numFmtId="0" fontId="6" fillId="0" borderId="0" xfId="1" applyFont="1" applyFill="1" applyAlignment="1" applyProtection="1">
      <alignment horizontal="right"/>
    </xf>
    <xf numFmtId="0" fontId="14" fillId="0" borderId="0" xfId="4" applyFont="1" applyFill="1" applyBorder="1" applyProtection="1"/>
    <xf numFmtId="0" fontId="13" fillId="0" borderId="0" xfId="4" applyFont="1" applyFill="1" applyBorder="1" applyProtection="1"/>
    <xf numFmtId="0" fontId="6" fillId="0" borderId="1" xfId="1" applyFont="1" applyBorder="1" applyProtection="1"/>
    <xf numFmtId="0" fontId="6" fillId="0" borderId="0" xfId="1" applyFont="1" applyFill="1" applyBorder="1" applyProtection="1"/>
    <xf numFmtId="0" fontId="6" fillId="0" borderId="13" xfId="4" applyFont="1" applyFill="1" applyBorder="1" applyAlignment="1" applyProtection="1">
      <alignment horizontal="center"/>
    </xf>
    <xf numFmtId="0" fontId="6" fillId="0" borderId="3" xfId="1" applyFont="1" applyBorder="1" applyAlignment="1" applyProtection="1">
      <alignment horizontal="right"/>
    </xf>
    <xf numFmtId="0" fontId="12" fillId="0" borderId="0" xfId="1" applyFont="1" applyFill="1" applyBorder="1" applyAlignment="1" applyProtection="1">
      <alignment wrapText="1"/>
    </xf>
    <xf numFmtId="3" fontId="5" fillId="0" borderId="0" xfId="1" applyNumberFormat="1" applyFont="1" applyProtection="1"/>
    <xf numFmtId="0" fontId="5" fillId="0" borderId="0" xfId="1" applyFont="1" applyFill="1" applyBorder="1" applyAlignment="1" applyProtection="1">
      <alignment wrapText="1"/>
    </xf>
    <xf numFmtId="3" fontId="5" fillId="0" borderId="8" xfId="1" applyNumberFormat="1" applyFont="1" applyBorder="1" applyProtection="1"/>
    <xf numFmtId="0" fontId="5" fillId="0" borderId="0" xfId="1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3" fontId="5" fillId="0" borderId="0" xfId="1" applyNumberFormat="1" applyFont="1" applyFill="1" applyBorder="1" applyProtection="1"/>
    <xf numFmtId="0" fontId="12" fillId="0" borderId="1" xfId="4" applyFont="1" applyFill="1" applyBorder="1" applyProtection="1"/>
    <xf numFmtId="0" fontId="12" fillId="0" borderId="0" xfId="4" applyFont="1" applyFill="1" applyBorder="1" applyProtection="1"/>
    <xf numFmtId="0" fontId="15" fillId="0" borderId="0" xfId="1" applyFont="1" applyProtection="1"/>
    <xf numFmtId="0" fontId="15" fillId="0" borderId="0" xfId="1" applyFont="1" applyFill="1" applyProtection="1"/>
    <xf numFmtId="0" fontId="5" fillId="0" borderId="0" xfId="1" applyFont="1" applyAlignment="1" applyProtection="1">
      <alignment horizontal="center"/>
    </xf>
    <xf numFmtId="3" fontId="5" fillId="0" borderId="3" xfId="1" applyNumberFormat="1" applyFont="1" applyFill="1" applyBorder="1" applyProtection="1"/>
    <xf numFmtId="0" fontId="5" fillId="0" borderId="1" xfId="1" applyFont="1" applyBorder="1" applyProtection="1"/>
    <xf numFmtId="0" fontId="13" fillId="0" borderId="1" xfId="1" applyFont="1" applyBorder="1" applyProtection="1"/>
    <xf numFmtId="0" fontId="13" fillId="0" borderId="0" xfId="1" applyFont="1" applyFill="1" applyBorder="1" applyProtection="1"/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0" fontId="15" fillId="0" borderId="1" xfId="1" applyFont="1" applyFill="1" applyBorder="1" applyAlignment="1" applyProtection="1">
      <alignment wrapText="1"/>
    </xf>
    <xf numFmtId="0" fontId="15" fillId="0" borderId="0" xfId="1" applyFont="1" applyFill="1" applyBorder="1" applyAlignment="1" applyProtection="1">
      <alignment wrapText="1"/>
    </xf>
    <xf numFmtId="3" fontId="5" fillId="0" borderId="0" xfId="1" applyNumberFormat="1" applyFont="1" applyBorder="1" applyProtection="1"/>
    <xf numFmtId="0" fontId="5" fillId="0" borderId="1" xfId="1" applyFont="1" applyFill="1" applyBorder="1" applyAlignment="1" applyProtection="1">
      <alignment wrapText="1"/>
    </xf>
    <xf numFmtId="0" fontId="6" fillId="0" borderId="2" xfId="1" quotePrefix="1" applyFont="1" applyFill="1" applyBorder="1" applyAlignment="1" applyProtection="1">
      <alignment horizontal="right"/>
    </xf>
    <xf numFmtId="0" fontId="6" fillId="0" borderId="3" xfId="1" quotePrefix="1" applyFont="1" applyFill="1" applyBorder="1" applyAlignment="1" applyProtection="1">
      <alignment horizontal="right"/>
    </xf>
    <xf numFmtId="0" fontId="6" fillId="0" borderId="4" xfId="1" quotePrefix="1" applyFont="1" applyFill="1" applyBorder="1" applyAlignment="1" applyProtection="1">
      <alignment horizontal="right"/>
    </xf>
    <xf numFmtId="0" fontId="9" fillId="0" borderId="1" xfId="4" applyFont="1" applyFill="1" applyBorder="1" applyProtection="1"/>
    <xf numFmtId="0" fontId="9" fillId="0" borderId="0" xfId="4" applyFont="1" applyFill="1" applyBorder="1" applyProtection="1"/>
    <xf numFmtId="0" fontId="6" fillId="0" borderId="19" xfId="4" applyFont="1" applyFill="1" applyBorder="1" applyAlignment="1" applyProtection="1">
      <alignment horizontal="center"/>
    </xf>
    <xf numFmtId="0" fontId="5" fillId="0" borderId="1" xfId="4" applyFont="1" applyFill="1" applyBorder="1" applyProtection="1"/>
    <xf numFmtId="0" fontId="5" fillId="0" borderId="0" xfId="4" applyFont="1" applyFill="1" applyBorder="1" applyProtection="1"/>
    <xf numFmtId="3" fontId="5" fillId="0" borderId="0" xfId="3" applyNumberFormat="1" applyFont="1" applyFill="1" applyBorder="1" applyProtection="1"/>
    <xf numFmtId="0" fontId="10" fillId="0" borderId="0" xfId="4" applyFont="1" applyFill="1" applyBorder="1" applyProtection="1"/>
    <xf numFmtId="3" fontId="5" fillId="0" borderId="0" xfId="1" applyNumberFormat="1" applyFont="1" applyFill="1" applyProtection="1"/>
    <xf numFmtId="0" fontId="6" fillId="0" borderId="1" xfId="1" applyFont="1" applyFill="1" applyBorder="1" applyProtection="1"/>
    <xf numFmtId="3" fontId="5" fillId="0" borderId="8" xfId="3" applyNumberFormat="1" applyFont="1" applyFill="1" applyBorder="1" applyProtection="1"/>
    <xf numFmtId="0" fontId="5" fillId="0" borderId="18" xfId="1" applyFont="1" applyBorder="1" applyProtection="1"/>
    <xf numFmtId="0" fontId="5" fillId="0" borderId="18" xfId="1" applyFont="1" applyFill="1" applyBorder="1" applyProtection="1"/>
    <xf numFmtId="0" fontId="14" fillId="3" borderId="0" xfId="4" applyFont="1" applyFill="1" applyProtection="1"/>
    <xf numFmtId="0" fontId="14" fillId="0" borderId="0" xfId="4" applyFont="1" applyFill="1" applyProtection="1"/>
    <xf numFmtId="179" fontId="10" fillId="0" borderId="0" xfId="2" applyNumberFormat="1" applyFont="1" applyFill="1" applyProtection="1"/>
    <xf numFmtId="10" fontId="11" fillId="3" borderId="13" xfId="6" applyNumberFormat="1" applyFont="1" applyFill="1" applyBorder="1" applyAlignment="1" applyProtection="1">
      <alignment horizontal="center"/>
    </xf>
    <xf numFmtId="180" fontId="11" fillId="3" borderId="19" xfId="6" applyNumberFormat="1" applyFont="1" applyFill="1" applyBorder="1" applyAlignment="1" applyProtection="1">
      <alignment horizontal="center"/>
    </xf>
    <xf numFmtId="10" fontId="11" fillId="3" borderId="19" xfId="6" applyNumberFormat="1" applyFont="1" applyFill="1" applyBorder="1" applyAlignment="1" applyProtection="1">
      <alignment horizontal="center"/>
    </xf>
    <xf numFmtId="183" fontId="11" fillId="3" borderId="19" xfId="2" applyNumberFormat="1" applyFont="1" applyFill="1" applyBorder="1" applyAlignment="1" applyProtection="1">
      <alignment horizontal="center"/>
    </xf>
    <xf numFmtId="9" fontId="11" fillId="3" borderId="19" xfId="6" applyFont="1" applyFill="1" applyBorder="1" applyAlignment="1" applyProtection="1">
      <alignment horizontal="center"/>
    </xf>
    <xf numFmtId="10" fontId="11" fillId="3" borderId="14" xfId="6" applyNumberFormat="1" applyFont="1" applyFill="1" applyBorder="1" applyAlignment="1" applyProtection="1">
      <alignment horizontal="center"/>
    </xf>
    <xf numFmtId="179" fontId="10" fillId="0" borderId="0" xfId="2" applyNumberFormat="1" applyFont="1" applyAlignment="1" applyProtection="1">
      <alignment horizontal="center"/>
    </xf>
    <xf numFmtId="10" fontId="5" fillId="0" borderId="13" xfId="6" applyNumberFormat="1" applyFont="1" applyBorder="1" applyAlignment="1" applyProtection="1">
      <alignment horizontal="center"/>
    </xf>
    <xf numFmtId="10" fontId="5" fillId="0" borderId="19" xfId="1" applyNumberFormat="1" applyFont="1" applyBorder="1" applyAlignment="1" applyProtection="1">
      <alignment horizontal="center"/>
    </xf>
    <xf numFmtId="10" fontId="5" fillId="0" borderId="14" xfId="6" applyNumberFormat="1" applyFont="1" applyBorder="1" applyAlignment="1" applyProtection="1">
      <alignment horizontal="center"/>
    </xf>
    <xf numFmtId="10" fontId="5" fillId="0" borderId="21" xfId="6" applyNumberFormat="1" applyFont="1" applyBorder="1" applyAlignment="1" applyProtection="1">
      <alignment horizontal="center"/>
    </xf>
    <xf numFmtId="0" fontId="13" fillId="0" borderId="0" xfId="1" applyFont="1" applyAlignment="1" applyProtection="1">
      <alignment horizontal="center"/>
    </xf>
    <xf numFmtId="17" fontId="5" fillId="0" borderId="13" xfId="1" applyNumberFormat="1" applyFont="1" applyBorder="1" applyAlignment="1" applyProtection="1">
      <alignment horizontal="center"/>
    </xf>
    <xf numFmtId="0" fontId="11" fillId="3" borderId="16" xfId="1" applyFont="1" applyFill="1" applyBorder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17" fontId="5" fillId="0" borderId="19" xfId="1" applyNumberFormat="1" applyFont="1" applyBorder="1" applyAlignment="1" applyProtection="1">
      <alignment horizontal="center"/>
    </xf>
    <xf numFmtId="0" fontId="11" fillId="3" borderId="6" xfId="1" applyFont="1" applyFill="1" applyBorder="1" applyAlignment="1" applyProtection="1">
      <alignment horizontal="center"/>
    </xf>
    <xf numFmtId="10" fontId="6" fillId="0" borderId="0" xfId="6" applyNumberFormat="1" applyFont="1" applyAlignment="1" applyProtection="1">
      <alignment horizontal="center"/>
    </xf>
    <xf numFmtId="184" fontId="5" fillId="0" borderId="0" xfId="1" applyNumberFormat="1" applyFont="1" applyProtection="1"/>
    <xf numFmtId="17" fontId="5" fillId="0" borderId="14" xfId="1" applyNumberFormat="1" applyFont="1" applyBorder="1" applyAlignment="1" applyProtection="1">
      <alignment horizontal="center"/>
    </xf>
    <xf numFmtId="0" fontId="11" fillId="3" borderId="12" xfId="1" applyFont="1" applyFill="1" applyBorder="1" applyAlignment="1" applyProtection="1">
      <alignment horizontal="center"/>
    </xf>
    <xf numFmtId="17" fontId="5" fillId="0" borderId="0" xfId="1" applyNumberFormat="1" applyFont="1" applyFill="1" applyBorder="1" applyProtection="1"/>
    <xf numFmtId="0" fontId="13" fillId="0" borderId="0" xfId="1" applyFont="1" applyAlignment="1" applyProtection="1">
      <alignment horizontal="right"/>
    </xf>
    <xf numFmtId="0" fontId="6" fillId="0" borderId="0" xfId="1" applyFont="1" applyProtection="1"/>
    <xf numFmtId="10" fontId="6" fillId="0" borderId="0" xfId="6" applyNumberFormat="1" applyFont="1" applyProtection="1"/>
    <xf numFmtId="170" fontId="10" fillId="0" borderId="0" xfId="2" applyNumberFormat="1" applyFont="1" applyProtection="1"/>
    <xf numFmtId="170" fontId="6" fillId="0" borderId="0" xfId="2" applyNumberFormat="1" applyFont="1" applyProtection="1"/>
    <xf numFmtId="175" fontId="5" fillId="3" borderId="13" xfId="4" applyNumberFormat="1" applyFont="1" applyFill="1" applyBorder="1" applyAlignment="1" applyProtection="1">
      <alignment horizontal="center"/>
    </xf>
    <xf numFmtId="175" fontId="5" fillId="3" borderId="19" xfId="4" applyNumberFormat="1" applyFont="1" applyFill="1" applyBorder="1" applyAlignment="1" applyProtection="1">
      <alignment horizontal="center"/>
    </xf>
    <xf numFmtId="175" fontId="5" fillId="3" borderId="14" xfId="4" applyNumberFormat="1" applyFont="1" applyFill="1" applyBorder="1" applyAlignment="1" applyProtection="1">
      <alignment horizontal="center"/>
    </xf>
    <xf numFmtId="0" fontId="5" fillId="0" borderId="0" xfId="4" applyFont="1" applyProtection="1"/>
    <xf numFmtId="0" fontId="5" fillId="0" borderId="0" xfId="4" applyFont="1" applyFill="1" applyProtection="1"/>
    <xf numFmtId="169" fontId="11" fillId="3" borderId="0" xfId="6" applyNumberFormat="1" applyFont="1" applyFill="1" applyBorder="1" applyAlignment="1" applyProtection="1">
      <alignment horizontal="center"/>
    </xf>
    <xf numFmtId="2" fontId="5" fillId="0" borderId="0" xfId="4" applyNumberFormat="1" applyFont="1" applyFill="1" applyAlignment="1" applyProtection="1">
      <alignment horizontal="center"/>
    </xf>
    <xf numFmtId="9" fontId="5" fillId="0" borderId="0" xfId="4" applyNumberFormat="1" applyFont="1" applyFill="1" applyAlignment="1" applyProtection="1">
      <alignment horizontal="center"/>
    </xf>
    <xf numFmtId="0" fontId="6" fillId="0" borderId="0" xfId="1" applyFont="1" applyFill="1" applyProtection="1"/>
    <xf numFmtId="10" fontId="11" fillId="3" borderId="13" xfId="1" applyNumberFormat="1" applyFont="1" applyFill="1" applyBorder="1" applyAlignment="1" applyProtection="1">
      <alignment horizontal="center"/>
    </xf>
    <xf numFmtId="10" fontId="11" fillId="3" borderId="19" xfId="1" applyNumberFormat="1" applyFont="1" applyFill="1" applyBorder="1" applyAlignment="1" applyProtection="1">
      <alignment horizontal="center"/>
    </xf>
    <xf numFmtId="10" fontId="11" fillId="3" borderId="14" xfId="1" applyNumberFormat="1" applyFont="1" applyFill="1" applyBorder="1" applyAlignment="1" applyProtection="1">
      <alignment horizontal="center"/>
    </xf>
    <xf numFmtId="3" fontId="5" fillId="3" borderId="0" xfId="1" applyNumberFormat="1" applyFont="1" applyFill="1" applyBorder="1" applyProtection="1"/>
    <xf numFmtId="167" fontId="5" fillId="3" borderId="0" xfId="1" applyNumberFormat="1" applyFont="1" applyFill="1" applyProtection="1"/>
    <xf numFmtId="0" fontId="6" fillId="0" borderId="0" xfId="1" applyFont="1" applyBorder="1" applyAlignment="1" applyProtection="1">
      <alignment horizontal="right"/>
    </xf>
    <xf numFmtId="3" fontId="5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10" fillId="4" borderId="0" xfId="1" applyFont="1" applyFill="1" applyBorder="1" applyAlignment="1" applyProtection="1">
      <alignment wrapText="1"/>
    </xf>
    <xf numFmtId="186" fontId="35" fillId="4" borderId="0" xfId="0" applyNumberFormat="1" applyFont="1" applyFill="1" applyAlignment="1" applyProtection="1">
      <alignment horizontal="center"/>
    </xf>
    <xf numFmtId="166" fontId="5" fillId="3" borderId="0" xfId="1" applyNumberFormat="1" applyFont="1" applyFill="1" applyProtection="1"/>
    <xf numFmtId="166" fontId="5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175" fontId="11" fillId="3" borderId="19" xfId="1" applyNumberFormat="1" applyFont="1" applyFill="1" applyBorder="1" applyAlignment="1">
      <alignment horizontal="center"/>
    </xf>
    <xf numFmtId="0" fontId="11" fillId="3" borderId="14" xfId="1" applyFont="1" applyFill="1" applyBorder="1" applyAlignment="1">
      <alignment horizontal="center"/>
    </xf>
    <xf numFmtId="0" fontId="5" fillId="0" borderId="15" xfId="4" applyFont="1" applyBorder="1" applyAlignment="1">
      <alignment horizontal="center"/>
    </xf>
    <xf numFmtId="3" fontId="5" fillId="2" borderId="5" xfId="1" applyNumberFormat="1" applyFont="1" applyFill="1" applyBorder="1"/>
    <xf numFmtId="3" fontId="5" fillId="2" borderId="6" xfId="1" applyNumberFormat="1" applyFont="1" applyFill="1" applyBorder="1"/>
    <xf numFmtId="3" fontId="5" fillId="2" borderId="10" xfId="1" applyNumberFormat="1" applyFont="1" applyFill="1" applyBorder="1"/>
    <xf numFmtId="3" fontId="5" fillId="2" borderId="12" xfId="1" applyNumberFormat="1" applyFont="1" applyFill="1" applyBorder="1"/>
    <xf numFmtId="177" fontId="5" fillId="2" borderId="6" xfId="3" applyNumberFormat="1" applyFont="1" applyFill="1" applyBorder="1" applyAlignment="1"/>
    <xf numFmtId="177" fontId="5" fillId="2" borderId="12" xfId="3" applyNumberFormat="1" applyFont="1" applyFill="1" applyBorder="1" applyAlignment="1"/>
    <xf numFmtId="3" fontId="5" fillId="0" borderId="3" xfId="1" applyNumberFormat="1" applyFont="1" applyBorder="1" applyAlignment="1">
      <alignment horizontal="right"/>
    </xf>
    <xf numFmtId="0" fontId="12" fillId="0" borderId="0" xfId="4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/>
    <xf numFmtId="0" fontId="11" fillId="3" borderId="10" xfId="4" applyFont="1" applyFill="1" applyBorder="1" applyAlignment="1">
      <alignment horizontal="center"/>
    </xf>
    <xf numFmtId="0" fontId="11" fillId="3" borderId="11" xfId="4" applyFont="1" applyFill="1" applyBorder="1" applyAlignment="1">
      <alignment horizontal="center"/>
    </xf>
    <xf numFmtId="17" fontId="5" fillId="0" borderId="5" xfId="1" applyNumberFormat="1" applyFont="1" applyBorder="1" applyAlignment="1">
      <alignment horizontal="center"/>
    </xf>
    <xf numFmtId="0" fontId="11" fillId="3" borderId="19" xfId="1" applyFont="1" applyFill="1" applyBorder="1" applyAlignment="1">
      <alignment horizontal="center"/>
    </xf>
    <xf numFmtId="17" fontId="5" fillId="0" borderId="10" xfId="1" applyNumberFormat="1" applyFont="1" applyBorder="1" applyAlignment="1">
      <alignment horizontal="center"/>
    </xf>
    <xf numFmtId="10" fontId="5" fillId="3" borderId="0" xfId="4" applyNumberFormat="1" applyFont="1" applyFill="1" applyBorder="1" applyAlignment="1">
      <alignment horizontal="center"/>
    </xf>
    <xf numFmtId="10" fontId="11" fillId="3" borderId="0" xfId="4" applyNumberFormat="1" applyFont="1" applyFill="1" applyAlignment="1">
      <alignment horizontal="center"/>
    </xf>
    <xf numFmtId="2" fontId="11" fillId="3" borderId="0" xfId="4" applyNumberFormat="1" applyFont="1" applyFill="1" applyAlignment="1">
      <alignment horizontal="center"/>
    </xf>
    <xf numFmtId="9" fontId="11" fillId="3" borderId="0" xfId="4" applyNumberFormat="1" applyFont="1" applyFill="1" applyAlignment="1">
      <alignment horizontal="center"/>
    </xf>
    <xf numFmtId="10" fontId="11" fillId="3" borderId="0" xfId="6" applyNumberFormat="1" applyFont="1" applyFill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15" fillId="0" borderId="19" xfId="0" applyFont="1" applyBorder="1" applyAlignment="1">
      <alignment horizontal="left"/>
    </xf>
    <xf numFmtId="177" fontId="11" fillId="3" borderId="19" xfId="3" applyNumberFormat="1" applyFont="1" applyFill="1" applyBorder="1" applyAlignment="1"/>
    <xf numFmtId="177" fontId="11" fillId="3" borderId="14" xfId="3" applyNumberFormat="1" applyFont="1" applyFill="1" applyBorder="1" applyAlignment="1"/>
    <xf numFmtId="0" fontId="6" fillId="0" borderId="15" xfId="4" quotePrefix="1" applyFont="1" applyFill="1" applyBorder="1" applyAlignment="1">
      <alignment horizontal="center"/>
    </xf>
    <xf numFmtId="0" fontId="5" fillId="0" borderId="10" xfId="4" applyFont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15" fillId="0" borderId="5" xfId="4" applyNumberFormat="1" applyFont="1" applyFill="1" applyBorder="1" applyAlignment="1">
      <alignment horizontal="right"/>
    </xf>
    <xf numFmtId="189" fontId="5" fillId="3" borderId="5" xfId="3" applyNumberFormat="1" applyFont="1" applyFill="1" applyBorder="1" applyAlignment="1">
      <alignment horizontal="center"/>
    </xf>
    <xf numFmtId="189" fontId="5" fillId="0" borderId="5" xfId="4" applyNumberFormat="1" applyFont="1" applyFill="1" applyBorder="1" applyAlignment="1">
      <alignment horizontal="center"/>
    </xf>
    <xf numFmtId="189" fontId="15" fillId="0" borderId="5" xfId="4" applyNumberFormat="1" applyFont="1" applyFill="1" applyBorder="1" applyAlignment="1">
      <alignment horizontal="right"/>
    </xf>
    <xf numFmtId="189" fontId="5" fillId="3" borderId="10" xfId="3" applyNumberFormat="1" applyFont="1" applyFill="1" applyBorder="1" applyAlignment="1">
      <alignment horizontal="center"/>
    </xf>
    <xf numFmtId="0" fontId="5" fillId="0" borderId="19" xfId="4" applyFont="1" applyBorder="1"/>
    <xf numFmtId="0" fontId="5" fillId="0" borderId="2" xfId="4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6" xfId="4" applyFont="1" applyBorder="1"/>
    <xf numFmtId="0" fontId="5" fillId="0" borderId="3" xfId="4" applyFont="1" applyFill="1" applyBorder="1" applyAlignment="1">
      <alignment horizontal="center"/>
    </xf>
    <xf numFmtId="0" fontId="5" fillId="0" borderId="5" xfId="4" applyFont="1" applyFill="1" applyBorder="1"/>
    <xf numFmtId="0" fontId="5" fillId="0" borderId="6" xfId="4" applyFont="1" applyFill="1" applyBorder="1"/>
    <xf numFmtId="0" fontId="11" fillId="0" borderId="5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5" fillId="0" borderId="17" xfId="4" applyFont="1" applyBorder="1" applyAlignment="1">
      <alignment horizontal="center"/>
    </xf>
    <xf numFmtId="0" fontId="5" fillId="0" borderId="16" xfId="4" applyFont="1" applyBorder="1" applyAlignment="1">
      <alignment horizontal="center"/>
    </xf>
    <xf numFmtId="0" fontId="5" fillId="0" borderId="11" xfId="4" applyFont="1" applyBorder="1"/>
    <xf numFmtId="0" fontId="5" fillId="0" borderId="12" xfId="4" applyFont="1" applyBorder="1"/>
    <xf numFmtId="177" fontId="5" fillId="3" borderId="6" xfId="3" applyNumberFormat="1" applyFont="1" applyFill="1" applyBorder="1" applyAlignment="1"/>
    <xf numFmtId="177" fontId="11" fillId="3" borderId="6" xfId="3" applyNumberFormat="1" applyFont="1" applyFill="1" applyBorder="1" applyAlignment="1"/>
    <xf numFmtId="177" fontId="11" fillId="3" borderId="12" xfId="3" applyNumberFormat="1" applyFont="1" applyFill="1" applyBorder="1" applyAlignment="1"/>
    <xf numFmtId="0" fontId="5" fillId="0" borderId="17" xfId="4" applyFont="1" applyBorder="1"/>
    <xf numFmtId="3" fontId="5" fillId="2" borderId="0" xfId="1" applyNumberFormat="1" applyFont="1" applyFill="1" applyBorder="1"/>
    <xf numFmtId="3" fontId="5" fillId="2" borderId="11" xfId="1" applyNumberFormat="1" applyFont="1" applyFill="1" applyBorder="1"/>
    <xf numFmtId="177" fontId="5" fillId="3" borderId="19" xfId="3" applyNumberFormat="1" applyFont="1" applyFill="1" applyBorder="1" applyAlignment="1"/>
    <xf numFmtId="0" fontId="6" fillId="0" borderId="15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5" fillId="0" borderId="6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3" fontId="5" fillId="0" borderId="16" xfId="4" applyNumberFormat="1" applyFont="1" applyFill="1" applyBorder="1"/>
    <xf numFmtId="0" fontId="6" fillId="0" borderId="21" xfId="4" quotePrefix="1" applyFont="1" applyFill="1" applyBorder="1" applyAlignment="1">
      <alignment horizontal="right"/>
    </xf>
    <xf numFmtId="0" fontId="5" fillId="0" borderId="5" xfId="4" applyFont="1" applyBorder="1" applyAlignment="1">
      <alignment horizontal="center"/>
    </xf>
    <xf numFmtId="177" fontId="5" fillId="3" borderId="14" xfId="3" applyNumberFormat="1" applyFont="1" applyFill="1" applyBorder="1" applyAlignment="1"/>
    <xf numFmtId="3" fontId="11" fillId="3" borderId="5" xfId="4" applyNumberFormat="1" applyFont="1" applyFill="1" applyBorder="1"/>
    <xf numFmtId="3" fontId="11" fillId="3" borderId="0" xfId="4" applyNumberFormat="1" applyFont="1" applyFill="1" applyBorder="1"/>
    <xf numFmtId="3" fontId="11" fillId="3" borderId="6" xfId="4" applyNumberFormat="1" applyFont="1" applyFill="1" applyBorder="1"/>
    <xf numFmtId="3" fontId="11" fillId="3" borderId="7" xfId="4" applyNumberFormat="1" applyFont="1" applyFill="1" applyBorder="1"/>
    <xf numFmtId="3" fontId="11" fillId="3" borderId="8" xfId="4" applyNumberFormat="1" applyFont="1" applyFill="1" applyBorder="1"/>
    <xf numFmtId="3" fontId="11" fillId="3" borderId="9" xfId="4" applyNumberFormat="1" applyFont="1" applyFill="1" applyBorder="1"/>
    <xf numFmtId="3" fontId="11" fillId="3" borderId="23" xfId="4" applyNumberFormat="1" applyFont="1" applyFill="1" applyBorder="1"/>
    <xf numFmtId="3" fontId="5" fillId="3" borderId="5" xfId="4" applyNumberFormat="1" applyFont="1" applyFill="1" applyBorder="1"/>
    <xf numFmtId="3" fontId="5" fillId="3" borderId="0" xfId="4" applyNumberFormat="1" applyFont="1" applyFill="1" applyBorder="1"/>
    <xf numFmtId="3" fontId="5" fillId="3" borderId="6" xfId="4" applyNumberFormat="1" applyFont="1" applyFill="1" applyBorder="1"/>
    <xf numFmtId="3" fontId="44" fillId="3" borderId="7" xfId="4" applyNumberFormat="1" applyFont="1" applyFill="1" applyBorder="1"/>
    <xf numFmtId="3" fontId="44" fillId="3" borderId="8" xfId="4" applyNumberFormat="1" applyFont="1" applyFill="1" applyBorder="1"/>
    <xf numFmtId="3" fontId="5" fillId="3" borderId="8" xfId="4" applyNumberFormat="1" applyFont="1" applyFill="1" applyBorder="1"/>
    <xf numFmtId="3" fontId="44" fillId="3" borderId="5" xfId="3" applyNumberFormat="1" applyFont="1" applyFill="1" applyBorder="1"/>
    <xf numFmtId="3" fontId="44" fillId="3" borderId="0" xfId="3" applyNumberFormat="1" applyFont="1" applyFill="1" applyBorder="1"/>
    <xf numFmtId="3" fontId="44" fillId="3" borderId="10" xfId="3" applyNumberFormat="1" applyFont="1" applyFill="1" applyBorder="1"/>
    <xf numFmtId="3" fontId="44" fillId="3" borderId="11" xfId="3" applyNumberFormat="1" applyFont="1" applyFill="1" applyBorder="1"/>
    <xf numFmtId="3" fontId="44" fillId="3" borderId="5" xfId="4" applyNumberFormat="1" applyFont="1" applyFill="1" applyBorder="1"/>
    <xf numFmtId="3" fontId="44" fillId="3" borderId="0" xfId="4" applyNumberFormat="1" applyFont="1" applyFill="1" applyBorder="1"/>
    <xf numFmtId="0" fontId="12" fillId="0" borderId="0" xfId="4" applyFont="1" applyFill="1" applyBorder="1" applyAlignment="1">
      <alignment horizontal="left"/>
    </xf>
    <xf numFmtId="188" fontId="5" fillId="0" borderId="0" xfId="0" applyNumberFormat="1" applyFont="1"/>
    <xf numFmtId="1" fontId="12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right"/>
    </xf>
    <xf numFmtId="0" fontId="15" fillId="0" borderId="0" xfId="0" applyFont="1" applyAlignment="1" applyProtection="1">
      <alignment horizontal="right"/>
    </xf>
    <xf numFmtId="3" fontId="5" fillId="0" borderId="0" xfId="0" applyNumberFormat="1" applyFont="1" applyBorder="1" applyProtection="1"/>
    <xf numFmtId="0" fontId="6" fillId="0" borderId="11" xfId="0" applyFont="1" applyBorder="1" applyProtection="1"/>
    <xf numFmtId="186" fontId="35" fillId="7" borderId="21" xfId="1" applyNumberFormat="1" applyFont="1" applyFill="1" applyBorder="1" applyAlignment="1">
      <alignment horizontal="center"/>
    </xf>
    <xf numFmtId="0" fontId="10" fillId="0" borderId="0" xfId="1" applyFont="1" applyAlignment="1"/>
    <xf numFmtId="0" fontId="3" fillId="0" borderId="0" xfId="4" applyFont="1" applyFill="1"/>
    <xf numFmtId="3" fontId="3" fillId="12" borderId="0" xfId="4" applyNumberFormat="1" applyFont="1" applyFill="1" applyBorder="1"/>
    <xf numFmtId="3" fontId="3" fillId="0" borderId="0" xfId="4" applyNumberFormat="1" applyFont="1" applyFill="1" applyBorder="1"/>
    <xf numFmtId="3" fontId="45" fillId="3" borderId="8" xfId="4" applyNumberFormat="1" applyFont="1" applyFill="1" applyBorder="1"/>
    <xf numFmtId="3" fontId="45" fillId="3" borderId="9" xfId="4" applyNumberFormat="1" applyFont="1" applyFill="1" applyBorder="1"/>
    <xf numFmtId="0" fontId="3" fillId="0" borderId="0" xfId="4" applyFont="1" applyAlignment="1"/>
    <xf numFmtId="0" fontId="3" fillId="0" borderId="0" xfId="4" applyFont="1" applyBorder="1" applyAlignment="1"/>
    <xf numFmtId="0" fontId="3" fillId="0" borderId="0" xfId="4" applyFont="1"/>
    <xf numFmtId="0" fontId="3" fillId="0" borderId="0" xfId="4" applyFont="1" applyFill="1" applyBorder="1"/>
    <xf numFmtId="180" fontId="46" fillId="3" borderId="0" xfId="6" applyNumberFormat="1" applyFont="1" applyFill="1" applyBorder="1"/>
    <xf numFmtId="180" fontId="11" fillId="0" borderId="0" xfId="6" applyNumberFormat="1" applyFont="1" applyFill="1" applyBorder="1"/>
    <xf numFmtId="3" fontId="3" fillId="3" borderId="7" xfId="4" applyNumberFormat="1" applyFont="1" applyFill="1" applyBorder="1"/>
    <xf numFmtId="3" fontId="3" fillId="3" borderId="9" xfId="4" applyNumberFormat="1" applyFont="1" applyFill="1" applyBorder="1"/>
    <xf numFmtId="10" fontId="3" fillId="3" borderId="0" xfId="4" applyNumberFormat="1" applyFont="1" applyFill="1" applyBorder="1" applyAlignment="1">
      <alignment horizontal="center"/>
    </xf>
    <xf numFmtId="0" fontId="34" fillId="3" borderId="10" xfId="4" applyFont="1" applyFill="1" applyBorder="1" applyAlignment="1">
      <alignment horizontal="center"/>
    </xf>
    <xf numFmtId="175" fontId="3" fillId="0" borderId="0" xfId="4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0" fontId="3" fillId="0" borderId="0" xfId="4" applyFont="1" applyBorder="1"/>
    <xf numFmtId="0" fontId="3" fillId="0" borderId="18" xfId="4" applyFont="1" applyBorder="1"/>
    <xf numFmtId="0" fontId="34" fillId="3" borderId="15" xfId="4" applyFont="1" applyFill="1" applyBorder="1" applyAlignment="1">
      <alignment horizontal="center"/>
    </xf>
    <xf numFmtId="0" fontId="34" fillId="3" borderId="0" xfId="4" applyFont="1" applyFill="1" applyBorder="1" applyAlignment="1">
      <alignment horizontal="center"/>
    </xf>
    <xf numFmtId="0" fontId="34" fillId="3" borderId="6" xfId="4" applyFont="1" applyFill="1" applyBorder="1" applyAlignment="1">
      <alignment horizontal="center"/>
    </xf>
    <xf numFmtId="0" fontId="34" fillId="0" borderId="13" xfId="4" applyFont="1" applyBorder="1" applyAlignment="1">
      <alignment horizontal="center"/>
    </xf>
    <xf numFmtId="190" fontId="5" fillId="0" borderId="0" xfId="0" applyNumberFormat="1" applyFont="1"/>
    <xf numFmtId="0" fontId="14" fillId="13" borderId="1" xfId="4" applyFont="1" applyFill="1" applyBorder="1"/>
    <xf numFmtId="0" fontId="6" fillId="0" borderId="2" xfId="1" applyFont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175" fontId="3" fillId="0" borderId="13" xfId="1" applyNumberFormat="1" applyFont="1" applyBorder="1" applyAlignment="1">
      <alignment horizontal="center"/>
    </xf>
    <xf numFmtId="3" fontId="11" fillId="3" borderId="15" xfId="4" applyNumberFormat="1" applyFont="1" applyFill="1" applyBorder="1"/>
    <xf numFmtId="3" fontId="11" fillId="3" borderId="17" xfId="4" applyNumberFormat="1" applyFont="1" applyFill="1" applyBorder="1"/>
    <xf numFmtId="3" fontId="11" fillId="3" borderId="16" xfId="4" applyNumberFormat="1" applyFont="1" applyFill="1" applyBorder="1"/>
    <xf numFmtId="175" fontId="3" fillId="0" borderId="19" xfId="1" applyNumberFormat="1" applyFont="1" applyBorder="1" applyAlignment="1">
      <alignment horizontal="center"/>
    </xf>
    <xf numFmtId="175" fontId="3" fillId="0" borderId="14" xfId="1" applyNumberFormat="1" applyFont="1" applyBorder="1" applyAlignment="1">
      <alignment horizontal="center"/>
    </xf>
    <xf numFmtId="3" fontId="11" fillId="3" borderId="10" xfId="4" applyNumberFormat="1" applyFont="1" applyFill="1" applyBorder="1"/>
    <xf numFmtId="3" fontId="11" fillId="3" borderId="11" xfId="4" applyNumberFormat="1" applyFont="1" applyFill="1" applyBorder="1"/>
    <xf numFmtId="3" fontId="11" fillId="3" borderId="12" xfId="4" applyNumberFormat="1" applyFont="1" applyFill="1" applyBorder="1"/>
    <xf numFmtId="0" fontId="3" fillId="0" borderId="0" xfId="1" applyFont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6" fillId="0" borderId="4" xfId="1" applyFont="1" applyBorder="1" applyAlignment="1">
      <alignment horizontal="right"/>
    </xf>
    <xf numFmtId="10" fontId="3" fillId="0" borderId="19" xfId="1" applyNumberFormat="1" applyFont="1" applyFill="1" applyBorder="1" applyAlignment="1">
      <alignment horizontal="center"/>
    </xf>
    <xf numFmtId="3" fontId="3" fillId="0" borderId="0" xfId="1" applyNumberFormat="1" applyFont="1" applyFill="1" applyBorder="1"/>
    <xf numFmtId="3" fontId="3" fillId="0" borderId="6" xfId="1" applyNumberFormat="1" applyFont="1" applyFill="1" applyBorder="1"/>
    <xf numFmtId="10" fontId="3" fillId="0" borderId="14" xfId="1" applyNumberFormat="1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1" fontId="11" fillId="3" borderId="21" xfId="4" applyNumberFormat="1" applyFont="1" applyFill="1" applyBorder="1" applyAlignment="1">
      <alignment horizontal="center"/>
    </xf>
    <xf numFmtId="0" fontId="3" fillId="0" borderId="0" xfId="1" applyFont="1" applyFill="1"/>
    <xf numFmtId="2" fontId="6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11" fillId="0" borderId="5" xfId="1" applyNumberFormat="1" applyFont="1" applyFill="1" applyBorder="1"/>
    <xf numFmtId="3" fontId="11" fillId="0" borderId="0" xfId="1" applyNumberFormat="1" applyFont="1" applyFill="1" applyBorder="1"/>
    <xf numFmtId="3" fontId="11" fillId="0" borderId="6" xfId="1" applyNumberFormat="1" applyFont="1" applyFill="1" applyBorder="1"/>
    <xf numFmtId="0" fontId="3" fillId="0" borderId="0" xfId="1" applyFont="1" applyBorder="1"/>
    <xf numFmtId="3" fontId="3" fillId="0" borderId="9" xfId="1" applyNumberFormat="1" applyFont="1" applyFill="1" applyBorder="1"/>
    <xf numFmtId="3" fontId="3" fillId="0" borderId="5" xfId="1" applyNumberFormat="1" applyFont="1" applyBorder="1"/>
    <xf numFmtId="3" fontId="3" fillId="0" borderId="0" xfId="1" applyNumberFormat="1" applyFont="1" applyBorder="1"/>
    <xf numFmtId="0" fontId="3" fillId="0" borderId="5" xfId="1" applyFont="1" applyBorder="1"/>
    <xf numFmtId="0" fontId="3" fillId="0" borderId="6" xfId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3" fontId="3" fillId="0" borderId="12" xfId="1" applyNumberFormat="1" applyFont="1" applyFill="1" applyBorder="1"/>
    <xf numFmtId="175" fontId="3" fillId="0" borderId="19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3" fontId="3" fillId="0" borderId="0" xfId="3" applyNumberFormat="1" applyFont="1" applyFill="1" applyBorder="1"/>
    <xf numFmtId="0" fontId="6" fillId="0" borderId="2" xfId="1" quotePrefix="1" applyFont="1" applyFill="1" applyBorder="1" applyAlignment="1">
      <alignment horizontal="right"/>
    </xf>
    <xf numFmtId="0" fontId="6" fillId="0" borderId="3" xfId="1" quotePrefix="1" applyFont="1" applyFill="1" applyBorder="1" applyAlignment="1">
      <alignment horizontal="right"/>
    </xf>
    <xf numFmtId="0" fontId="6" fillId="0" borderId="4" xfId="1" quotePrefix="1" applyFont="1" applyFill="1" applyBorder="1" applyAlignment="1">
      <alignment horizontal="right"/>
    </xf>
    <xf numFmtId="3" fontId="3" fillId="0" borderId="16" xfId="3" applyNumberFormat="1" applyFont="1" applyFill="1" applyBorder="1"/>
    <xf numFmtId="10" fontId="3" fillId="0" borderId="13" xfId="4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3" fillId="0" borderId="0" xfId="1" applyFont="1" applyFill="1" applyBorder="1"/>
    <xf numFmtId="175" fontId="11" fillId="3" borderId="14" xfId="1" applyNumberFormat="1" applyFont="1" applyFill="1" applyBorder="1" applyAlignment="1">
      <alignment horizontal="center"/>
    </xf>
    <xf numFmtId="0" fontId="15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11" fillId="3" borderId="13" xfId="1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18" xfId="1" applyFont="1" applyFill="1" applyBorder="1"/>
    <xf numFmtId="0" fontId="3" fillId="0" borderId="18" xfId="4" applyFont="1" applyFill="1" applyBorder="1"/>
    <xf numFmtId="3" fontId="3" fillId="3" borderId="8" xfId="4" applyNumberFormat="1" applyFont="1" applyFill="1" applyBorder="1"/>
    <xf numFmtId="0" fontId="3" fillId="0" borderId="0" xfId="4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17" xfId="4" quotePrefix="1" applyFont="1" applyFill="1" applyBorder="1" applyAlignment="1">
      <alignment horizontal="center"/>
    </xf>
    <xf numFmtId="0" fontId="6" fillId="0" borderId="16" xfId="4" quotePrefix="1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1" fontId="12" fillId="0" borderId="0" xfId="0" applyNumberFormat="1" applyFont="1" applyAlignment="1" applyProtection="1"/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6" fillId="0" borderId="21" xfId="4" applyFont="1" applyFill="1" applyBorder="1" applyAlignment="1">
      <alignment horizontal="center"/>
    </xf>
    <xf numFmtId="0" fontId="3" fillId="0" borderId="0" xfId="0" applyFont="1"/>
    <xf numFmtId="0" fontId="3" fillId="0" borderId="0" xfId="7"/>
    <xf numFmtId="0" fontId="6" fillId="0" borderId="21" xfId="7" applyFont="1" applyBorder="1"/>
    <xf numFmtId="0" fontId="3" fillId="0" borderId="17" xfId="7" applyBorder="1"/>
    <xf numFmtId="0" fontId="6" fillId="0" borderId="21" xfId="7" applyFont="1" applyBorder="1" applyAlignment="1">
      <alignment horizontal="right"/>
    </xf>
    <xf numFmtId="0" fontId="6" fillId="0" borderId="21" xfId="7" applyFont="1" applyBorder="1" applyAlignment="1">
      <alignment horizontal="center" wrapText="1"/>
    </xf>
    <xf numFmtId="0" fontId="3" fillId="0" borderId="13" xfId="7" applyBorder="1"/>
    <xf numFmtId="3" fontId="3" fillId="0" borderId="19" xfId="7" applyNumberFormat="1" applyBorder="1"/>
    <xf numFmtId="0" fontId="3" fillId="0" borderId="0" xfId="7" applyBorder="1"/>
    <xf numFmtId="4" fontId="3" fillId="14" borderId="19" xfId="7" applyNumberFormat="1" applyFill="1" applyBorder="1"/>
    <xf numFmtId="175" fontId="3" fillId="14" borderId="19" xfId="7" applyNumberFormat="1" applyFill="1" applyBorder="1" applyAlignment="1">
      <alignment horizontal="center"/>
    </xf>
    <xf numFmtId="175" fontId="48" fillId="14" borderId="19" xfId="7" applyNumberFormat="1" applyFont="1" applyFill="1" applyBorder="1" applyAlignment="1">
      <alignment horizontal="center"/>
    </xf>
    <xf numFmtId="191" fontId="3" fillId="0" borderId="0" xfId="7" applyNumberFormat="1"/>
    <xf numFmtId="0" fontId="3" fillId="0" borderId="19" xfId="7" applyBorder="1"/>
    <xf numFmtId="0" fontId="3" fillId="0" borderId="14" xfId="7" applyBorder="1"/>
    <xf numFmtId="3" fontId="3" fillId="0" borderId="21" xfId="7" applyNumberFormat="1" applyBorder="1"/>
    <xf numFmtId="0" fontId="3" fillId="0" borderId="11" xfId="7" applyBorder="1"/>
    <xf numFmtId="4" fontId="3" fillId="0" borderId="21" xfId="7" applyNumberFormat="1" applyBorder="1"/>
    <xf numFmtId="0" fontId="37" fillId="0" borderId="4" xfId="4" applyFont="1" applyBorder="1" applyAlignment="1">
      <alignment horizontal="center"/>
    </xf>
    <xf numFmtId="10" fontId="3" fillId="3" borderId="5" xfId="4" applyNumberFormat="1" applyFont="1" applyFill="1" applyBorder="1" applyAlignment="1">
      <alignment horizontal="center"/>
    </xf>
    <xf numFmtId="10" fontId="3" fillId="3" borderId="6" xfId="4" applyNumberFormat="1" applyFont="1" applyFill="1" applyBorder="1" applyAlignment="1">
      <alignment horizontal="center"/>
    </xf>
    <xf numFmtId="178" fontId="3" fillId="0" borderId="10" xfId="4" applyNumberFormat="1" applyFont="1" applyFill="1" applyBorder="1" applyAlignment="1">
      <alignment horizontal="center"/>
    </xf>
    <xf numFmtId="178" fontId="3" fillId="0" borderId="11" xfId="4" applyNumberFormat="1" applyFont="1" applyFill="1" applyBorder="1" applyAlignment="1">
      <alignment horizontal="center"/>
    </xf>
    <xf numFmtId="178" fontId="3" fillId="0" borderId="12" xfId="4" applyNumberFormat="1" applyFont="1" applyFill="1" applyBorder="1" applyAlignment="1">
      <alignment horizontal="center"/>
    </xf>
    <xf numFmtId="0" fontId="47" fillId="13" borderId="0" xfId="7" applyFont="1" applyFill="1"/>
    <xf numFmtId="0" fontId="6" fillId="0" borderId="0" xfId="7" applyFont="1" applyBorder="1" applyAlignment="1">
      <alignment horizontal="left"/>
    </xf>
    <xf numFmtId="0" fontId="6" fillId="0" borderId="3" xfId="7" applyFont="1" applyBorder="1"/>
    <xf numFmtId="4" fontId="3" fillId="14" borderId="0" xfId="7" applyNumberFormat="1" applyFill="1"/>
    <xf numFmtId="0" fontId="47" fillId="0" borderId="0" xfId="7" applyFont="1"/>
    <xf numFmtId="3" fontId="47" fillId="0" borderId="0" xfId="7" applyNumberFormat="1" applyFont="1" applyAlignment="1">
      <alignment horizontal="left"/>
    </xf>
    <xf numFmtId="0" fontId="3" fillId="0" borderId="0" xfId="7" applyFont="1"/>
    <xf numFmtId="175" fontId="3" fillId="0" borderId="0" xfId="7" applyNumberFormat="1" applyAlignment="1">
      <alignment horizontal="left"/>
    </xf>
    <xf numFmtId="175" fontId="3" fillId="0" borderId="13" xfId="7" applyNumberFormat="1" applyBorder="1" applyAlignment="1">
      <alignment horizontal="left"/>
    </xf>
    <xf numFmtId="0" fontId="3" fillId="0" borderId="15" xfId="7" applyBorder="1"/>
    <xf numFmtId="0" fontId="3" fillId="0" borderId="16" xfId="7" applyBorder="1" applyAlignment="1">
      <alignment horizontal="center"/>
    </xf>
    <xf numFmtId="0" fontId="3" fillId="0" borderId="13" xfId="7" applyBorder="1" applyAlignment="1">
      <alignment horizontal="center"/>
    </xf>
    <xf numFmtId="175" fontId="3" fillId="0" borderId="14" xfId="7" applyNumberFormat="1" applyBorder="1" applyAlignment="1">
      <alignment horizontal="center"/>
    </xf>
    <xf numFmtId="0" fontId="3" fillId="0" borderId="14" xfId="7" applyBorder="1" applyAlignment="1">
      <alignment horizontal="center"/>
    </xf>
    <xf numFmtId="0" fontId="3" fillId="0" borderId="10" xfId="7" applyBorder="1" applyAlignment="1">
      <alignment horizontal="center"/>
    </xf>
    <xf numFmtId="0" fontId="3" fillId="0" borderId="12" xfId="7" applyBorder="1" applyAlignment="1">
      <alignment horizontal="center"/>
    </xf>
    <xf numFmtId="0" fontId="47" fillId="0" borderId="14" xfId="7" applyFont="1" applyBorder="1" applyAlignment="1">
      <alignment horizontal="right"/>
    </xf>
    <xf numFmtId="0" fontId="6" fillId="0" borderId="19" xfId="7" applyFont="1" applyBorder="1" applyAlignment="1">
      <alignment horizontal="center"/>
    </xf>
    <xf numFmtId="0" fontId="3" fillId="0" borderId="19" xfId="7" applyBorder="1" applyAlignment="1">
      <alignment horizontal="center"/>
    </xf>
    <xf numFmtId="3" fontId="3" fillId="0" borderId="5" xfId="7" applyNumberFormat="1" applyBorder="1" applyAlignment="1">
      <alignment horizontal="center"/>
    </xf>
    <xf numFmtId="3" fontId="3" fillId="0" borderId="6" xfId="7" applyNumberFormat="1" applyBorder="1" applyAlignment="1">
      <alignment horizontal="center"/>
    </xf>
    <xf numFmtId="175" fontId="3" fillId="0" borderId="19" xfId="7" applyNumberFormat="1" applyBorder="1" applyAlignment="1">
      <alignment horizontal="center"/>
    </xf>
    <xf numFmtId="0" fontId="6" fillId="0" borderId="14" xfId="7" applyFont="1" applyBorder="1"/>
    <xf numFmtId="0" fontId="3" fillId="0" borderId="10" xfId="7" applyBorder="1"/>
    <xf numFmtId="3" fontId="3" fillId="0" borderId="4" xfId="7" applyNumberFormat="1" applyBorder="1" applyAlignment="1">
      <alignment horizontal="center"/>
    </xf>
    <xf numFmtId="168" fontId="6" fillId="0" borderId="21" xfId="7" applyNumberFormat="1" applyFont="1" applyBorder="1" applyAlignment="1">
      <alignment horizontal="center"/>
    </xf>
    <xf numFmtId="3" fontId="47" fillId="0" borderId="21" xfId="7" applyNumberFormat="1" applyFont="1" applyBorder="1"/>
    <xf numFmtId="0" fontId="6" fillId="0" borderId="0" xfId="7" applyFont="1"/>
    <xf numFmtId="0" fontId="50" fillId="0" borderId="4" xfId="4" applyFont="1" applyBorder="1" applyAlignment="1">
      <alignment horizontal="center"/>
    </xf>
    <xf numFmtId="3" fontId="11" fillId="17" borderId="0" xfId="4" applyNumberFormat="1" applyFont="1" applyFill="1" applyBorder="1"/>
    <xf numFmtId="3" fontId="11" fillId="17" borderId="16" xfId="4" applyNumberFormat="1" applyFont="1" applyFill="1" applyBorder="1"/>
    <xf numFmtId="3" fontId="11" fillId="17" borderId="6" xfId="4" applyNumberFormat="1" applyFont="1" applyFill="1" applyBorder="1"/>
    <xf numFmtId="4" fontId="3" fillId="17" borderId="19" xfId="7" applyNumberFormat="1" applyFill="1" applyBorder="1"/>
    <xf numFmtId="192" fontId="6" fillId="17" borderId="21" xfId="7" applyNumberFormat="1" applyFont="1" applyFill="1" applyBorder="1" applyAlignment="1">
      <alignment horizontal="center"/>
    </xf>
    <xf numFmtId="0" fontId="49" fillId="17" borderId="2" xfId="7" applyFont="1" applyFill="1" applyBorder="1" applyAlignment="1">
      <alignment horizontal="center"/>
    </xf>
    <xf numFmtId="178" fontId="3" fillId="17" borderId="12" xfId="4" applyNumberFormat="1" applyFont="1" applyFill="1" applyBorder="1" applyAlignment="1">
      <alignment horizontal="center"/>
    </xf>
    <xf numFmtId="3" fontId="13" fillId="17" borderId="15" xfId="0" applyNumberFormat="1" applyFont="1" applyFill="1" applyBorder="1"/>
    <xf numFmtId="0" fontId="6" fillId="17" borderId="17" xfId="7" applyFont="1" applyFill="1" applyBorder="1"/>
    <xf numFmtId="0" fontId="6" fillId="17" borderId="16" xfId="7" applyFont="1" applyFill="1" applyBorder="1"/>
    <xf numFmtId="175" fontId="6" fillId="17" borderId="5" xfId="0" applyNumberFormat="1" applyFont="1" applyFill="1" applyBorder="1" applyProtection="1"/>
    <xf numFmtId="0" fontId="6" fillId="17" borderId="0" xfId="7" applyFont="1" applyFill="1" applyBorder="1"/>
    <xf numFmtId="0" fontId="6" fillId="17" borderId="6" xfId="7" applyFont="1" applyFill="1" applyBorder="1"/>
    <xf numFmtId="175" fontId="6" fillId="17" borderId="10" xfId="0" applyNumberFormat="1" applyFont="1" applyFill="1" applyBorder="1" applyProtection="1"/>
    <xf numFmtId="0" fontId="6" fillId="17" borderId="11" xfId="7" applyFont="1" applyFill="1" applyBorder="1"/>
    <xf numFmtId="0" fontId="6" fillId="17" borderId="12" xfId="7" applyFont="1" applyFill="1" applyBorder="1"/>
    <xf numFmtId="193" fontId="6" fillId="17" borderId="0" xfId="0" applyNumberFormat="1" applyFont="1" applyFill="1" applyBorder="1" applyProtection="1"/>
    <xf numFmtId="193" fontId="6" fillId="17" borderId="11" xfId="0" applyNumberFormat="1" applyFont="1" applyFill="1" applyBorder="1" applyProtection="1"/>
    <xf numFmtId="10" fontId="3" fillId="17" borderId="5" xfId="7" applyNumberFormat="1" applyFont="1" applyFill="1" applyBorder="1" applyAlignment="1">
      <alignment horizontal="center"/>
    </xf>
    <xf numFmtId="0" fontId="3" fillId="0" borderId="2" xfId="7" applyBorder="1" applyAlignment="1">
      <alignment horizontal="center"/>
    </xf>
    <xf numFmtId="0" fontId="2" fillId="0" borderId="4" xfId="10" applyBorder="1" applyAlignment="1">
      <alignment horizontal="center"/>
    </xf>
    <xf numFmtId="0" fontId="47" fillId="13" borderId="2" xfId="7" applyFont="1" applyFill="1" applyBorder="1" applyAlignment="1">
      <alignment horizontal="center"/>
    </xf>
    <xf numFmtId="0" fontId="2" fillId="0" borderId="3" xfId="10" applyBorder="1" applyAlignment="1">
      <alignment horizontal="center"/>
    </xf>
    <xf numFmtId="0" fontId="3" fillId="0" borderId="3" xfId="7" applyBorder="1" applyAlignment="1"/>
    <xf numFmtId="0" fontId="3" fillId="0" borderId="4" xfId="7" applyBorder="1" applyAlignment="1"/>
    <xf numFmtId="0" fontId="6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7" fillId="4" borderId="2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8" fillId="4" borderId="3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6" fillId="0" borderId="3" xfId="1" applyNumberFormat="1" applyFont="1" applyFill="1" applyBorder="1" applyAlignment="1">
      <alignment horizontal="center"/>
    </xf>
    <xf numFmtId="0" fontId="6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6" fillId="0" borderId="2" xfId="4" applyFont="1" applyFill="1" applyBorder="1" applyAlignment="1">
      <alignment horizontal="center"/>
    </xf>
  </cellXfs>
  <cellStyles count="20">
    <cellStyle name="Comma" xfId="2" builtinId="3"/>
    <cellStyle name="Currency" xfId="3" builtinId="4"/>
    <cellStyle name="Currency 2 2" xfId="12"/>
    <cellStyle name="Currency 2 3" xfId="13"/>
    <cellStyle name="Input1" xfId="8"/>
    <cellStyle name="Input3" xfId="9"/>
    <cellStyle name="Normal" xfId="0" builtinId="0"/>
    <cellStyle name="Normal 114" xfId="14"/>
    <cellStyle name="Normal 2" xfId="7"/>
    <cellStyle name="Normal 2 2" xfId="15"/>
    <cellStyle name="Normal 3" xfId="10"/>
    <cellStyle name="Normal 4" xfId="16"/>
    <cellStyle name="Normal_CP Templates 260209 am" xfId="4"/>
    <cellStyle name="Normal_Tax Dep" xfId="5"/>
    <cellStyle name="Percent" xfId="6" builtinId="5"/>
    <cellStyle name="Percent 2" xfId="11"/>
    <cellStyle name="SheetHeader1" xfId="17"/>
    <cellStyle name="Style 1" xfId="1"/>
    <cellStyle name="TableLvl2" xfId="18"/>
    <cellStyle name="TableLvl3" xfId="19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941295</xdr:colOff>
      <xdr:row>5</xdr:row>
      <xdr:rowOff>35859</xdr:rowOff>
    </xdr:from>
    <xdr:to>
      <xdr:col>13</xdr:col>
      <xdr:colOff>44824</xdr:colOff>
      <xdr:row>12</xdr:row>
      <xdr:rowOff>8965</xdr:rowOff>
    </xdr:to>
    <xdr:sp macro="" textlink="">
      <xdr:nvSpPr>
        <xdr:cNvPr id="2" name="TextBox 1"/>
        <xdr:cNvSpPr txBox="1"/>
      </xdr:nvSpPr>
      <xdr:spPr>
        <a:xfrm>
          <a:off x="5531224" y="887506"/>
          <a:ext cx="7279341" cy="1165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0" b="1">
              <a:solidFill>
                <a:srgbClr val="FF0000"/>
              </a:solidFill>
            </a:rPr>
            <a:t>NOT IN USE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Draft%20Determination/AER%20-%20Preliminary%20decision%20AusNet%20Services%20-%20Metering%20post%20tax%20revenue%20model%20and%20exit%20fees%20-%20October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G7" t="str">
            <v>Remotely read interval meters &amp; transformers</v>
          </cell>
          <cell r="J7">
            <v>297.66912340697218</v>
          </cell>
          <cell r="L7">
            <v>11.805120336019831</v>
          </cell>
          <cell r="M7">
            <v>15</v>
          </cell>
          <cell r="N7">
            <v>93.949788646550161</v>
          </cell>
          <cell r="O7">
            <v>11.805120336019831</v>
          </cell>
          <cell r="P7">
            <v>15</v>
          </cell>
        </row>
        <row r="8">
          <cell r="G8" t="str">
            <v>IT</v>
          </cell>
          <cell r="J8">
            <v>50.743871897473262</v>
          </cell>
          <cell r="L8">
            <v>3.3792537390471304</v>
          </cell>
          <cell r="M8">
            <v>7</v>
          </cell>
          <cell r="N8">
            <v>19.702639773761568</v>
          </cell>
          <cell r="O8">
            <v>1.4482516024487702</v>
          </cell>
          <cell r="P8">
            <v>3</v>
          </cell>
        </row>
        <row r="9">
          <cell r="G9" t="str">
            <v>Communications</v>
          </cell>
          <cell r="J9">
            <v>32.007689231420279</v>
          </cell>
          <cell r="L9">
            <v>3.6466448333914707</v>
          </cell>
          <cell r="M9">
            <v>7</v>
          </cell>
          <cell r="N9">
            <v>26.704313097391065</v>
          </cell>
          <cell r="O9">
            <v>1.5628477857392018</v>
          </cell>
          <cell r="P9">
            <v>3</v>
          </cell>
        </row>
        <row r="10">
          <cell r="G10" t="str">
            <v>Other</v>
          </cell>
          <cell r="J10">
            <v>0</v>
          </cell>
          <cell r="L10">
            <v>0</v>
          </cell>
          <cell r="M10">
            <v>7</v>
          </cell>
          <cell r="N10">
            <v>5.7418013748792768E-2</v>
          </cell>
          <cell r="O10">
            <v>0</v>
          </cell>
          <cell r="P10">
            <v>7</v>
          </cell>
        </row>
        <row r="36">
          <cell r="G36" t="str">
            <v>Equity raising costs</v>
          </cell>
          <cell r="L36" t="str">
            <v>n/a</v>
          </cell>
          <cell r="M36">
            <v>13.259788397576648</v>
          </cell>
          <cell r="O36" t="str">
            <v>n/a</v>
          </cell>
          <cell r="P36">
            <v>5</v>
          </cell>
        </row>
        <row r="37">
          <cell r="J37">
            <v>380.42068453586569</v>
          </cell>
        </row>
        <row r="70">
          <cell r="G70">
            <v>0</v>
          </cell>
        </row>
        <row r="216">
          <cell r="G216">
            <v>2.5000000000000001E-2</v>
          </cell>
        </row>
        <row r="218">
          <cell r="G218">
            <v>0.4</v>
          </cell>
        </row>
        <row r="219">
          <cell r="G219">
            <v>0.6</v>
          </cell>
        </row>
        <row r="229">
          <cell r="G229">
            <v>0.7</v>
          </cell>
        </row>
        <row r="230">
          <cell r="G230">
            <v>0.03</v>
          </cell>
        </row>
        <row r="231">
          <cell r="G231">
            <v>0.01</v>
          </cell>
        </row>
        <row r="232">
          <cell r="G232">
            <v>0.3</v>
          </cell>
        </row>
        <row r="233">
          <cell r="G233">
            <v>8.3724126563770277E-4</v>
          </cell>
        </row>
      </sheetData>
      <sheetData sheetId="5" refreshError="1">
        <row r="18">
          <cell r="G18">
            <v>6.0999999999999999E-2</v>
          </cell>
          <cell r="H18">
            <v>6.0999999999999999E-2</v>
          </cell>
          <cell r="I18">
            <v>6.0999999999999999E-2</v>
          </cell>
          <cell r="J18">
            <v>6.0999999999999999E-2</v>
          </cell>
          <cell r="K18">
            <v>6.0999999999999999E-2</v>
          </cell>
          <cell r="L18">
            <v>6.0999999999999999E-2</v>
          </cell>
          <cell r="M18">
            <v>6.0999999999999999E-2</v>
          </cell>
          <cell r="N18">
            <v>6.0999999999999999E-2</v>
          </cell>
          <cell r="O18">
            <v>6.0999999999999999E-2</v>
          </cell>
          <cell r="P18">
            <v>6.0999999999999999E-2</v>
          </cell>
        </row>
        <row r="19">
          <cell r="G19">
            <v>3.5121951219512226E-2</v>
          </cell>
          <cell r="H19">
            <v>3.5121951219512226E-2</v>
          </cell>
          <cell r="I19">
            <v>3.5121951219512226E-2</v>
          </cell>
          <cell r="J19">
            <v>3.5121951219512226E-2</v>
          </cell>
          <cell r="K19">
            <v>3.5121951219512226E-2</v>
          </cell>
          <cell r="L19">
            <v>3.5121951219512226E-2</v>
          </cell>
          <cell r="M19">
            <v>3.5121951219512226E-2</v>
          </cell>
          <cell r="N19">
            <v>3.5121951219512226E-2</v>
          </cell>
          <cell r="O19">
            <v>3.5121951219512226E-2</v>
          </cell>
          <cell r="P19">
            <v>3.5121951219512226E-2</v>
          </cell>
        </row>
      </sheetData>
      <sheetData sheetId="6" refreshError="1"/>
      <sheetData sheetId="7" refreshError="1"/>
      <sheetData sheetId="8" refreshError="1"/>
      <sheetData sheetId="9" refreshError="1">
        <row r="47">
          <cell r="G47">
            <v>0.44530837223859016</v>
          </cell>
          <cell r="H47">
            <v>6.3977054357496829E-2</v>
          </cell>
          <cell r="I47">
            <v>6.3977054357496829E-2</v>
          </cell>
          <cell r="J47">
            <v>6.3977054357496829E-2</v>
          </cell>
          <cell r="K47">
            <v>6.3977054357496829E-2</v>
          </cell>
          <cell r="L47">
            <v>6.3977054357496829E-2</v>
          </cell>
          <cell r="M47">
            <v>6.3977054357496829E-2</v>
          </cell>
          <cell r="N47">
            <v>6.3977054357496829E-2</v>
          </cell>
          <cell r="O47">
            <v>6.3977054357496829E-2</v>
          </cell>
          <cell r="P47">
            <v>6.3977054357496829E-2</v>
          </cell>
        </row>
        <row r="63">
          <cell r="G63">
            <v>0.43459527887949401</v>
          </cell>
          <cell r="H63">
            <v>4.5395552769923783E-2</v>
          </cell>
          <cell r="I63">
            <v>4.5395552769923783E-2</v>
          </cell>
          <cell r="J63">
            <v>4.5395552769923783E-2</v>
          </cell>
          <cell r="K63">
            <v>4.5395552769923783E-2</v>
          </cell>
          <cell r="L63">
            <v>4.5395552769923783E-2</v>
          </cell>
          <cell r="M63">
            <v>4.5395552769923783E-2</v>
          </cell>
          <cell r="N63">
            <v>4.5395552769923783E-2</v>
          </cell>
          <cell r="O63">
            <v>4.5395552769923783E-2</v>
          </cell>
          <cell r="P63">
            <v>4.5395552769923783E-2</v>
          </cell>
        </row>
        <row r="83">
          <cell r="G83">
            <v>-5.6595758238545235E-2</v>
          </cell>
          <cell r="H83">
            <v>1.4466932213505958E-2</v>
          </cell>
          <cell r="I83">
            <v>-3.8545140022410761E-3</v>
          </cell>
          <cell r="J83">
            <v>-3.8545140022410761E-3</v>
          </cell>
          <cell r="K83">
            <v>-3.8545140022410761E-3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0" refreshError="1"/>
      <sheetData sheetId="11" refreshError="1">
        <row r="54">
          <cell r="Q54">
            <v>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78"/>
  <sheetViews>
    <sheetView tabSelected="1" zoomScale="80" zoomScaleNormal="80" workbookViewId="0"/>
  </sheetViews>
  <sheetFormatPr defaultColWidth="9.140625" defaultRowHeight="12.75" outlineLevelRow="1" x14ac:dyDescent="0.2"/>
  <cols>
    <col min="1" max="1" width="42.85546875" style="897" customWidth="1"/>
    <col min="2" max="2" width="16" style="897" customWidth="1"/>
    <col min="3" max="3" width="12" style="897" customWidth="1"/>
    <col min="4" max="4" width="14.85546875" style="897" customWidth="1"/>
    <col min="5" max="5" width="13.42578125" style="897" customWidth="1"/>
    <col min="6" max="6" width="13.5703125" style="897" customWidth="1"/>
    <col min="7" max="7" width="13.140625" style="897" customWidth="1"/>
    <col min="8" max="8" width="13.85546875" style="897" customWidth="1"/>
    <col min="9" max="9" width="14.5703125" style="897" customWidth="1"/>
    <col min="10" max="10" width="16.85546875" style="897" customWidth="1"/>
    <col min="11" max="11" width="15" style="897" customWidth="1"/>
    <col min="12" max="12" width="13.85546875" style="897" customWidth="1"/>
    <col min="13" max="13" width="16.42578125" style="897" customWidth="1"/>
    <col min="14" max="16384" width="9.140625" style="897"/>
  </cols>
  <sheetData>
    <row r="3" spans="1:13" x14ac:dyDescent="0.2">
      <c r="B3" s="970" t="s">
        <v>417</v>
      </c>
      <c r="C3" s="971"/>
      <c r="D3" s="971"/>
      <c r="E3" s="971"/>
      <c r="F3" s="969"/>
      <c r="H3" s="970" t="s">
        <v>418</v>
      </c>
      <c r="I3" s="972"/>
      <c r="J3" s="973"/>
    </row>
    <row r="4" spans="1:13" ht="25.5" x14ac:dyDescent="0.2">
      <c r="A4" s="898" t="s">
        <v>419</v>
      </c>
      <c r="B4" s="898" t="str">
        <f>'AMI RAB 2009-15'!A19</f>
        <v>($000 Real 2008)</v>
      </c>
      <c r="C4" s="899"/>
      <c r="D4" s="900" t="s">
        <v>420</v>
      </c>
      <c r="E4" s="901" t="s">
        <v>421</v>
      </c>
      <c r="F4" s="901" t="s">
        <v>422</v>
      </c>
      <c r="H4" s="900" t="s">
        <v>423</v>
      </c>
      <c r="I4" s="901" t="s">
        <v>424</v>
      </c>
      <c r="J4" s="901" t="s">
        <v>425</v>
      </c>
    </row>
    <row r="5" spans="1:13" x14ac:dyDescent="0.2">
      <c r="A5" s="902" t="str">
        <f>'AMI RAB 2009-15'!A38</f>
        <v>Remotely read interval meters &amp; transformers</v>
      </c>
      <c r="B5" s="903">
        <f>'AMI RAB 2009-15'!K20+'AMI RAB 2009-15'!K30+'AMI RAB 2009-15'!K40</f>
        <v>243804.38554914473</v>
      </c>
      <c r="C5" s="904"/>
      <c r="D5" s="952">
        <f>B5*$I$15/10^3</f>
        <v>296.47813755015932</v>
      </c>
      <c r="E5" s="906">
        <f>'DNSP Data Inputs 2013-15'!C12</f>
        <v>15</v>
      </c>
      <c r="F5" s="906">
        <f>F36</f>
        <v>11.805120336019831</v>
      </c>
      <c r="H5" s="905">
        <f>'AMI Tax Depn 2009-15'!K24/10^3</f>
        <v>93.949788646550161</v>
      </c>
      <c r="I5" s="907">
        <v>15</v>
      </c>
      <c r="J5" s="906">
        <f>I5*F5/E5</f>
        <v>11.805120336019831</v>
      </c>
      <c r="L5" s="908"/>
    </row>
    <row r="6" spans="1:13" x14ac:dyDescent="0.2">
      <c r="A6" s="909" t="str">
        <f>'AMI RAB 2009-15'!A48</f>
        <v>IT</v>
      </c>
      <c r="B6" s="903">
        <f>'AMI RAB 2009-15'!K50</f>
        <v>41561.510868767728</v>
      </c>
      <c r="C6" s="904"/>
      <c r="D6" s="952">
        <f t="shared" ref="D6:D8" si="0">B6*$I$15/10^3</f>
        <v>50.540843670177303</v>
      </c>
      <c r="E6" s="906">
        <f>'DNSP Data Inputs 2013-15'!C13</f>
        <v>7</v>
      </c>
      <c r="F6" s="906">
        <f>F50</f>
        <v>3.379253739180383</v>
      </c>
      <c r="H6" s="905">
        <f>'AMI Tax Depn 2009-15'!K36/10^3</f>
        <v>19.702639772706412</v>
      </c>
      <c r="I6" s="907">
        <v>3</v>
      </c>
      <c r="J6" s="906">
        <f t="shared" ref="J6:J8" si="1">I6*F6/E6</f>
        <v>1.4482516025058785</v>
      </c>
      <c r="L6" s="908"/>
    </row>
    <row r="7" spans="1:13" x14ac:dyDescent="0.2">
      <c r="A7" s="909" t="str">
        <f>'AMI RAB 2009-15'!A58</f>
        <v>Communications</v>
      </c>
      <c r="B7" s="903">
        <f>'AMI RAB 2009-15'!K60</f>
        <v>26215.735500538703</v>
      </c>
      <c r="C7" s="904"/>
      <c r="D7" s="952">
        <f t="shared" si="0"/>
        <v>31.879625209369305</v>
      </c>
      <c r="E7" s="906">
        <f>'DNSP Data Inputs 2013-15'!C14</f>
        <v>7</v>
      </c>
      <c r="F7" s="906">
        <f>F64</f>
        <v>3.6466448333914707</v>
      </c>
      <c r="H7" s="905">
        <f>'AMI Tax Depn 2009-15'!K42/10^3</f>
        <v>26.704313097391065</v>
      </c>
      <c r="I7" s="907">
        <v>3</v>
      </c>
      <c r="J7" s="906">
        <f t="shared" si="1"/>
        <v>1.5628477857392018</v>
      </c>
      <c r="L7" s="908"/>
    </row>
    <row r="8" spans="1:13" x14ac:dyDescent="0.2">
      <c r="A8" s="909" t="str">
        <f>'AMI RAB 2009-15'!A68</f>
        <v>Other</v>
      </c>
      <c r="B8" s="903">
        <f>'AMI RAB 2009-15'!K70</f>
        <v>0</v>
      </c>
      <c r="C8" s="904"/>
      <c r="D8" s="952">
        <f t="shared" si="0"/>
        <v>0</v>
      </c>
      <c r="E8" s="906">
        <f>'DNSP Data Inputs 2013-15'!C15</f>
        <v>7</v>
      </c>
      <c r="F8" s="906">
        <f>F78</f>
        <v>0</v>
      </c>
      <c r="H8" s="905">
        <f>'AMI Tax Depn 2009-15'!K48/10^3</f>
        <v>5.7418013748792768E-2</v>
      </c>
      <c r="I8" s="907">
        <v>7</v>
      </c>
      <c r="J8" s="906">
        <f t="shared" si="1"/>
        <v>0</v>
      </c>
      <c r="L8" s="908"/>
    </row>
    <row r="9" spans="1:13" x14ac:dyDescent="0.2">
      <c r="A9" s="910"/>
      <c r="B9" s="911">
        <f>SUM(B5:B8)</f>
        <v>311581.63191845117</v>
      </c>
      <c r="C9" s="912"/>
      <c r="D9" s="913">
        <f>SUM(D5:D8)</f>
        <v>378.89860642970592</v>
      </c>
      <c r="E9" s="910"/>
      <c r="F9" s="910"/>
      <c r="H9" s="913">
        <f>SUM(H5:H8)</f>
        <v>140.41415953039643</v>
      </c>
      <c r="I9" s="910"/>
      <c r="J9" s="910"/>
    </row>
    <row r="12" spans="1:13" x14ac:dyDescent="0.2">
      <c r="A12" s="792"/>
      <c r="B12" s="717">
        <f>'Data 2009-15 (Real $2008)'!D142</f>
        <v>2009</v>
      </c>
      <c r="C12" s="886">
        <f>'Data 2009-15 (Real $2008)'!E142</f>
        <v>2010</v>
      </c>
      <c r="D12" s="886">
        <f>'Data 2009-15 (Real $2008)'!F142</f>
        <v>2011</v>
      </c>
      <c r="E12" s="886">
        <f>'Data 2009-15 (Real $2008)'!G142</f>
        <v>2012</v>
      </c>
      <c r="F12" s="886">
        <f>'Data 2009-15 (Real $2008)'!H142</f>
        <v>2013</v>
      </c>
      <c r="G12" s="886">
        <f>'Data 2009-15 (Real $2008)'!I142</f>
        <v>2014</v>
      </c>
      <c r="H12" s="887">
        <f>'Data 2009-15 (Real $2008)'!J142</f>
        <v>2015</v>
      </c>
      <c r="I12" s="953">
        <v>42339</v>
      </c>
    </row>
    <row r="13" spans="1:13" x14ac:dyDescent="0.2">
      <c r="A13" s="43" t="s">
        <v>86</v>
      </c>
      <c r="B13" s="566" t="str">
        <f>'Data 2009-15 (Real $2008)'!D143</f>
        <v>Actual</v>
      </c>
      <c r="C13" s="685" t="str">
        <f>'Data 2009-15 (Real $2008)'!E143</f>
        <v>Actual</v>
      </c>
      <c r="D13" s="685" t="str">
        <f>'Data 2009-15 (Real $2008)'!F143</f>
        <v>Actual</v>
      </c>
      <c r="E13" s="685" t="str">
        <f>'Data 2009-15 (Real $2008)'!G143</f>
        <v>Actual</v>
      </c>
      <c r="F13" s="685" t="str">
        <f>'Data 2009-15 (Real $2008)'!H143</f>
        <v>Actual</v>
      </c>
      <c r="G13" s="685" t="str">
        <f>'Data 2009-15 (Real $2008)'!I143</f>
        <v>Actual</v>
      </c>
      <c r="H13" s="914" t="str">
        <f>'Data 2009-15 (Real $2008)'!J143</f>
        <v>Actual</v>
      </c>
      <c r="I13" s="954" t="s">
        <v>20</v>
      </c>
      <c r="J13" s="956" t="s">
        <v>432</v>
      </c>
      <c r="K13" s="957"/>
      <c r="L13" s="957"/>
      <c r="M13" s="958"/>
    </row>
    <row r="14" spans="1:13" x14ac:dyDescent="0.2">
      <c r="A14" s="792" t="s">
        <v>87</v>
      </c>
      <c r="B14" s="915">
        <f>'Data 2009-15 (Real $2008)'!D144</f>
        <v>4.9810844892812067E-2</v>
      </c>
      <c r="C14" s="798">
        <f>'Data 2009-15 (Real $2008)'!E144</f>
        <v>1.2612612612612484E-2</v>
      </c>
      <c r="D14" s="798">
        <f>'Data 2009-15 (Real $2008)'!F144</f>
        <v>2.7876631079478242E-2</v>
      </c>
      <c r="E14" s="798">
        <f>'Data 2009-15 (Real $2008)'!G144</f>
        <v>3.5199076745527913E-2</v>
      </c>
      <c r="F14" s="798">
        <f>'Data 2009-15 (Real $2008)'!H144</f>
        <v>2.0040080160320661E-2</v>
      </c>
      <c r="G14" s="798">
        <f>'Data 2009-15 (Real $2008)'!I144</f>
        <v>2.16110019646365E-2</v>
      </c>
      <c r="H14" s="916">
        <f>'Data 2009-15 (Real $2008)'!J144</f>
        <v>2.3076923076923217E-2</v>
      </c>
      <c r="I14" s="967">
        <f>J15/J14-1</f>
        <v>8.3720930232558111E-3</v>
      </c>
      <c r="J14" s="959">
        <v>107.5</v>
      </c>
      <c r="K14" s="965">
        <v>42185</v>
      </c>
      <c r="L14" s="960"/>
      <c r="M14" s="961"/>
    </row>
    <row r="15" spans="1:13" x14ac:dyDescent="0.2">
      <c r="A15" s="792" t="s">
        <v>36</v>
      </c>
      <c r="B15" s="917">
        <f>1+B14</f>
        <v>1.0498108448928121</v>
      </c>
      <c r="C15" s="918">
        <f t="shared" ref="C15:I15" si="2">B15*(1+C14)</f>
        <v>1.0630517023959645</v>
      </c>
      <c r="D15" s="918">
        <f t="shared" si="2"/>
        <v>1.0926860025220682</v>
      </c>
      <c r="E15" s="918">
        <f t="shared" si="2"/>
        <v>1.1311475409836065</v>
      </c>
      <c r="F15" s="918">
        <f t="shared" si="2"/>
        <v>1.1538158283780675</v>
      </c>
      <c r="G15" s="918">
        <f t="shared" si="2"/>
        <v>1.1787509445119746</v>
      </c>
      <c r="H15" s="919">
        <f t="shared" si="2"/>
        <v>1.205952889385328</v>
      </c>
      <c r="I15" s="955">
        <f t="shared" si="2"/>
        <v>1.216049239156926</v>
      </c>
      <c r="J15" s="962">
        <v>108.4</v>
      </c>
      <c r="K15" s="966">
        <v>42369</v>
      </c>
      <c r="L15" s="963"/>
      <c r="M15" s="964"/>
    </row>
    <row r="18" spans="1:7" x14ac:dyDescent="0.2">
      <c r="A18" s="920" t="s">
        <v>426</v>
      </c>
    </row>
    <row r="19" spans="1:7" x14ac:dyDescent="0.2">
      <c r="A19" s="921" t="s">
        <v>423</v>
      </c>
      <c r="B19" s="922">
        <v>2016</v>
      </c>
    </row>
    <row r="20" spans="1:7" x14ac:dyDescent="0.2">
      <c r="A20" s="897" t="str">
        <f>'AMI Building Blocks 2009-15'!A56</f>
        <v>Tax losses brought forward</v>
      </c>
      <c r="B20" s="923">
        <f>'AMI Building Blocks 2009-15'!J57/10^3</f>
        <v>-160.15866596650156</v>
      </c>
    </row>
    <row r="23" spans="1:7" x14ac:dyDescent="0.2">
      <c r="A23" s="920" t="s">
        <v>427</v>
      </c>
    </row>
    <row r="24" spans="1:7" x14ac:dyDescent="0.2">
      <c r="A24" s="924" t="s">
        <v>0</v>
      </c>
      <c r="B24" s="925">
        <f>SUM(G36,G50,G64,G78)</f>
        <v>4.3655745685100555E-11</v>
      </c>
    </row>
    <row r="25" spans="1:7" x14ac:dyDescent="0.2">
      <c r="A25" s="926" t="str">
        <f>A5</f>
        <v>Remotely read interval meters &amp; transformers</v>
      </c>
    </row>
    <row r="26" spans="1:7" x14ac:dyDescent="0.2">
      <c r="A26" s="897" t="s">
        <v>421</v>
      </c>
      <c r="B26" s="927">
        <f>E5</f>
        <v>15</v>
      </c>
      <c r="D26" s="968" t="s">
        <v>289</v>
      </c>
      <c r="E26" s="969"/>
    </row>
    <row r="27" spans="1:7" x14ac:dyDescent="0.2">
      <c r="B27" s="928"/>
      <c r="C27" s="902"/>
      <c r="D27" s="929"/>
      <c r="E27" s="930" t="s">
        <v>428</v>
      </c>
      <c r="F27" s="931" t="s">
        <v>429</v>
      </c>
      <c r="G27" s="902"/>
    </row>
    <row r="28" spans="1:7" x14ac:dyDescent="0.2">
      <c r="B28" s="932" t="s">
        <v>280</v>
      </c>
      <c r="C28" s="933" t="s">
        <v>430</v>
      </c>
      <c r="D28" s="934" t="s">
        <v>319</v>
      </c>
      <c r="E28" s="935" t="s">
        <v>431</v>
      </c>
      <c r="F28" s="933" t="s">
        <v>422</v>
      </c>
      <c r="G28" s="936" t="s">
        <v>0</v>
      </c>
    </row>
    <row r="29" spans="1:7" hidden="1" outlineLevel="1" x14ac:dyDescent="0.2">
      <c r="B29" s="937">
        <v>2009</v>
      </c>
      <c r="C29" s="938">
        <f t="shared" ref="C29:C33" si="3">C30+1</f>
        <v>6.5</v>
      </c>
      <c r="D29" s="939">
        <f>'AMI RAB 2009-15'!B215</f>
        <v>1159.830216960961</v>
      </c>
      <c r="E29" s="940">
        <f>D29*F29/B26</f>
        <v>657.23712294454458</v>
      </c>
      <c r="F29" s="941">
        <f>B26-C29</f>
        <v>8.5</v>
      </c>
      <c r="G29" s="909"/>
    </row>
    <row r="30" spans="1:7" hidden="1" outlineLevel="1" x14ac:dyDescent="0.2">
      <c r="B30" s="937">
        <f>B29+1</f>
        <v>2010</v>
      </c>
      <c r="C30" s="938">
        <f t="shared" si="3"/>
        <v>5.5</v>
      </c>
      <c r="D30" s="939">
        <f>'AMI RAB 2009-15'!E$41</f>
        <v>27930.710455013079</v>
      </c>
      <c r="E30" s="940">
        <f>D30*F30/B26</f>
        <v>17689.449954841617</v>
      </c>
      <c r="F30" s="941">
        <f>B26-C30</f>
        <v>9.5</v>
      </c>
      <c r="G30" s="909"/>
    </row>
    <row r="31" spans="1:7" hidden="1" outlineLevel="1" x14ac:dyDescent="0.2">
      <c r="B31" s="937">
        <f t="shared" ref="B31:B35" si="4">B30+1</f>
        <v>2011</v>
      </c>
      <c r="C31" s="938">
        <f t="shared" si="3"/>
        <v>4.5</v>
      </c>
      <c r="D31" s="939">
        <f>'AMI RAB 2009-15'!F$41</f>
        <v>73445.619157530295</v>
      </c>
      <c r="E31" s="940">
        <f>D31*F31/B26</f>
        <v>51411.933410271202</v>
      </c>
      <c r="F31" s="941">
        <f>B26-C31</f>
        <v>10.5</v>
      </c>
      <c r="G31" s="909"/>
    </row>
    <row r="32" spans="1:7" hidden="1" outlineLevel="1" x14ac:dyDescent="0.2">
      <c r="B32" s="937">
        <f t="shared" si="4"/>
        <v>2012</v>
      </c>
      <c r="C32" s="938">
        <f t="shared" si="3"/>
        <v>3.5</v>
      </c>
      <c r="D32" s="939">
        <f>'AMI RAB 2009-15'!G$41</f>
        <v>80111.884399314353</v>
      </c>
      <c r="E32" s="940">
        <f>D32*F32/B26</f>
        <v>61419.111372807667</v>
      </c>
      <c r="F32" s="941">
        <f>B26-C32</f>
        <v>11.5</v>
      </c>
      <c r="G32" s="909"/>
    </row>
    <row r="33" spans="1:7" hidden="1" outlineLevel="1" x14ac:dyDescent="0.2">
      <c r="B33" s="937">
        <f t="shared" si="4"/>
        <v>2013</v>
      </c>
      <c r="C33" s="938">
        <f t="shared" si="3"/>
        <v>2.5</v>
      </c>
      <c r="D33" s="939">
        <f>'AMI RAB 2009-15'!H$41</f>
        <v>81918.832412679607</v>
      </c>
      <c r="E33" s="940">
        <f>D33*F33/B26</f>
        <v>68265.693677233008</v>
      </c>
      <c r="F33" s="941">
        <f>B26-C33</f>
        <v>12.5</v>
      </c>
      <c r="G33" s="909"/>
    </row>
    <row r="34" spans="1:7" hidden="1" outlineLevel="1" x14ac:dyDescent="0.2">
      <c r="B34" s="937">
        <f t="shared" si="4"/>
        <v>2014</v>
      </c>
      <c r="C34" s="938">
        <f>C35+1</f>
        <v>1.5</v>
      </c>
      <c r="D34" s="939">
        <f>'AMI RAB 2009-15'!I$41</f>
        <v>42440.392199691283</v>
      </c>
      <c r="E34" s="940">
        <f>D34*F34/B26</f>
        <v>38196.352979722156</v>
      </c>
      <c r="F34" s="941">
        <f>B26-C34</f>
        <v>13.5</v>
      </c>
      <c r="G34" s="909"/>
    </row>
    <row r="35" spans="1:7" hidden="1" outlineLevel="1" x14ac:dyDescent="0.2">
      <c r="B35" s="937">
        <f t="shared" si="4"/>
        <v>2015</v>
      </c>
      <c r="C35" s="938">
        <v>0.5</v>
      </c>
      <c r="D35" s="939">
        <f>'AMI RAB 2009-15'!J$41</f>
        <v>6377.1796875771279</v>
      </c>
      <c r="E35" s="940">
        <f>D35*F35/B26</f>
        <v>6164.6070313245573</v>
      </c>
      <c r="F35" s="941">
        <f>B26-C35</f>
        <v>14.5</v>
      </c>
      <c r="G35" s="909"/>
    </row>
    <row r="36" spans="1:7" collapsed="1" x14ac:dyDescent="0.2">
      <c r="B36" s="942"/>
      <c r="C36" s="910"/>
      <c r="D36" s="943"/>
      <c r="E36" s="944">
        <f>SUM(E29:E35)</f>
        <v>243804.38554914473</v>
      </c>
      <c r="F36" s="945">
        <f>IF(E36=0,0,SUMPRODUCT(F29:F35,E29:E35)/E36)</f>
        <v>11.805120336019831</v>
      </c>
      <c r="G36" s="946">
        <f>ABS(B5-E36)</f>
        <v>0</v>
      </c>
    </row>
    <row r="37" spans="1:7" x14ac:dyDescent="0.2">
      <c r="B37" s="947"/>
    </row>
    <row r="38" spans="1:7" x14ac:dyDescent="0.2">
      <c r="B38" s="947"/>
    </row>
    <row r="39" spans="1:7" x14ac:dyDescent="0.2">
      <c r="A39" s="897" t="str">
        <f>A6</f>
        <v>IT</v>
      </c>
    </row>
    <row r="40" spans="1:7" x14ac:dyDescent="0.2">
      <c r="A40" s="897" t="s">
        <v>421</v>
      </c>
      <c r="B40" s="927">
        <f>E6</f>
        <v>7</v>
      </c>
      <c r="D40" s="968" t="s">
        <v>289</v>
      </c>
      <c r="E40" s="969"/>
    </row>
    <row r="41" spans="1:7" x14ac:dyDescent="0.2">
      <c r="B41" s="928"/>
      <c r="C41" s="902"/>
      <c r="D41" s="929"/>
      <c r="E41" s="930" t="s">
        <v>428</v>
      </c>
      <c r="F41" s="931" t="s">
        <v>429</v>
      </c>
      <c r="G41" s="902"/>
    </row>
    <row r="42" spans="1:7" x14ac:dyDescent="0.2">
      <c r="B42" s="932" t="s">
        <v>280</v>
      </c>
      <c r="C42" s="933" t="s">
        <v>430</v>
      </c>
      <c r="D42" s="934" t="s">
        <v>319</v>
      </c>
      <c r="E42" s="935" t="s">
        <v>431</v>
      </c>
      <c r="F42" s="933" t="s">
        <v>422</v>
      </c>
      <c r="G42" s="936" t="s">
        <v>0</v>
      </c>
    </row>
    <row r="43" spans="1:7" hidden="1" outlineLevel="1" x14ac:dyDescent="0.2">
      <c r="B43" s="937">
        <v>2009</v>
      </c>
      <c r="C43" s="938">
        <f t="shared" ref="C43:C47" si="5">C44+1</f>
        <v>6.5</v>
      </c>
      <c r="D43" s="939">
        <f>'AMI RAB 2009-15'!B227</f>
        <v>25201.355539974094</v>
      </c>
      <c r="E43" s="940">
        <f>D43*F43/B40</f>
        <v>1800.096824283864</v>
      </c>
      <c r="F43" s="941">
        <f>B40-C43</f>
        <v>0.5</v>
      </c>
      <c r="G43" s="909"/>
    </row>
    <row r="44" spans="1:7" hidden="1" outlineLevel="1" x14ac:dyDescent="0.2">
      <c r="B44" s="937">
        <f>B43+1</f>
        <v>2010</v>
      </c>
      <c r="C44" s="938">
        <f t="shared" si="5"/>
        <v>5.5</v>
      </c>
      <c r="D44" s="939">
        <f>'AMI RAB 2009-15'!B228</f>
        <v>36524.471515568075</v>
      </c>
      <c r="E44" s="940">
        <f>D44*F44/B40</f>
        <v>7826.67246762173</v>
      </c>
      <c r="F44" s="941">
        <f>B40-C44</f>
        <v>1.5</v>
      </c>
      <c r="G44" s="909"/>
    </row>
    <row r="45" spans="1:7" hidden="1" outlineLevel="1" x14ac:dyDescent="0.2">
      <c r="B45" s="937">
        <f t="shared" ref="B45:B49" si="6">B44+1</f>
        <v>2011</v>
      </c>
      <c r="C45" s="938">
        <f t="shared" si="5"/>
        <v>4.5</v>
      </c>
      <c r="D45" s="939">
        <f>'AMI RAB 2009-15'!B229</f>
        <v>21261.434569870315</v>
      </c>
      <c r="E45" s="940">
        <f>D45*F45/B40</f>
        <v>7593.3694892393978</v>
      </c>
      <c r="F45" s="941">
        <f>B40-C45</f>
        <v>2.5</v>
      </c>
      <c r="G45" s="909"/>
    </row>
    <row r="46" spans="1:7" hidden="1" outlineLevel="1" x14ac:dyDescent="0.2">
      <c r="B46" s="937">
        <f t="shared" si="6"/>
        <v>2012</v>
      </c>
      <c r="C46" s="938">
        <f t="shared" si="5"/>
        <v>3.5</v>
      </c>
      <c r="D46" s="939">
        <f>'AMI RAB 2009-15'!B230</f>
        <v>21785.439711631407</v>
      </c>
      <c r="E46" s="940">
        <f>D46*F46/B40</f>
        <v>10892.719855815705</v>
      </c>
      <c r="F46" s="941">
        <f>B40-C46</f>
        <v>3.5</v>
      </c>
      <c r="G46" s="909"/>
    </row>
    <row r="47" spans="1:7" hidden="1" outlineLevel="1" x14ac:dyDescent="0.2">
      <c r="B47" s="937">
        <f t="shared" si="6"/>
        <v>2013</v>
      </c>
      <c r="C47" s="938">
        <f t="shared" si="5"/>
        <v>2.5</v>
      </c>
      <c r="D47" s="939">
        <f>'AMI RAB 2009-15'!B231</f>
        <v>7831.8045605887964</v>
      </c>
      <c r="E47" s="940">
        <f>D47*F47/B40</f>
        <v>5034.7315032356546</v>
      </c>
      <c r="F47" s="941">
        <f>B40-C47</f>
        <v>4.5</v>
      </c>
      <c r="G47" s="909"/>
    </row>
    <row r="48" spans="1:7" hidden="1" outlineLevel="1" x14ac:dyDescent="0.2">
      <c r="B48" s="937">
        <f t="shared" si="6"/>
        <v>2014</v>
      </c>
      <c r="C48" s="938">
        <f>C49+1</f>
        <v>1.5</v>
      </c>
      <c r="D48" s="939">
        <f>'AMI RAB 2009-15'!B232</f>
        <v>8460.9455929508786</v>
      </c>
      <c r="E48" s="940">
        <f>D48*F48/B40</f>
        <v>6647.8858230328333</v>
      </c>
      <c r="F48" s="941">
        <f>B40-C48</f>
        <v>5.5</v>
      </c>
      <c r="G48" s="909"/>
    </row>
    <row r="49" spans="1:7" hidden="1" outlineLevel="1" x14ac:dyDescent="0.2">
      <c r="B49" s="937">
        <f t="shared" si="6"/>
        <v>2015</v>
      </c>
      <c r="C49" s="938">
        <v>0.5</v>
      </c>
      <c r="D49" s="939">
        <f>'AMI RAB 2009-15'!B233</f>
        <v>1901.8837444260851</v>
      </c>
      <c r="E49" s="940">
        <f>D49*F49/B40</f>
        <v>1766.0349055385075</v>
      </c>
      <c r="F49" s="941">
        <f>B40-C49</f>
        <v>6.5</v>
      </c>
      <c r="G49" s="909"/>
    </row>
    <row r="50" spans="1:7" collapsed="1" x14ac:dyDescent="0.2">
      <c r="B50" s="942"/>
      <c r="C50" s="910"/>
      <c r="D50" s="943"/>
      <c r="E50" s="944">
        <f>SUM(E43:E49)</f>
        <v>41561.510868767691</v>
      </c>
      <c r="F50" s="945">
        <f>IF(E50=0,0,SUMPRODUCT(F43:F49,E43:E49)/E50)</f>
        <v>3.379253739180383</v>
      </c>
      <c r="G50" s="946">
        <f>ABS(B6-E50)</f>
        <v>3.637978807091713E-11</v>
      </c>
    </row>
    <row r="53" spans="1:7" x14ac:dyDescent="0.2">
      <c r="A53" s="897" t="str">
        <f>A7</f>
        <v>Communications</v>
      </c>
    </row>
    <row r="54" spans="1:7" x14ac:dyDescent="0.2">
      <c r="A54" s="897" t="s">
        <v>421</v>
      </c>
      <c r="B54" s="927">
        <f>E7</f>
        <v>7</v>
      </c>
      <c r="D54" s="968" t="s">
        <v>289</v>
      </c>
      <c r="E54" s="969"/>
    </row>
    <row r="55" spans="1:7" x14ac:dyDescent="0.2">
      <c r="B55" s="928"/>
      <c r="C55" s="902"/>
      <c r="D55" s="929"/>
      <c r="E55" s="930" t="s">
        <v>428</v>
      </c>
      <c r="F55" s="931" t="s">
        <v>429</v>
      </c>
      <c r="G55" s="902"/>
    </row>
    <row r="56" spans="1:7" x14ac:dyDescent="0.2">
      <c r="B56" s="932" t="s">
        <v>280</v>
      </c>
      <c r="C56" s="933" t="s">
        <v>430</v>
      </c>
      <c r="D56" s="934" t="s">
        <v>319</v>
      </c>
      <c r="E56" s="935" t="s">
        <v>431</v>
      </c>
      <c r="F56" s="933" t="s">
        <v>422</v>
      </c>
      <c r="G56" s="936" t="s">
        <v>0</v>
      </c>
    </row>
    <row r="57" spans="1:7" hidden="1" outlineLevel="1" x14ac:dyDescent="0.2">
      <c r="B57" s="937">
        <v>2009</v>
      </c>
      <c r="C57" s="938">
        <f t="shared" ref="C57:C61" si="7">C58+1</f>
        <v>6.5</v>
      </c>
      <c r="D57" s="939">
        <f>'AMI RAB 2009-15'!B239</f>
        <v>846.39541906306306</v>
      </c>
      <c r="E57" s="940">
        <f>D57*F57/B54</f>
        <v>60.456815647361644</v>
      </c>
      <c r="F57" s="941">
        <f>B54-C57</f>
        <v>0.5</v>
      </c>
      <c r="G57" s="909"/>
    </row>
    <row r="58" spans="1:7" hidden="1" outlineLevel="1" x14ac:dyDescent="0.2">
      <c r="B58" s="937">
        <f>B57+1</f>
        <v>2010</v>
      </c>
      <c r="C58" s="938">
        <f t="shared" si="7"/>
        <v>5.5</v>
      </c>
      <c r="D58" s="939">
        <f>'AMI RAB 2009-15'!B240</f>
        <v>8237.4792122182698</v>
      </c>
      <c r="E58" s="940">
        <f>D58*F58/B54</f>
        <v>1765.1741169039149</v>
      </c>
      <c r="F58" s="941">
        <f>B54-C58</f>
        <v>1.5</v>
      </c>
      <c r="G58" s="909"/>
    </row>
    <row r="59" spans="1:7" hidden="1" outlineLevel="1" x14ac:dyDescent="0.2">
      <c r="B59" s="937">
        <f t="shared" ref="B59:B63" si="8">B58+1</f>
        <v>2011</v>
      </c>
      <c r="C59" s="938">
        <f t="shared" si="7"/>
        <v>4.5</v>
      </c>
      <c r="D59" s="939">
        <f>'AMI RAB 2009-15'!B241</f>
        <v>8199.3950680438538</v>
      </c>
      <c r="E59" s="940">
        <f>D59*F59/B54</f>
        <v>2928.3553814442339</v>
      </c>
      <c r="F59" s="941">
        <f>B54-C59</f>
        <v>2.5</v>
      </c>
      <c r="G59" s="909"/>
    </row>
    <row r="60" spans="1:7" hidden="1" outlineLevel="1" x14ac:dyDescent="0.2">
      <c r="B60" s="937">
        <f t="shared" si="8"/>
        <v>2012</v>
      </c>
      <c r="C60" s="938">
        <f t="shared" si="7"/>
        <v>3.5</v>
      </c>
      <c r="D60" s="939">
        <f>'AMI RAB 2009-15'!B242</f>
        <v>21954.545919275366</v>
      </c>
      <c r="E60" s="940">
        <f>D60*F60/B54</f>
        <v>10977.272959637683</v>
      </c>
      <c r="F60" s="941">
        <f>B54-C60</f>
        <v>3.5</v>
      </c>
      <c r="G60" s="909"/>
    </row>
    <row r="61" spans="1:7" hidden="1" outlineLevel="1" x14ac:dyDescent="0.2">
      <c r="B61" s="937">
        <f t="shared" si="8"/>
        <v>2013</v>
      </c>
      <c r="C61" s="938">
        <f t="shared" si="7"/>
        <v>2.5</v>
      </c>
      <c r="D61" s="939">
        <f>'AMI RAB 2009-15'!B243</f>
        <v>16309.185241853025</v>
      </c>
      <c r="E61" s="940">
        <f>D61*F61/B54</f>
        <v>10484.476226905517</v>
      </c>
      <c r="F61" s="941">
        <f>B54-C61</f>
        <v>4.5</v>
      </c>
      <c r="G61" s="909"/>
    </row>
    <row r="62" spans="1:7" hidden="1" outlineLevel="1" x14ac:dyDescent="0.2">
      <c r="B62" s="937">
        <f t="shared" si="8"/>
        <v>2014</v>
      </c>
      <c r="C62" s="938">
        <f>C63+1</f>
        <v>1.5</v>
      </c>
      <c r="D62" s="939">
        <f>'AMI RAB 2009-15'!B244</f>
        <v>0</v>
      </c>
      <c r="E62" s="940">
        <f>D62*F62/B54</f>
        <v>0</v>
      </c>
      <c r="F62" s="941">
        <f>B54-C62</f>
        <v>5.5</v>
      </c>
      <c r="G62" s="909"/>
    </row>
    <row r="63" spans="1:7" hidden="1" outlineLevel="1" x14ac:dyDescent="0.2">
      <c r="B63" s="937">
        <f t="shared" si="8"/>
        <v>2015</v>
      </c>
      <c r="C63" s="938">
        <v>0.5</v>
      </c>
      <c r="D63" s="939">
        <f>'AMI RAB 2009-15'!B245</f>
        <v>0</v>
      </c>
      <c r="E63" s="940">
        <f>D63*F63/B54</f>
        <v>0</v>
      </c>
      <c r="F63" s="941">
        <f>B54-C63</f>
        <v>6.5</v>
      </c>
      <c r="G63" s="909"/>
    </row>
    <row r="64" spans="1:7" collapsed="1" x14ac:dyDescent="0.2">
      <c r="B64" s="942"/>
      <c r="C64" s="910"/>
      <c r="D64" s="943"/>
      <c r="E64" s="944">
        <f>SUM(E57:E63)</f>
        <v>26215.735500538711</v>
      </c>
      <c r="F64" s="945">
        <f>IF(E64=0,0,SUMPRODUCT(F57:F63,E57:E63)/E64)</f>
        <v>3.6466448333914707</v>
      </c>
      <c r="G64" s="946">
        <f>ABS(B7-E64)</f>
        <v>7.2759576141834259E-12</v>
      </c>
    </row>
    <row r="67" spans="1:7" x14ac:dyDescent="0.2">
      <c r="A67" s="897" t="str">
        <f>A8</f>
        <v>Other</v>
      </c>
    </row>
    <row r="68" spans="1:7" x14ac:dyDescent="0.2">
      <c r="A68" s="897" t="s">
        <v>421</v>
      </c>
      <c r="B68" s="927">
        <f>E8</f>
        <v>7</v>
      </c>
      <c r="D68" s="968" t="s">
        <v>289</v>
      </c>
      <c r="E68" s="969"/>
    </row>
    <row r="69" spans="1:7" x14ac:dyDescent="0.2">
      <c r="B69" s="928"/>
      <c r="C69" s="902"/>
      <c r="D69" s="929"/>
      <c r="E69" s="930" t="s">
        <v>428</v>
      </c>
      <c r="F69" s="931" t="s">
        <v>429</v>
      </c>
      <c r="G69" s="902"/>
    </row>
    <row r="70" spans="1:7" x14ac:dyDescent="0.2">
      <c r="B70" s="932" t="s">
        <v>280</v>
      </c>
      <c r="C70" s="933" t="s">
        <v>430</v>
      </c>
      <c r="D70" s="934" t="s">
        <v>319</v>
      </c>
      <c r="E70" s="935" t="s">
        <v>431</v>
      </c>
      <c r="F70" s="933" t="s">
        <v>422</v>
      </c>
      <c r="G70" s="936" t="s">
        <v>0</v>
      </c>
    </row>
    <row r="71" spans="1:7" hidden="1" outlineLevel="1" x14ac:dyDescent="0.2">
      <c r="B71" s="937">
        <v>2009</v>
      </c>
      <c r="C71" s="938">
        <f t="shared" ref="C71:C75" si="9">C72+1</f>
        <v>6.5</v>
      </c>
      <c r="D71" s="939">
        <f>'AMI RAB 2009-15'!B251</f>
        <v>0</v>
      </c>
      <c r="E71" s="940">
        <f>D71*F71/B68</f>
        <v>0</v>
      </c>
      <c r="F71" s="941">
        <f>B68-C71</f>
        <v>0.5</v>
      </c>
      <c r="G71" s="909"/>
    </row>
    <row r="72" spans="1:7" hidden="1" outlineLevel="1" x14ac:dyDescent="0.2">
      <c r="B72" s="937">
        <f>B71+1</f>
        <v>2010</v>
      </c>
      <c r="C72" s="938">
        <f t="shared" si="9"/>
        <v>5.5</v>
      </c>
      <c r="D72" s="939">
        <f>'AMI RAB 2009-15'!B252</f>
        <v>0</v>
      </c>
      <c r="E72" s="940">
        <f>D72*F72/B68</f>
        <v>0</v>
      </c>
      <c r="F72" s="941">
        <f>B68-C72</f>
        <v>1.5</v>
      </c>
      <c r="G72" s="909"/>
    </row>
    <row r="73" spans="1:7" hidden="1" outlineLevel="1" x14ac:dyDescent="0.2">
      <c r="B73" s="937">
        <f t="shared" ref="B73:B77" si="10">B72+1</f>
        <v>2011</v>
      </c>
      <c r="C73" s="938">
        <f t="shared" si="9"/>
        <v>4.5</v>
      </c>
      <c r="D73" s="939">
        <f>'AMI RAB 2009-15'!B253</f>
        <v>0</v>
      </c>
      <c r="E73" s="940">
        <f>D73*F73/B68</f>
        <v>0</v>
      </c>
      <c r="F73" s="941">
        <f>B68-C73</f>
        <v>2.5</v>
      </c>
      <c r="G73" s="909"/>
    </row>
    <row r="74" spans="1:7" hidden="1" outlineLevel="1" x14ac:dyDescent="0.2">
      <c r="B74" s="937">
        <f t="shared" si="10"/>
        <v>2012</v>
      </c>
      <c r="C74" s="938">
        <f t="shared" si="9"/>
        <v>3.5</v>
      </c>
      <c r="D74" s="939">
        <f>'AMI RAB 2009-15'!B254</f>
        <v>0</v>
      </c>
      <c r="E74" s="940">
        <f>D74*F74/B68</f>
        <v>0</v>
      </c>
      <c r="F74" s="941">
        <f>B68-C74</f>
        <v>3.5</v>
      </c>
      <c r="G74" s="909"/>
    </row>
    <row r="75" spans="1:7" hidden="1" outlineLevel="1" x14ac:dyDescent="0.2">
      <c r="B75" s="937">
        <f t="shared" si="10"/>
        <v>2013</v>
      </c>
      <c r="C75" s="938">
        <f t="shared" si="9"/>
        <v>2.5</v>
      </c>
      <c r="D75" s="939">
        <f>'AMI RAB 2009-15'!B255</f>
        <v>0</v>
      </c>
      <c r="E75" s="940">
        <f>D75*F75/B68</f>
        <v>0</v>
      </c>
      <c r="F75" s="941">
        <f>B68-C75</f>
        <v>4.5</v>
      </c>
      <c r="G75" s="909"/>
    </row>
    <row r="76" spans="1:7" hidden="1" outlineLevel="1" x14ac:dyDescent="0.2">
      <c r="B76" s="937">
        <f t="shared" si="10"/>
        <v>2014</v>
      </c>
      <c r="C76" s="938">
        <f>C77+1</f>
        <v>1.5</v>
      </c>
      <c r="D76" s="939">
        <f>'AMI RAB 2009-15'!B256</f>
        <v>0</v>
      </c>
      <c r="E76" s="940">
        <f>D76*F76/B68</f>
        <v>0</v>
      </c>
      <c r="F76" s="941">
        <f>B68-C76</f>
        <v>5.5</v>
      </c>
      <c r="G76" s="909"/>
    </row>
    <row r="77" spans="1:7" hidden="1" outlineLevel="1" x14ac:dyDescent="0.2">
      <c r="B77" s="937">
        <f t="shared" si="10"/>
        <v>2015</v>
      </c>
      <c r="C77" s="938">
        <v>0.5</v>
      </c>
      <c r="D77" s="939">
        <f>'AMI RAB 2009-15'!B257</f>
        <v>0</v>
      </c>
      <c r="E77" s="940">
        <f>D77*F77/B68</f>
        <v>0</v>
      </c>
      <c r="F77" s="941">
        <f>B68-C77</f>
        <v>6.5</v>
      </c>
      <c r="G77" s="909"/>
    </row>
    <row r="78" spans="1:7" collapsed="1" x14ac:dyDescent="0.2">
      <c r="B78" s="942"/>
      <c r="C78" s="910"/>
      <c r="D78" s="943"/>
      <c r="E78" s="944">
        <f>SUM(E71:E77)</f>
        <v>0</v>
      </c>
      <c r="F78" s="945">
        <f>IF(E78=0,0,SUMPRODUCT(F71:F77,E71:E77)/E78)</f>
        <v>0</v>
      </c>
      <c r="G78" s="946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zoomScaleNormal="85" workbookViewId="0">
      <pane ySplit="1" topLeftCell="A37" activePane="bottomLeft" state="frozen"/>
      <selection pane="bottomLeft" activeCell="C57" sqref="C57"/>
    </sheetView>
  </sheetViews>
  <sheetFormatPr defaultColWidth="9.140625" defaultRowHeight="12.75" outlineLevelRow="1" x14ac:dyDescent="0.2"/>
  <cols>
    <col min="1" max="1" width="44.7109375" style="84" customWidth="1"/>
    <col min="2" max="2" width="14.28515625" style="84" customWidth="1"/>
    <col min="3" max="3" width="12.140625" style="84" customWidth="1"/>
    <col min="4" max="16" width="9" style="84" customWidth="1"/>
    <col min="17" max="16384" width="9.140625" style="84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C2" s="783">
        <f>SUM(C14,C77,C85,C129,C174)</f>
        <v>0</v>
      </c>
    </row>
    <row r="3" spans="1:27" s="461" customFormat="1" x14ac:dyDescent="0.2">
      <c r="A3" s="460" t="s">
        <v>314</v>
      </c>
      <c r="B3" s="460"/>
      <c r="C3" s="460"/>
      <c r="D3" s="84"/>
      <c r="E3" s="84"/>
      <c r="F3" s="84"/>
      <c r="G3" s="84"/>
    </row>
    <row r="4" spans="1:27" s="461" customFormat="1" x14ac:dyDescent="0.2">
      <c r="A4" s="409" t="s">
        <v>289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">
      <c r="A5" s="73" t="s">
        <v>315</v>
      </c>
      <c r="B5" s="73"/>
      <c r="C5" s="73"/>
      <c r="D5" s="82">
        <f>D82+D126</f>
        <v>35558.60899050966</v>
      </c>
      <c r="E5" s="82">
        <f>D10</f>
        <v>62524.811426724715</v>
      </c>
      <c r="F5" s="82">
        <f>E10</f>
        <v>127662.51647339763</v>
      </c>
      <c r="G5" s="82">
        <f t="shared" ref="G5:W5" si="1">F10</f>
        <v>202338.86485843119</v>
      </c>
      <c r="H5" s="82">
        <f t="shared" si="1"/>
        <v>288058.74555345753</v>
      </c>
      <c r="I5" s="82">
        <f t="shared" si="1"/>
        <v>344889.64964206854</v>
      </c>
      <c r="J5" s="82">
        <f t="shared" si="1"/>
        <v>350142.72218954511</v>
      </c>
      <c r="K5" s="82">
        <f t="shared" si="1"/>
        <v>311581.63191845111</v>
      </c>
      <c r="L5" s="82">
        <f t="shared" si="1"/>
        <v>267047.84097616031</v>
      </c>
      <c r="M5" s="82">
        <f t="shared" si="1"/>
        <v>227571.8858686426</v>
      </c>
      <c r="N5" s="82">
        <f t="shared" si="1"/>
        <v>193397.5579301035</v>
      </c>
      <c r="O5" s="82">
        <f t="shared" si="1"/>
        <v>164451.85965362302</v>
      </c>
      <c r="P5" s="82">
        <f t="shared" si="1"/>
        <v>140354.8024795246</v>
      </c>
      <c r="Q5" s="82">
        <f t="shared" si="1"/>
        <v>118586.45497652565</v>
      </c>
      <c r="R5" s="82">
        <f t="shared" si="1"/>
        <v>97558.309569053628</v>
      </c>
      <c r="S5" s="82">
        <f t="shared" si="1"/>
        <v>76666.013000469189</v>
      </c>
      <c r="T5" s="82">
        <f t="shared" si="1"/>
        <v>55812.377439116775</v>
      </c>
      <c r="U5" s="82">
        <f t="shared" si="1"/>
        <v>35928.426566830152</v>
      </c>
      <c r="V5" s="82">
        <f t="shared" si="1"/>
        <v>19423.686681628307</v>
      </c>
      <c r="W5" s="82">
        <f t="shared" si="1"/>
        <v>8037.5302483213018</v>
      </c>
      <c r="X5" s="82">
        <f>W10</f>
        <v>2052.3977087473859</v>
      </c>
      <c r="Y5" s="82">
        <f>X10</f>
        <v>212.57265625252535</v>
      </c>
      <c r="Z5" s="82">
        <f>Y10</f>
        <v>-4.3428372009657323E-11</v>
      </c>
      <c r="AA5" s="82">
        <f>Z10</f>
        <v>-4.3428372009657323E-11</v>
      </c>
    </row>
    <row r="6" spans="1:27" s="461" customFormat="1" x14ac:dyDescent="0.2">
      <c r="A6" s="73" t="s">
        <v>316</v>
      </c>
      <c r="B6" s="73"/>
      <c r="C6" s="73"/>
      <c r="D6" s="82">
        <f>'Data 2009-15 (Real $2008)'!D16/10^3</f>
        <v>36762.546886406148</v>
      </c>
      <c r="E6" s="82">
        <f>'Data 2009-15 (Real $2008)'!E16/10^3</f>
        <v>83578.328159850847</v>
      </c>
      <c r="F6" s="82">
        <f>'Data 2009-15 (Real $2008)'!F16/10^3</f>
        <v>103135.24279429039</v>
      </c>
      <c r="G6" s="82">
        <f>'Data 2009-15 (Real $2008)'!G16/10^3</f>
        <v>124509.31198456895</v>
      </c>
      <c r="H6" s="82">
        <f>'Data 2009-15 (Real $2008)'!H16/10^3</f>
        <v>106059.82221512143</v>
      </c>
      <c r="I6" s="82">
        <f>'Data 2009-15 (Real $2008)'!I16/10^3</f>
        <v>50901.33779264216</v>
      </c>
      <c r="J6" s="82">
        <f>'Data 2009-15 (Real $2008)'!J16/10^3</f>
        <v>8279.0634320032132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">
      <c r="A9" s="73" t="s">
        <v>137</v>
      </c>
      <c r="B9" s="73"/>
      <c r="C9" s="73"/>
      <c r="D9" s="82">
        <f>SUM(D83,D127,D172)</f>
        <v>9796.3444501911017</v>
      </c>
      <c r="E9" s="82">
        <f t="shared" ref="E9:W9" si="2">SUM(E83,E127,E172)</f>
        <v>18440.623113177931</v>
      </c>
      <c r="F9" s="82">
        <f t="shared" si="2"/>
        <v>28458.894409256834</v>
      </c>
      <c r="G9" s="82">
        <f t="shared" si="2"/>
        <v>38789.431289542554</v>
      </c>
      <c r="H9" s="82">
        <f t="shared" si="2"/>
        <v>49228.918126510391</v>
      </c>
      <c r="I9" s="82">
        <f t="shared" si="2"/>
        <v>45648.265245165632</v>
      </c>
      <c r="J9" s="82">
        <f t="shared" si="2"/>
        <v>46840.153703097196</v>
      </c>
      <c r="K9" s="82">
        <f t="shared" si="2"/>
        <v>44533.79094229082</v>
      </c>
      <c r="L9" s="82">
        <f t="shared" si="2"/>
        <v>39475.955107517722</v>
      </c>
      <c r="M9" s="82">
        <f t="shared" si="2"/>
        <v>34174.327938539107</v>
      </c>
      <c r="N9" s="82">
        <f t="shared" si="2"/>
        <v>28945.698276480474</v>
      </c>
      <c r="O9" s="82">
        <f t="shared" si="2"/>
        <v>24097.057174098427</v>
      </c>
      <c r="P9" s="82">
        <f t="shared" si="2"/>
        <v>21768.347502998946</v>
      </c>
      <c r="Q9" s="82">
        <f t="shared" si="2"/>
        <v>21028.145407472024</v>
      </c>
      <c r="R9" s="82">
        <f t="shared" si="2"/>
        <v>20892.296568584447</v>
      </c>
      <c r="S9" s="82">
        <f t="shared" si="2"/>
        <v>20853.635561352414</v>
      </c>
      <c r="T9" s="82">
        <f t="shared" si="2"/>
        <v>19883.950872286619</v>
      </c>
      <c r="U9" s="82">
        <f t="shared" si="2"/>
        <v>16504.739885201845</v>
      </c>
      <c r="V9" s="82">
        <f t="shared" si="2"/>
        <v>11386.156433307005</v>
      </c>
      <c r="W9" s="82">
        <f t="shared" si="2"/>
        <v>5985.1325395739159</v>
      </c>
      <c r="X9" s="82">
        <f>SUM(X83,X127,X172)</f>
        <v>1839.8250524948605</v>
      </c>
      <c r="Y9" s="82">
        <f>SUM(Y83,Y127,Y172)</f>
        <v>212.57265625256878</v>
      </c>
      <c r="Z9" s="82">
        <f>SUM(Z83,Z127,Z172)</f>
        <v>0</v>
      </c>
      <c r="AA9" s="82">
        <f>SUM(AA83,AA127,AA172)</f>
        <v>0</v>
      </c>
    </row>
    <row r="10" spans="1:27" s="461" customFormat="1" x14ac:dyDescent="0.2">
      <c r="A10" s="73" t="s">
        <v>317</v>
      </c>
      <c r="B10" s="73"/>
      <c r="C10" s="73"/>
      <c r="D10" s="109">
        <f>D5+D6-SUM(D7:D9)</f>
        <v>62524.811426724715</v>
      </c>
      <c r="E10" s="109">
        <f>E5+E6-SUM(E7:E9)</f>
        <v>127662.51647339763</v>
      </c>
      <c r="F10" s="109">
        <f>F5+F6-SUM(F7:F9)</f>
        <v>202338.86485843119</v>
      </c>
      <c r="G10" s="109">
        <f t="shared" ref="G10:W10" si="3">G5+G6-SUM(G7:G9)</f>
        <v>288058.74555345753</v>
      </c>
      <c r="H10" s="109">
        <f t="shared" si="3"/>
        <v>344889.64964206854</v>
      </c>
      <c r="I10" s="109">
        <f t="shared" si="3"/>
        <v>350142.72218954511</v>
      </c>
      <c r="J10" s="109">
        <f t="shared" si="3"/>
        <v>311581.63191845111</v>
      </c>
      <c r="K10" s="109">
        <f t="shared" si="3"/>
        <v>267047.84097616031</v>
      </c>
      <c r="L10" s="109">
        <f t="shared" si="3"/>
        <v>227571.8858686426</v>
      </c>
      <c r="M10" s="109">
        <f t="shared" si="3"/>
        <v>193397.5579301035</v>
      </c>
      <c r="N10" s="109">
        <f t="shared" si="3"/>
        <v>164451.85965362302</v>
      </c>
      <c r="O10" s="109">
        <f t="shared" si="3"/>
        <v>140354.8024795246</v>
      </c>
      <c r="P10" s="109">
        <f t="shared" si="3"/>
        <v>118586.45497652565</v>
      </c>
      <c r="Q10" s="109">
        <f t="shared" si="3"/>
        <v>97558.309569053628</v>
      </c>
      <c r="R10" s="109">
        <f t="shared" si="3"/>
        <v>76666.013000469189</v>
      </c>
      <c r="S10" s="109">
        <f t="shared" si="3"/>
        <v>55812.377439116775</v>
      </c>
      <c r="T10" s="109">
        <f t="shared" si="3"/>
        <v>35928.426566830152</v>
      </c>
      <c r="U10" s="109">
        <f t="shared" si="3"/>
        <v>19423.686681628307</v>
      </c>
      <c r="V10" s="109">
        <f t="shared" si="3"/>
        <v>8037.5302483213018</v>
      </c>
      <c r="W10" s="109">
        <f t="shared" si="3"/>
        <v>2052.3977087473859</v>
      </c>
      <c r="X10" s="109">
        <f>X5+X6-SUM(X7:X9)</f>
        <v>212.57265625252535</v>
      </c>
      <c r="Y10" s="109">
        <f>Y5+Y6-SUM(Y7:Y9)</f>
        <v>-4.3428372009657323E-11</v>
      </c>
      <c r="Z10" s="109">
        <f>Z5+Z6-SUM(Z7:Z9)</f>
        <v>-4.3428372009657323E-11</v>
      </c>
      <c r="AA10" s="109">
        <f>AA5+AA6-SUM(AA7:AA9)</f>
        <v>-4.3428372009657323E-11</v>
      </c>
    </row>
    <row r="11" spans="1:27" s="461" customFormat="1" x14ac:dyDescent="0.2">
      <c r="A11" s="73"/>
      <c r="B11" s="73"/>
      <c r="C11" s="7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">
      <c r="A12" s="73" t="s">
        <v>318</v>
      </c>
      <c r="B12" s="73"/>
      <c r="C12" s="73"/>
      <c r="D12" s="82">
        <f>AVERAGE(D5,D10)</f>
        <v>49041.710208617187</v>
      </c>
      <c r="E12" s="82">
        <f>AVERAGE(E5,E10)</f>
        <v>95093.663950061164</v>
      </c>
      <c r="F12" s="82">
        <f>AVERAGE(F5,F10)</f>
        <v>165000.69066591442</v>
      </c>
      <c r="G12" s="82">
        <f t="shared" ref="G12:W12" si="4">AVERAGE(G5,G10)</f>
        <v>245198.80520594434</v>
      </c>
      <c r="H12" s="82">
        <f t="shared" si="4"/>
        <v>316474.19759776304</v>
      </c>
      <c r="I12" s="82">
        <f t="shared" si="4"/>
        <v>347516.1859158068</v>
      </c>
      <c r="J12" s="82">
        <f t="shared" si="4"/>
        <v>330862.17705399811</v>
      </c>
      <c r="K12" s="82">
        <f t="shared" si="4"/>
        <v>289314.73644730571</v>
      </c>
      <c r="L12" s="82">
        <f t="shared" si="4"/>
        <v>247309.86342240145</v>
      </c>
      <c r="M12" s="82">
        <f t="shared" si="4"/>
        <v>210484.72189937305</v>
      </c>
      <c r="N12" s="82">
        <f t="shared" si="4"/>
        <v>178924.70879186326</v>
      </c>
      <c r="O12" s="82">
        <f t="shared" si="4"/>
        <v>152403.3310665738</v>
      </c>
      <c r="P12" s="82">
        <f t="shared" si="4"/>
        <v>129470.62872802513</v>
      </c>
      <c r="Q12" s="82">
        <f t="shared" si="4"/>
        <v>108072.38227278963</v>
      </c>
      <c r="R12" s="82">
        <f t="shared" si="4"/>
        <v>87112.161284761416</v>
      </c>
      <c r="S12" s="82">
        <f t="shared" si="4"/>
        <v>66239.195219792979</v>
      </c>
      <c r="T12" s="82">
        <f t="shared" si="4"/>
        <v>45870.402002973467</v>
      </c>
      <c r="U12" s="82">
        <f t="shared" si="4"/>
        <v>27676.05662422923</v>
      </c>
      <c r="V12" s="82">
        <f t="shared" si="4"/>
        <v>13730.608464974805</v>
      </c>
      <c r="W12" s="82">
        <f t="shared" si="4"/>
        <v>5044.9639785343443</v>
      </c>
      <c r="X12" s="82">
        <f>AVERAGE(X5,X10)</f>
        <v>1132.4851824999555</v>
      </c>
      <c r="Y12" s="82">
        <f>AVERAGE(Y5,Y10)</f>
        <v>106.28632812624096</v>
      </c>
      <c r="Z12" s="82">
        <f>AVERAGE(Z5,Z10)</f>
        <v>-4.3428372009657323E-11</v>
      </c>
      <c r="AA12" s="82">
        <f>AVERAGE(AA5,AA10)</f>
        <v>-4.3428372009657323E-11</v>
      </c>
    </row>
    <row r="13" spans="1:27" s="461" customFormat="1" outlineLevel="1" x14ac:dyDescent="0.2">
      <c r="A13" s="462"/>
      <c r="B13" s="462"/>
      <c r="C13" s="462"/>
      <c r="D13" s="463"/>
      <c r="E13" s="463"/>
      <c r="F13" s="463"/>
    </row>
    <row r="14" spans="1:27" s="101" customFormat="1" outlineLevel="1" x14ac:dyDescent="0.2">
      <c r="A14" s="556" t="s">
        <v>0</v>
      </c>
      <c r="B14" s="559"/>
      <c r="C14" s="557">
        <f>SUM(D14:AA14)</f>
        <v>0</v>
      </c>
      <c r="D14" s="560">
        <f t="shared" ref="D14:W14" si="5">IF(ABS(D10-D84-D128-D173)&lt;0.001,0,ABS(D10-D84-D128-D173))</f>
        <v>0</v>
      </c>
      <c r="E14" s="560">
        <f t="shared" si="5"/>
        <v>0</v>
      </c>
      <c r="F14" s="560">
        <f t="shared" si="5"/>
        <v>0</v>
      </c>
      <c r="G14" s="560">
        <f t="shared" si="5"/>
        <v>0</v>
      </c>
      <c r="H14" s="560">
        <f t="shared" si="5"/>
        <v>0</v>
      </c>
      <c r="I14" s="560">
        <f t="shared" si="5"/>
        <v>0</v>
      </c>
      <c r="J14" s="560">
        <f t="shared" si="5"/>
        <v>0</v>
      </c>
      <c r="K14" s="560">
        <f t="shared" si="5"/>
        <v>0</v>
      </c>
      <c r="L14" s="560">
        <f t="shared" si="5"/>
        <v>0</v>
      </c>
      <c r="M14" s="560">
        <f t="shared" si="5"/>
        <v>0</v>
      </c>
      <c r="N14" s="560">
        <f t="shared" si="5"/>
        <v>0</v>
      </c>
      <c r="O14" s="560">
        <f t="shared" si="5"/>
        <v>0</v>
      </c>
      <c r="P14" s="560">
        <f t="shared" si="5"/>
        <v>0</v>
      </c>
      <c r="Q14" s="560">
        <f t="shared" si="5"/>
        <v>0</v>
      </c>
      <c r="R14" s="560">
        <f t="shared" si="5"/>
        <v>0</v>
      </c>
      <c r="S14" s="560">
        <f t="shared" si="5"/>
        <v>0</v>
      </c>
      <c r="T14" s="560">
        <f t="shared" si="5"/>
        <v>0</v>
      </c>
      <c r="U14" s="560">
        <f t="shared" si="5"/>
        <v>0</v>
      </c>
      <c r="V14" s="560">
        <f t="shared" si="5"/>
        <v>0</v>
      </c>
      <c r="W14" s="560">
        <f t="shared" si="5"/>
        <v>0</v>
      </c>
      <c r="X14" s="560">
        <f>IF(ABS(X10-X84-X128-X173)&lt;0.001,0,ABS(X10-X84-X128-X173))</f>
        <v>0</v>
      </c>
      <c r="Y14" s="560">
        <f>IF(ABS(Y10-Y84-Y128-Y173)&lt;0.001,0,ABS(Y10-Y84-Y128-Y173))</f>
        <v>0</v>
      </c>
      <c r="Z14" s="560">
        <f>IF(ABS(Z10-Z84-Z128-Z173)&lt;0.001,0,ABS(Z10-Z84-Z128-Z173))</f>
        <v>0</v>
      </c>
      <c r="AA14" s="560">
        <f>IF(ABS(AA10-AA84-AA128-AA173)&lt;0.001,0,ABS(AA10-AA84-AA128-AA173))</f>
        <v>0</v>
      </c>
    </row>
    <row r="15" spans="1:27" s="85" customFormat="1" outlineLevel="1" x14ac:dyDescent="0.2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">
      <c r="A18" s="346" t="s">
        <v>261</v>
      </c>
      <c r="B18" s="460"/>
      <c r="C18" s="460"/>
      <c r="D18" s="84"/>
      <c r="E18" s="84"/>
      <c r="F18" s="84"/>
      <c r="G18" s="84"/>
    </row>
    <row r="19" spans="1:27" s="461" customFormat="1" outlineLevel="1" x14ac:dyDescent="0.2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">
      <c r="A20" s="73" t="s">
        <v>315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">
      <c r="A21" s="73" t="s">
        <v>316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">
      <c r="A24" s="73" t="s">
        <v>137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">
      <c r="A25" s="73" t="s">
        <v>317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">
      <c r="A28" s="346" t="s">
        <v>260</v>
      </c>
      <c r="B28" s="460"/>
      <c r="C28" s="460"/>
      <c r="D28" s="84"/>
      <c r="E28" s="84"/>
      <c r="F28" s="84"/>
      <c r="G28" s="84"/>
    </row>
    <row r="29" spans="1:27" s="461" customFormat="1" outlineLevel="1" x14ac:dyDescent="0.2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">
      <c r="A30" s="73" t="s">
        <v>315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">
      <c r="A31" s="73" t="s">
        <v>316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">
      <c r="A34" s="73" t="s">
        <v>137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2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">
      <c r="A35" s="73" t="s">
        <v>317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">
      <c r="A40" s="73" t="s">
        <v>315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234719.0090902978</v>
      </c>
      <c r="J40" s="82">
        <f t="shared" si="15"/>
        <v>258106.92977389946</v>
      </c>
      <c r="K40" s="82">
        <f t="shared" si="15"/>
        <v>243804.38554914473</v>
      </c>
      <c r="L40" s="82">
        <f t="shared" si="15"/>
        <v>222912.08898056028</v>
      </c>
      <c r="M40" s="82">
        <f t="shared" si="15"/>
        <v>202019.79241197582</v>
      </c>
      <c r="N40" s="82">
        <f t="shared" si="15"/>
        <v>181127.49584339137</v>
      </c>
      <c r="O40" s="82">
        <f t="shared" si="15"/>
        <v>160235.19927480692</v>
      </c>
      <c r="P40" s="82">
        <f t="shared" si="15"/>
        <v>139342.90270622246</v>
      </c>
      <c r="Q40" s="82">
        <f t="shared" si="15"/>
        <v>118450.60613763801</v>
      </c>
      <c r="R40" s="82">
        <f t="shared" si="15"/>
        <v>97558.309569053556</v>
      </c>
      <c r="S40" s="82">
        <f t="shared" si="15"/>
        <v>76666.013000469102</v>
      </c>
      <c r="T40" s="82">
        <f t="shared" si="15"/>
        <v>55812.377439116688</v>
      </c>
      <c r="U40" s="82">
        <f t="shared" si="15"/>
        <v>35928.426566830065</v>
      </c>
      <c r="V40" s="82">
        <f t="shared" si="15"/>
        <v>19423.68668162822</v>
      </c>
      <c r="W40" s="82">
        <f t="shared" si="15"/>
        <v>8037.5302483212145</v>
      </c>
      <c r="X40" s="82">
        <f>W45</f>
        <v>2052.3977087472986</v>
      </c>
      <c r="Y40" s="82">
        <f>X45</f>
        <v>212.57265625243804</v>
      </c>
      <c r="Z40" s="82">
        <f>Y45</f>
        <v>-1.3073986337985843E-10</v>
      </c>
      <c r="AA40" s="82">
        <f>Z45</f>
        <v>-1.3073986337985843E-10</v>
      </c>
    </row>
    <row r="41" spans="1:27" s="461" customFormat="1" outlineLevel="1" x14ac:dyDescent="0.2">
      <c r="A41" s="73" t="s">
        <v>316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81918.832412679607</v>
      </c>
      <c r="I41" s="82">
        <f>'Data 2009-15 (Real $2008)'!I12/10^3</f>
        <v>42440.392199691283</v>
      </c>
      <c r="J41" s="82">
        <f>'Data 2009-15 (Real $2008)'!J12/10^3</f>
        <v>6377.1796875771279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">
      <c r="A44" s="73" t="s">
        <v>137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2">
        <f t="shared" si="16"/>
        <v>14907.164029010566</v>
      </c>
      <c r="I44" s="82">
        <f t="shared" si="16"/>
        <v>19052.471516089594</v>
      </c>
      <c r="J44" s="82">
        <f t="shared" si="16"/>
        <v>20679.723912331876</v>
      </c>
      <c r="K44" s="82">
        <f t="shared" si="16"/>
        <v>20892.296568584447</v>
      </c>
      <c r="L44" s="82">
        <f t="shared" si="16"/>
        <v>20892.296568584447</v>
      </c>
      <c r="M44" s="82">
        <f t="shared" si="16"/>
        <v>20892.296568584447</v>
      </c>
      <c r="N44" s="82">
        <f t="shared" si="16"/>
        <v>20892.296568584447</v>
      </c>
      <c r="O44" s="82">
        <f t="shared" si="16"/>
        <v>20892.296568584447</v>
      </c>
      <c r="P44" s="82">
        <f t="shared" si="16"/>
        <v>20892.296568584447</v>
      </c>
      <c r="Q44" s="82">
        <f t="shared" si="16"/>
        <v>20892.296568584447</v>
      </c>
      <c r="R44" s="82">
        <f t="shared" si="16"/>
        <v>20892.296568584447</v>
      </c>
      <c r="S44" s="82">
        <f t="shared" si="16"/>
        <v>20853.635561352414</v>
      </c>
      <c r="T44" s="82">
        <f t="shared" si="16"/>
        <v>19883.950872286619</v>
      </c>
      <c r="U44" s="82">
        <f t="shared" si="16"/>
        <v>16504.739885201845</v>
      </c>
      <c r="V44" s="82">
        <f t="shared" si="16"/>
        <v>11386.156433307005</v>
      </c>
      <c r="W44" s="82">
        <f t="shared" si="16"/>
        <v>5985.1325395739159</v>
      </c>
      <c r="X44" s="82">
        <f>X136+X222</f>
        <v>1839.8250524948605</v>
      </c>
      <c r="Y44" s="82">
        <f>Y136+Y222</f>
        <v>212.57265625256878</v>
      </c>
      <c r="Z44" s="82">
        <f>Z136+Z222</f>
        <v>0</v>
      </c>
      <c r="AA44" s="82">
        <f>AA136+AA222</f>
        <v>0</v>
      </c>
    </row>
    <row r="45" spans="1:27" s="461" customFormat="1" outlineLevel="1" x14ac:dyDescent="0.2">
      <c r="A45" s="73" t="s">
        <v>317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234719.0090902978</v>
      </c>
      <c r="I45" s="109">
        <f t="shared" si="17"/>
        <v>258106.92977389946</v>
      </c>
      <c r="J45" s="109">
        <f t="shared" si="17"/>
        <v>243804.38554914473</v>
      </c>
      <c r="K45" s="109">
        <f t="shared" si="17"/>
        <v>222912.08898056028</v>
      </c>
      <c r="L45" s="109">
        <f t="shared" si="17"/>
        <v>202019.79241197582</v>
      </c>
      <c r="M45" s="109">
        <f t="shared" si="17"/>
        <v>181127.49584339137</v>
      </c>
      <c r="N45" s="109">
        <f t="shared" si="17"/>
        <v>160235.19927480692</v>
      </c>
      <c r="O45" s="109">
        <f t="shared" si="17"/>
        <v>139342.90270622246</v>
      </c>
      <c r="P45" s="109">
        <f t="shared" si="17"/>
        <v>118450.60613763801</v>
      </c>
      <c r="Q45" s="109">
        <f t="shared" si="17"/>
        <v>97558.309569053556</v>
      </c>
      <c r="R45" s="109">
        <f t="shared" si="17"/>
        <v>76666.013000469102</v>
      </c>
      <c r="S45" s="109">
        <f t="shared" si="17"/>
        <v>55812.377439116688</v>
      </c>
      <c r="T45" s="109">
        <f t="shared" si="17"/>
        <v>35928.426566830065</v>
      </c>
      <c r="U45" s="109">
        <f t="shared" si="17"/>
        <v>19423.68668162822</v>
      </c>
      <c r="V45" s="109">
        <f t="shared" si="17"/>
        <v>8037.5302483212145</v>
      </c>
      <c r="W45" s="109">
        <f t="shared" si="17"/>
        <v>2052.3977087472986</v>
      </c>
      <c r="X45" s="109">
        <f>X40+X41-SUM(X42:X44)</f>
        <v>212.57265625243804</v>
      </c>
      <c r="Y45" s="109">
        <f>Y40+Y41-SUM(Y42:Y44)</f>
        <v>-1.3073986337985843E-10</v>
      </c>
      <c r="Z45" s="109">
        <f>Z40+Z41-SUM(Z42:Z44)</f>
        <v>-1.3073986337985843E-10</v>
      </c>
      <c r="AA45" s="109">
        <f>AA40+AA41-SUM(AA42:AA44)</f>
        <v>-1.3073986337985843E-10</v>
      </c>
    </row>
    <row r="46" spans="1:27" s="85" customFormat="1" outlineLevel="1" x14ac:dyDescent="0.2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">
      <c r="A48" s="346" t="s">
        <v>277</v>
      </c>
      <c r="B48" s="460"/>
      <c r="C48" s="460"/>
      <c r="D48" s="84"/>
      <c r="E48" s="84"/>
      <c r="F48" s="84"/>
      <c r="G48" s="84"/>
    </row>
    <row r="49" spans="1:27" s="461" customFormat="1" outlineLevel="1" x14ac:dyDescent="0.2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">
      <c r="A50" s="73" t="s">
        <v>315</v>
      </c>
      <c r="B50" s="73"/>
      <c r="C50" s="73"/>
      <c r="D50" s="82">
        <f>B108+B144</f>
        <v>15865.005731412783</v>
      </c>
      <c r="E50" s="82">
        <f>D55</f>
        <v>36400.05692326343</v>
      </c>
      <c r="F50" s="82">
        <f t="shared" ref="F50:W50" si="19">E55</f>
        <v>63849.236443883616</v>
      </c>
      <c r="G50" s="82">
        <f t="shared" si="19"/>
        <v>72147.701351021067</v>
      </c>
      <c r="H50" s="82">
        <f t="shared" si="19"/>
        <v>78141.768325708763</v>
      </c>
      <c r="I50" s="82">
        <f t="shared" si="19"/>
        <v>68084.333376816809</v>
      </c>
      <c r="J50" s="82">
        <f t="shared" si="19"/>
        <v>57884.771077899306</v>
      </c>
      <c r="K50" s="82">
        <f t="shared" si="19"/>
        <v>41561.510868767728</v>
      </c>
      <c r="L50" s="82">
        <f t="shared" si="19"/>
        <v>25794.845516621644</v>
      </c>
      <c r="M50" s="82">
        <f t="shared" si="19"/>
        <v>14437.167811299993</v>
      </c>
      <c r="N50" s="82">
        <f t="shared" si="19"/>
        <v>7207.0548263668006</v>
      </c>
      <c r="O50" s="82">
        <f t="shared" si="19"/>
        <v>3051.7185758265905</v>
      </c>
      <c r="P50" s="82">
        <f t="shared" si="19"/>
        <v>1011.8997733021095</v>
      </c>
      <c r="Q50" s="82">
        <f t="shared" si="19"/>
        <v>135.84883888760851</v>
      </c>
      <c r="R50" s="82">
        <f t="shared" si="19"/>
        <v>3.0695446184836328E-11</v>
      </c>
      <c r="S50" s="82">
        <f t="shared" si="19"/>
        <v>3.0695446184836328E-11</v>
      </c>
      <c r="T50" s="82">
        <f t="shared" si="19"/>
        <v>3.0695446184836328E-11</v>
      </c>
      <c r="U50" s="82">
        <f t="shared" si="19"/>
        <v>3.0695446184836328E-11</v>
      </c>
      <c r="V50" s="82">
        <f t="shared" si="19"/>
        <v>3.0695446184836328E-11</v>
      </c>
      <c r="W50" s="82">
        <f t="shared" si="19"/>
        <v>3.0695446184836328E-11</v>
      </c>
      <c r="X50" s="82">
        <f>W55</f>
        <v>3.0695446184836328E-11</v>
      </c>
      <c r="Y50" s="82">
        <f>X55</f>
        <v>3.0695446184836328E-11</v>
      </c>
      <c r="Z50" s="82">
        <f>Y55</f>
        <v>3.0695446184836328E-11</v>
      </c>
      <c r="AA50" s="82">
        <f>Z55</f>
        <v>3.0695446184836328E-11</v>
      </c>
    </row>
    <row r="51" spans="1:27" s="461" customFormat="1" outlineLevel="1" x14ac:dyDescent="0.2">
      <c r="A51" s="73" t="s">
        <v>316</v>
      </c>
      <c r="B51" s="73"/>
      <c r="C51" s="73"/>
      <c r="D51" s="82">
        <f>'Data 2009-15 (Real $2008)'!D13/10^3</f>
        <v>25201.355539974094</v>
      </c>
      <c r="E51" s="82">
        <f>'Data 2009-15 (Real $2008)'!E13/10^3</f>
        <v>36524.471515568075</v>
      </c>
      <c r="F51" s="82">
        <f>'Data 2009-15 (Real $2008)'!F13/10^3</f>
        <v>21261.434569870315</v>
      </c>
      <c r="G51" s="82">
        <f>'Data 2009-15 (Real $2008)'!G13/10^3</f>
        <v>21785.439711631407</v>
      </c>
      <c r="H51" s="82">
        <f>'Data 2009-15 (Real $2008)'!H13/10^3</f>
        <v>7831.8045605887964</v>
      </c>
      <c r="I51" s="82">
        <f>'Data 2009-15 (Real $2008)'!I13/10^3</f>
        <v>8460.9455929508786</v>
      </c>
      <c r="J51" s="82">
        <f>'Data 2009-15 (Real $2008)'!J13/10^3</f>
        <v>1901.8837444260851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">
      <c r="A54" s="73" t="s">
        <v>137</v>
      </c>
      <c r="B54" s="73"/>
      <c r="C54" s="73"/>
      <c r="D54" s="82">
        <f>D108+D144+D234</f>
        <v>4666.304348123449</v>
      </c>
      <c r="E54" s="82">
        <f t="shared" ref="E54:W54" si="20">E108+E144+E234</f>
        <v>9075.2919949478892</v>
      </c>
      <c r="F54" s="82">
        <f t="shared" si="20"/>
        <v>12962.969662732874</v>
      </c>
      <c r="G54" s="82">
        <f t="shared" si="20"/>
        <v>15791.372736943706</v>
      </c>
      <c r="H54" s="82">
        <f t="shared" si="20"/>
        <v>17889.239509480758</v>
      </c>
      <c r="I54" s="82">
        <f t="shared" si="20"/>
        <v>18660.507891868387</v>
      </c>
      <c r="J54" s="82">
        <f t="shared" si="20"/>
        <v>18225.143953557668</v>
      </c>
      <c r="K54" s="82">
        <f t="shared" si="20"/>
        <v>15766.665352146083</v>
      </c>
      <c r="L54" s="82">
        <f t="shared" si="20"/>
        <v>11357.677705321652</v>
      </c>
      <c r="M54" s="82">
        <f t="shared" si="20"/>
        <v>7230.1129849331919</v>
      </c>
      <c r="N54" s="82">
        <f t="shared" si="20"/>
        <v>4155.3362505402101</v>
      </c>
      <c r="O54" s="82">
        <f t="shared" si="20"/>
        <v>2039.818802524481</v>
      </c>
      <c r="P54" s="82">
        <f t="shared" si="20"/>
        <v>876.05093441450094</v>
      </c>
      <c r="Q54" s="82">
        <f t="shared" si="20"/>
        <v>135.84883888757781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">
      <c r="A55" s="73" t="s">
        <v>317</v>
      </c>
      <c r="B55" s="73"/>
      <c r="C55" s="73"/>
      <c r="D55" s="109">
        <f t="shared" ref="D55:W55" si="21">D50+D51-SUM(D52:D54)</f>
        <v>36400.05692326343</v>
      </c>
      <c r="E55" s="109">
        <f t="shared" si="21"/>
        <v>63849.236443883616</v>
      </c>
      <c r="F55" s="109">
        <f t="shared" si="21"/>
        <v>72147.701351021067</v>
      </c>
      <c r="G55" s="109">
        <f t="shared" si="21"/>
        <v>78141.768325708763</v>
      </c>
      <c r="H55" s="109">
        <f t="shared" si="21"/>
        <v>68084.333376816809</v>
      </c>
      <c r="I55" s="109">
        <f t="shared" si="21"/>
        <v>57884.771077899306</v>
      </c>
      <c r="J55" s="109">
        <f t="shared" si="21"/>
        <v>41561.510868767728</v>
      </c>
      <c r="K55" s="109">
        <f t="shared" si="21"/>
        <v>25794.845516621644</v>
      </c>
      <c r="L55" s="109">
        <f t="shared" si="21"/>
        <v>14437.167811299993</v>
      </c>
      <c r="M55" s="109">
        <f t="shared" si="21"/>
        <v>7207.0548263668006</v>
      </c>
      <c r="N55" s="109">
        <f t="shared" si="21"/>
        <v>3051.7185758265905</v>
      </c>
      <c r="O55" s="109">
        <f t="shared" si="21"/>
        <v>1011.8997733021095</v>
      </c>
      <c r="P55" s="109">
        <f t="shared" si="21"/>
        <v>135.84883888760851</v>
      </c>
      <c r="Q55" s="109">
        <f t="shared" si="21"/>
        <v>3.0695446184836328E-11</v>
      </c>
      <c r="R55" s="109">
        <f t="shared" si="21"/>
        <v>3.0695446184836328E-11</v>
      </c>
      <c r="S55" s="109">
        <f t="shared" si="21"/>
        <v>3.0695446184836328E-11</v>
      </c>
      <c r="T55" s="109">
        <f t="shared" si="21"/>
        <v>3.0695446184836328E-11</v>
      </c>
      <c r="U55" s="109">
        <f t="shared" si="21"/>
        <v>3.0695446184836328E-11</v>
      </c>
      <c r="V55" s="109">
        <f t="shared" si="21"/>
        <v>3.0695446184836328E-11</v>
      </c>
      <c r="W55" s="109">
        <f t="shared" si="21"/>
        <v>3.0695446184836328E-11</v>
      </c>
      <c r="X55" s="109">
        <f>X50+X51-SUM(X52:X54)</f>
        <v>3.0695446184836328E-11</v>
      </c>
      <c r="Y55" s="109">
        <f>Y50+Y51-SUM(Y52:Y54)</f>
        <v>3.0695446184836328E-11</v>
      </c>
      <c r="Z55" s="109">
        <f>Z50+Z51-SUM(Z52:Z54)</f>
        <v>3.0695446184836328E-11</v>
      </c>
      <c r="AA55" s="109">
        <f>AA50+AA51-SUM(AA52:AA54)</f>
        <v>3.0695446184836328E-11</v>
      </c>
    </row>
    <row r="56" spans="1:27" s="85" customFormat="1" outlineLevel="1" x14ac:dyDescent="0.2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">
      <c r="A58" s="346" t="s">
        <v>279</v>
      </c>
      <c r="B58" s="460"/>
      <c r="C58" s="460"/>
      <c r="D58" s="84"/>
      <c r="E58" s="84"/>
      <c r="F58" s="84"/>
      <c r="G58" s="84"/>
    </row>
    <row r="59" spans="1:27" s="461" customFormat="1" outlineLevel="1" x14ac:dyDescent="0.2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">
      <c r="A60" s="73" t="s">
        <v>315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42086.30717495401</v>
      </c>
      <c r="J60" s="82">
        <f t="shared" si="23"/>
        <v>34151.021337746359</v>
      </c>
      <c r="K60" s="82">
        <f t="shared" si="23"/>
        <v>26215.735500538703</v>
      </c>
      <c r="L60" s="82">
        <f t="shared" si="23"/>
        <v>18340.90647897841</v>
      </c>
      <c r="M60" s="82">
        <f t="shared" si="23"/>
        <v>11114.925645366782</v>
      </c>
      <c r="N60" s="82">
        <f t="shared" si="23"/>
        <v>5063.00726034531</v>
      </c>
      <c r="O60" s="82">
        <f t="shared" si="23"/>
        <v>1164.9418029894941</v>
      </c>
      <c r="P60" s="82">
        <f t="shared" si="23"/>
        <v>-4.5474735088646412E-12</v>
      </c>
      <c r="Q60" s="82">
        <f t="shared" si="23"/>
        <v>-4.5474735088646412E-12</v>
      </c>
      <c r="R60" s="82">
        <f t="shared" si="23"/>
        <v>-4.5474735088646412E-12</v>
      </c>
      <c r="S60" s="82">
        <f t="shared" si="23"/>
        <v>-4.5474735088646412E-12</v>
      </c>
      <c r="T60" s="82">
        <f t="shared" si="23"/>
        <v>-4.5474735088646412E-12</v>
      </c>
      <c r="U60" s="82">
        <f t="shared" si="23"/>
        <v>-4.5474735088646412E-12</v>
      </c>
      <c r="V60" s="82">
        <f t="shared" si="23"/>
        <v>-4.5474735088646412E-12</v>
      </c>
      <c r="W60" s="82">
        <f t="shared" si="23"/>
        <v>-4.5474735088646412E-12</v>
      </c>
      <c r="X60" s="82">
        <f>W65</f>
        <v>-4.5474735088646412E-12</v>
      </c>
      <c r="Y60" s="82">
        <f>X65</f>
        <v>-4.5474735088646412E-12</v>
      </c>
      <c r="Z60" s="82">
        <f>Y65</f>
        <v>-4.5474735088646412E-12</v>
      </c>
      <c r="AA60" s="82">
        <f>Z65</f>
        <v>-4.5474735088646412E-12</v>
      </c>
    </row>
    <row r="61" spans="1:27" s="461" customFormat="1" outlineLevel="1" x14ac:dyDescent="0.2">
      <c r="A61" s="73" t="s">
        <v>316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2">
        <f>'Data 2009-15 (Real $2008)'!G14/10^3</f>
        <v>21954.545919275366</v>
      </c>
      <c r="H61" s="82">
        <f>'Data 2009-15 (Real $2008)'!H14/10^3</f>
        <v>16309.185241853025</v>
      </c>
      <c r="I61" s="82">
        <f>'Data 2009-15 (Real $2008)'!I14/10^3</f>
        <v>0</v>
      </c>
      <c r="J61" s="82">
        <f>'Data 2009-15 (Real $2008)'!J14/10^3</f>
        <v>0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">
      <c r="A64" s="73" t="s">
        <v>137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6770.344034218153</v>
      </c>
      <c r="I64" s="82">
        <f t="shared" si="24"/>
        <v>7935.2858372076544</v>
      </c>
      <c r="J64" s="82">
        <f t="shared" si="24"/>
        <v>7935.2858372076544</v>
      </c>
      <c r="K64" s="82">
        <f t="shared" si="24"/>
        <v>7874.8290215602929</v>
      </c>
      <c r="L64" s="82">
        <f t="shared" si="24"/>
        <v>7225.9808336116275</v>
      </c>
      <c r="M64" s="82">
        <f t="shared" si="24"/>
        <v>6051.9183850214722</v>
      </c>
      <c r="N64" s="82">
        <f t="shared" si="24"/>
        <v>3898.0654573558159</v>
      </c>
      <c r="O64" s="82">
        <f t="shared" si="24"/>
        <v>1164.9418029894987</v>
      </c>
      <c r="P64" s="82">
        <f t="shared" si="24"/>
        <v>0</v>
      </c>
      <c r="Q64" s="82">
        <f t="shared" si="24"/>
        <v>0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">
      <c r="A65" s="73" t="s">
        <v>317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42086.30717495401</v>
      </c>
      <c r="I65" s="109">
        <f t="shared" si="25"/>
        <v>34151.021337746359</v>
      </c>
      <c r="J65" s="109">
        <f t="shared" si="25"/>
        <v>26215.735500538703</v>
      </c>
      <c r="K65" s="109">
        <f t="shared" si="25"/>
        <v>18340.90647897841</v>
      </c>
      <c r="L65" s="109">
        <f t="shared" si="25"/>
        <v>11114.925645366782</v>
      </c>
      <c r="M65" s="109">
        <f t="shared" si="25"/>
        <v>5063.00726034531</v>
      </c>
      <c r="N65" s="109">
        <f t="shared" si="25"/>
        <v>1164.9418029894941</v>
      </c>
      <c r="O65" s="109">
        <f t="shared" si="25"/>
        <v>-4.5474735088646412E-12</v>
      </c>
      <c r="P65" s="109">
        <f t="shared" si="25"/>
        <v>-4.5474735088646412E-12</v>
      </c>
      <c r="Q65" s="109">
        <f t="shared" si="25"/>
        <v>-4.5474735088646412E-12</v>
      </c>
      <c r="R65" s="109">
        <f t="shared" si="25"/>
        <v>-4.5474735088646412E-12</v>
      </c>
      <c r="S65" s="109">
        <f t="shared" si="25"/>
        <v>-4.5474735088646412E-12</v>
      </c>
      <c r="T65" s="109">
        <f t="shared" si="25"/>
        <v>-4.5474735088646412E-12</v>
      </c>
      <c r="U65" s="109">
        <f t="shared" si="25"/>
        <v>-4.5474735088646412E-12</v>
      </c>
      <c r="V65" s="109">
        <f t="shared" si="25"/>
        <v>-4.5474735088646412E-12</v>
      </c>
      <c r="W65" s="109">
        <f t="shared" si="25"/>
        <v>-4.5474735088646412E-12</v>
      </c>
      <c r="X65" s="109">
        <f>X60+X61-SUM(X62:X64)</f>
        <v>-4.5474735088646412E-12</v>
      </c>
      <c r="Y65" s="109">
        <f>Y60+Y61-SUM(Y62:Y64)</f>
        <v>-4.5474735088646412E-12</v>
      </c>
      <c r="Z65" s="109">
        <f>Z60+Z61-SUM(Z62:Z64)</f>
        <v>-4.5474735088646412E-12</v>
      </c>
      <c r="AA65" s="109">
        <f>AA60+AA61-SUM(AA62:AA64)</f>
        <v>-4.5474735088646412E-12</v>
      </c>
    </row>
    <row r="66" spans="1:27" s="85" customFormat="1" outlineLevel="1" x14ac:dyDescent="0.2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">
      <c r="A68" s="346" t="s">
        <v>278</v>
      </c>
      <c r="B68" s="460"/>
      <c r="C68" s="460"/>
      <c r="D68" s="84"/>
      <c r="E68" s="84"/>
      <c r="F68" s="84"/>
      <c r="G68" s="84"/>
    </row>
    <row r="69" spans="1:27" s="461" customFormat="1" outlineLevel="1" x14ac:dyDescent="0.2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">
      <c r="A70" s="73" t="s">
        <v>315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">
      <c r="A71" s="73" t="s">
        <v>316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">
      <c r="A74" s="73" t="s">
        <v>137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">
      <c r="A75" s="73" t="s">
        <v>317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">
      <c r="A77" s="556" t="s">
        <v>0</v>
      </c>
      <c r="B77" s="559"/>
      <c r="C77" s="557">
        <f>SUM(D77:AA77)</f>
        <v>0</v>
      </c>
      <c r="D77" s="560">
        <f>IF(ABS(D10-D25-D35-D45-D55-D65-D75)&lt;0.001,0,ABS(D10-D25-D35-D45-D55-D65-D75))</f>
        <v>0</v>
      </c>
      <c r="E77" s="560">
        <f t="shared" ref="E77:W77" si="30">IF(ABS(E10-E25-E35-E45-E55-E65-E75)&lt;0.001,0,ABS(E10-E25-E35-E45-E55-E65-E75))</f>
        <v>0</v>
      </c>
      <c r="F77" s="560">
        <f t="shared" si="30"/>
        <v>0</v>
      </c>
      <c r="G77" s="560">
        <f t="shared" si="30"/>
        <v>0</v>
      </c>
      <c r="H77" s="560">
        <f t="shared" si="30"/>
        <v>0</v>
      </c>
      <c r="I77" s="560">
        <f t="shared" si="30"/>
        <v>0</v>
      </c>
      <c r="J77" s="560">
        <f t="shared" si="30"/>
        <v>0</v>
      </c>
      <c r="K77" s="560">
        <f t="shared" si="30"/>
        <v>0</v>
      </c>
      <c r="L77" s="560">
        <f t="shared" si="30"/>
        <v>0</v>
      </c>
      <c r="M77" s="560">
        <f t="shared" si="30"/>
        <v>0</v>
      </c>
      <c r="N77" s="560">
        <f t="shared" si="30"/>
        <v>0</v>
      </c>
      <c r="O77" s="560">
        <f t="shared" si="30"/>
        <v>0</v>
      </c>
      <c r="P77" s="560">
        <f t="shared" si="30"/>
        <v>0</v>
      </c>
      <c r="Q77" s="560">
        <f t="shared" si="30"/>
        <v>0</v>
      </c>
      <c r="R77" s="560">
        <f t="shared" si="30"/>
        <v>0</v>
      </c>
      <c r="S77" s="560">
        <f t="shared" si="30"/>
        <v>0</v>
      </c>
      <c r="T77" s="560">
        <f t="shared" si="30"/>
        <v>0</v>
      </c>
      <c r="U77" s="560">
        <f t="shared" si="30"/>
        <v>0</v>
      </c>
      <c r="V77" s="560">
        <f t="shared" si="30"/>
        <v>0</v>
      </c>
      <c r="W77" s="560">
        <f t="shared" si="30"/>
        <v>0</v>
      </c>
      <c r="X77" s="560">
        <f>IF(ABS(X10-X25-X35-X45-X55-X65-X75)&lt;0.001,0,ABS(X10-X25-X35-X45-X55-X65-X75))</f>
        <v>0</v>
      </c>
      <c r="Y77" s="560">
        <f>IF(ABS(Y10-Y25-Y35-Y45-Y55-Y65-Y75)&lt;0.001,0,ABS(Y10-Y25-Y35-Y45-Y55-Y65-Y75))</f>
        <v>0</v>
      </c>
      <c r="Z77" s="560">
        <f>IF(ABS(Z10-Z25-Z35-Z45-Z55-Z65-Z75)&lt;0.001,0,ABS(Z10-Z25-Z35-Z45-Z55-Z65-Z75))</f>
        <v>0</v>
      </c>
      <c r="AA77" s="560">
        <f>IF(ABS(AA10-AA25-AA35-AA45-AA55-AA65-AA75)&lt;0.001,0,ABS(AA10-AA25-AA35-AA45-AA55-AA65-AA75))</f>
        <v>0</v>
      </c>
    </row>
    <row r="78" spans="1:27" s="85" customFormat="1" x14ac:dyDescent="0.2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">
      <c r="A79" s="464" t="s">
        <v>328</v>
      </c>
      <c r="B79" s="464"/>
      <c r="C79" s="464"/>
      <c r="G79" s="60"/>
    </row>
    <row r="80" spans="1:27" x14ac:dyDescent="0.2">
      <c r="A80" s="346" t="str">
        <f>$A$4</f>
        <v>($000 Real 2008)</v>
      </c>
      <c r="B80" s="464"/>
      <c r="C80" s="464"/>
      <c r="G80" s="60"/>
    </row>
    <row r="81" spans="1:27" x14ac:dyDescent="0.2">
      <c r="A81" s="101" t="s">
        <v>324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">
      <c r="A82" s="73" t="s">
        <v>171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">
      <c r="A83" s="84" t="s">
        <v>137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87">
        <f t="shared" si="33"/>
        <v>3939.3315848980924</v>
      </c>
      <c r="H83" s="87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5" thickBot="1" x14ac:dyDescent="0.25">
      <c r="A84" s="73" t="s">
        <v>173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5" outlineLevel="1" thickTop="1" x14ac:dyDescent="0.2">
      <c r="A85" s="556" t="s">
        <v>0</v>
      </c>
      <c r="B85" s="484"/>
      <c r="C85" s="557">
        <f>SUM(D85:E85)</f>
        <v>0</v>
      </c>
      <c r="D85" s="558">
        <f>IF(ABS(D82-SUM(D83:AA83))&lt;0.001,0,ABS(D82-SUM(D83:AA83)))</f>
        <v>0</v>
      </c>
      <c r="E85" s="558">
        <f>IF(ABS(D82-'Offset of Costs and Rev 2006-08'!F183)&lt;0.001,0,ABS(D82-'Offset of Costs and Rev 2006-08'!F183))</f>
        <v>0</v>
      </c>
      <c r="G85" s="60"/>
    </row>
    <row r="86" spans="1:27" outlineLevel="1" x14ac:dyDescent="0.2"/>
    <row r="87" spans="1:27" outlineLevel="1" x14ac:dyDescent="0.2">
      <c r="A87" s="346" t="s">
        <v>261</v>
      </c>
      <c r="B87" s="473" t="s">
        <v>320</v>
      </c>
      <c r="C87" s="308" t="s">
        <v>323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">
      <c r="A88" s="346" t="str">
        <f>$A$4</f>
        <v>($000 Real 2008)</v>
      </c>
      <c r="B88" s="474" t="s">
        <v>321</v>
      </c>
      <c r="C88" s="475" t="s">
        <v>322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6" t="s">
        <v>260</v>
      </c>
      <c r="B95" s="473" t="s">
        <v>320</v>
      </c>
      <c r="C95" s="308" t="s">
        <v>323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">
      <c r="A96" s="346" t="str">
        <f>$A$4</f>
        <v>($000 Real 2008)</v>
      </c>
      <c r="B96" s="474" t="s">
        <v>321</v>
      </c>
      <c r="C96" s="475" t="s">
        <v>322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109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6" t="s">
        <v>277</v>
      </c>
      <c r="B103" s="473" t="s">
        <v>320</v>
      </c>
      <c r="C103" s="308" t="s">
        <v>323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">
      <c r="A104" s="346" t="str">
        <f>$A$4</f>
        <v>($000 Real 2008)</v>
      </c>
      <c r="B104" s="474" t="s">
        <v>321</v>
      </c>
      <c r="C104" s="475" t="s">
        <v>322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6" t="s">
        <v>278</v>
      </c>
      <c r="B111" s="473" t="s">
        <v>320</v>
      </c>
      <c r="C111" s="308" t="s">
        <v>323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">
      <c r="A112" s="346" t="str">
        <f>$A$4</f>
        <v>($000 Real 2008)</v>
      </c>
      <c r="B112" s="474" t="s">
        <v>321</v>
      </c>
      <c r="C112" s="475" t="s">
        <v>322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"/>
    <row r="119" spans="1:27" ht="13.5" outlineLevel="1" thickBot="1" x14ac:dyDescent="0.25">
      <c r="A119" s="476" t="s">
        <v>45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4" t="s">
        <v>329</v>
      </c>
      <c r="B123" s="464"/>
      <c r="C123" s="464"/>
      <c r="J123" s="466"/>
    </row>
    <row r="124" spans="1:27" x14ac:dyDescent="0.2">
      <c r="A124" s="346" t="str">
        <f>$A$4</f>
        <v>($000 Real 2008)</v>
      </c>
      <c r="B124" s="464"/>
      <c r="C124" s="464"/>
      <c r="J124" s="466"/>
    </row>
    <row r="125" spans="1:27" x14ac:dyDescent="0.2">
      <c r="A125" s="101" t="s">
        <v>324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">
      <c r="A126" s="73" t="s">
        <v>171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">
      <c r="A127" s="84" t="s">
        <v>137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87">
        <f t="shared" si="46"/>
        <v>2351.1320676752894</v>
      </c>
      <c r="H127" s="87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5" thickBot="1" x14ac:dyDescent="0.25">
      <c r="A128" s="73" t="s">
        <v>173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5" outlineLevel="1" thickTop="1" x14ac:dyDescent="0.2">
      <c r="A129" s="556" t="s">
        <v>0</v>
      </c>
      <c r="B129" s="484"/>
      <c r="C129" s="557">
        <f>SUM(D129:E129)</f>
        <v>0</v>
      </c>
      <c r="D129" s="558">
        <f>IF(ABS(D126-SUM(D127:AA127))&lt;0.001,0,ABS(D126-SUM(D127:AA127)))</f>
        <v>0</v>
      </c>
      <c r="E129" s="558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"/>
    <row r="131" spans="1:27" outlineLevel="1" x14ac:dyDescent="0.2">
      <c r="A131" s="346" t="str">
        <f>'Data 2009-15 (Real $2008)'!A$154</f>
        <v>Remotely read interval meters &amp; transformers</v>
      </c>
      <c r="B131" s="473" t="s">
        <v>320</v>
      </c>
      <c r="C131" s="308" t="s">
        <v>323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">
      <c r="A132" s="346" t="str">
        <f>$A$4</f>
        <v>($000 Real 2008)</v>
      </c>
      <c r="B132" s="474" t="s">
        <v>321</v>
      </c>
      <c r="C132" s="475" t="s">
        <v>322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109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6" t="s">
        <v>277</v>
      </c>
      <c r="B139" s="473" t="s">
        <v>320</v>
      </c>
      <c r="C139" s="308" t="s">
        <v>323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">
      <c r="A140" s="346" t="str">
        <f>$A$4</f>
        <v>($000 Real 2008)</v>
      </c>
      <c r="B140" s="474" t="s">
        <v>321</v>
      </c>
      <c r="C140" s="475" t="s">
        <v>322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6" t="s">
        <v>279</v>
      </c>
      <c r="B147" s="473" t="s">
        <v>320</v>
      </c>
      <c r="C147" s="308" t="s">
        <v>323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">
      <c r="A148" s="346" t="str">
        <f>$A$4</f>
        <v>($000 Real 2008)</v>
      </c>
      <c r="B148" s="474" t="s">
        <v>321</v>
      </c>
      <c r="C148" s="475" t="s">
        <v>322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6" t="s">
        <v>278</v>
      </c>
      <c r="B155" s="473" t="s">
        <v>320</v>
      </c>
      <c r="C155" s="308" t="s">
        <v>323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">
      <c r="A156" s="346" t="str">
        <f>$A$4</f>
        <v>($000 Real 2008)</v>
      </c>
      <c r="B156" s="474" t="s">
        <v>321</v>
      </c>
      <c r="C156" s="475" t="s">
        <v>322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6" t="s">
        <v>45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5" outlineLevel="1" thickTop="1" x14ac:dyDescent="0.2">
      <c r="J164" s="466"/>
    </row>
    <row r="165" spans="1:27" outlineLevel="1" x14ac:dyDescent="0.2">
      <c r="J165" s="466"/>
    </row>
    <row r="166" spans="1:27" x14ac:dyDescent="0.2">
      <c r="J166" s="466"/>
    </row>
    <row r="167" spans="1:27" x14ac:dyDescent="0.2">
      <c r="A167" s="60" t="s">
        <v>385</v>
      </c>
      <c r="B167" s="60"/>
      <c r="C167" s="60"/>
      <c r="J167" s="466"/>
    </row>
    <row r="168" spans="1:27" x14ac:dyDescent="0.2">
      <c r="A168" s="346" t="str">
        <f>$A$4</f>
        <v>($000 Real 2008)</v>
      </c>
      <c r="J168" s="466"/>
    </row>
    <row r="169" spans="1:27" x14ac:dyDescent="0.2">
      <c r="A169" s="101" t="s">
        <v>327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">
      <c r="A170" s="73" t="s">
        <v>171</v>
      </c>
      <c r="D170" s="483">
        <v>0</v>
      </c>
      <c r="E170" s="87">
        <f>D173</f>
        <v>33801.66938253089</v>
      </c>
      <c r="F170" s="87">
        <f t="shared" ref="F170:W170" si="58">E173</f>
        <v>105774.84137551965</v>
      </c>
      <c r="G170" s="87">
        <f t="shared" si="58"/>
        <v>187023.23576467947</v>
      </c>
      <c r="H170" s="87">
        <f t="shared" si="58"/>
        <v>279033.58011227928</v>
      </c>
      <c r="I170" s="87">
        <f t="shared" si="58"/>
        <v>342125.62237620045</v>
      </c>
      <c r="J170" s="87">
        <f t="shared" si="58"/>
        <v>349348.49157352996</v>
      </c>
      <c r="K170" s="87">
        <f t="shared" si="58"/>
        <v>311581.63191845128</v>
      </c>
      <c r="L170" s="87">
        <f t="shared" si="58"/>
        <v>267047.84097616049</v>
      </c>
      <c r="M170" s="87">
        <f t="shared" si="58"/>
        <v>227571.88586864277</v>
      </c>
      <c r="N170" s="87">
        <f t="shared" si="58"/>
        <v>193397.55793010368</v>
      </c>
      <c r="O170" s="87">
        <f t="shared" si="58"/>
        <v>164451.85965362319</v>
      </c>
      <c r="P170" s="87">
        <f t="shared" si="58"/>
        <v>140354.80247952478</v>
      </c>
      <c r="Q170" s="87">
        <f t="shared" si="58"/>
        <v>118586.45497652583</v>
      </c>
      <c r="R170" s="87">
        <f t="shared" si="58"/>
        <v>97558.309569053803</v>
      </c>
      <c r="S170" s="87">
        <f t="shared" si="58"/>
        <v>76666.013000469364</v>
      </c>
      <c r="T170" s="87">
        <f t="shared" si="58"/>
        <v>55812.37743911695</v>
      </c>
      <c r="U170" s="87">
        <f t="shared" si="58"/>
        <v>35928.426566830327</v>
      </c>
      <c r="V170" s="87">
        <f t="shared" si="58"/>
        <v>19423.686681628482</v>
      </c>
      <c r="W170" s="87">
        <f t="shared" si="58"/>
        <v>8037.5302483214764</v>
      </c>
      <c r="X170" s="87">
        <f>W173</f>
        <v>2052.3977087475605</v>
      </c>
      <c r="Y170" s="87">
        <f>X173</f>
        <v>212.57265625269997</v>
      </c>
      <c r="Z170" s="87">
        <f>Y173</f>
        <v>1.311946107307449E-10</v>
      </c>
      <c r="AA170" s="87">
        <f>Z173</f>
        <v>1.311946107307449E-10</v>
      </c>
    </row>
    <row r="171" spans="1:27" x14ac:dyDescent="0.2">
      <c r="A171" s="73" t="s">
        <v>319</v>
      </c>
      <c r="D171" s="87">
        <f>D186</f>
        <v>36762.546886406148</v>
      </c>
      <c r="E171" s="87">
        <f t="shared" ref="E171:W171" si="59">E186</f>
        <v>83578.328159850847</v>
      </c>
      <c r="F171" s="87">
        <f t="shared" si="59"/>
        <v>103135.24279429039</v>
      </c>
      <c r="G171" s="87">
        <f t="shared" si="59"/>
        <v>124509.31198456895</v>
      </c>
      <c r="H171" s="87">
        <f t="shared" si="59"/>
        <v>106059.82221512144</v>
      </c>
      <c r="I171" s="87">
        <f t="shared" si="59"/>
        <v>50901.33779264216</v>
      </c>
      <c r="J171" s="87">
        <f t="shared" si="59"/>
        <v>8279.0634320032132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">
      <c r="A172" s="84" t="s">
        <v>137</v>
      </c>
      <c r="D172" s="87">
        <f>D261</f>
        <v>2960.877503875261</v>
      </c>
      <c r="E172" s="87">
        <f t="shared" ref="E172:W172" si="60">E261</f>
        <v>11605.156166862091</v>
      </c>
      <c r="F172" s="87">
        <f t="shared" si="60"/>
        <v>21886.848405130579</v>
      </c>
      <c r="G172" s="87">
        <f t="shared" si="60"/>
        <v>32498.96763696917</v>
      </c>
      <c r="H172" s="87">
        <f t="shared" si="60"/>
        <v>42967.779951200297</v>
      </c>
      <c r="I172" s="87">
        <f t="shared" si="60"/>
        <v>43678.46859531269</v>
      </c>
      <c r="J172" s="87">
        <f t="shared" si="60"/>
        <v>46045.923087081894</v>
      </c>
      <c r="K172" s="87">
        <f t="shared" si="60"/>
        <v>44533.79094229082</v>
      </c>
      <c r="L172" s="87">
        <f t="shared" si="60"/>
        <v>39475.955107517722</v>
      </c>
      <c r="M172" s="87">
        <f t="shared" si="60"/>
        <v>34174.327938539107</v>
      </c>
      <c r="N172" s="87">
        <f t="shared" si="60"/>
        <v>28945.698276480474</v>
      </c>
      <c r="O172" s="87">
        <f t="shared" si="60"/>
        <v>24097.057174098427</v>
      </c>
      <c r="P172" s="87">
        <f t="shared" si="60"/>
        <v>21768.347502998946</v>
      </c>
      <c r="Q172" s="87">
        <f t="shared" si="60"/>
        <v>21028.145407472024</v>
      </c>
      <c r="R172" s="87">
        <f t="shared" si="60"/>
        <v>20892.296568584447</v>
      </c>
      <c r="S172" s="87">
        <f t="shared" si="60"/>
        <v>20853.635561352414</v>
      </c>
      <c r="T172" s="87">
        <f t="shared" si="60"/>
        <v>19883.950872286619</v>
      </c>
      <c r="U172" s="87">
        <f t="shared" si="60"/>
        <v>16504.739885201845</v>
      </c>
      <c r="V172" s="87">
        <f t="shared" si="60"/>
        <v>11386.156433307005</v>
      </c>
      <c r="W172" s="87">
        <f t="shared" si="60"/>
        <v>5985.1325395739159</v>
      </c>
      <c r="X172" s="87">
        <f>X261</f>
        <v>1839.8250524948605</v>
      </c>
      <c r="Y172" s="87">
        <f>Y261</f>
        <v>212.57265625256878</v>
      </c>
      <c r="Z172" s="87">
        <f>Z261</f>
        <v>0</v>
      </c>
      <c r="AA172" s="87">
        <f>AA261</f>
        <v>0</v>
      </c>
    </row>
    <row r="173" spans="1:27" ht="13.5" thickBot="1" x14ac:dyDescent="0.25">
      <c r="A173" s="73" t="s">
        <v>173</v>
      </c>
      <c r="D173" s="76">
        <f>D170+D171-D172</f>
        <v>33801.66938253089</v>
      </c>
      <c r="E173" s="76">
        <f t="shared" ref="E173:W173" si="61">E170+E171-E172</f>
        <v>105774.84137551965</v>
      </c>
      <c r="F173" s="76">
        <f t="shared" si="61"/>
        <v>187023.23576467947</v>
      </c>
      <c r="G173" s="76">
        <f t="shared" si="61"/>
        <v>279033.58011227928</v>
      </c>
      <c r="H173" s="76">
        <f t="shared" si="61"/>
        <v>342125.62237620045</v>
      </c>
      <c r="I173" s="76">
        <f t="shared" si="61"/>
        <v>349348.49157352996</v>
      </c>
      <c r="J173" s="76">
        <f t="shared" si="61"/>
        <v>311581.63191845128</v>
      </c>
      <c r="K173" s="76">
        <f t="shared" si="61"/>
        <v>267047.84097616049</v>
      </c>
      <c r="L173" s="76">
        <f t="shared" si="61"/>
        <v>227571.88586864277</v>
      </c>
      <c r="M173" s="76">
        <f t="shared" si="61"/>
        <v>193397.55793010368</v>
      </c>
      <c r="N173" s="76">
        <f t="shared" si="61"/>
        <v>164451.85965362319</v>
      </c>
      <c r="O173" s="76">
        <f t="shared" si="61"/>
        <v>140354.80247952478</v>
      </c>
      <c r="P173" s="76">
        <f t="shared" si="61"/>
        <v>118586.45497652583</v>
      </c>
      <c r="Q173" s="76">
        <f t="shared" si="61"/>
        <v>97558.309569053803</v>
      </c>
      <c r="R173" s="76">
        <f t="shared" si="61"/>
        <v>76666.013000469364</v>
      </c>
      <c r="S173" s="76">
        <f t="shared" si="61"/>
        <v>55812.37743911695</v>
      </c>
      <c r="T173" s="76">
        <f t="shared" si="61"/>
        <v>35928.426566830327</v>
      </c>
      <c r="U173" s="76">
        <f t="shared" si="61"/>
        <v>19423.686681628482</v>
      </c>
      <c r="V173" s="76">
        <f t="shared" si="61"/>
        <v>8037.5302483214764</v>
      </c>
      <c r="W173" s="76">
        <f t="shared" si="61"/>
        <v>2052.3977087475605</v>
      </c>
      <c r="X173" s="76">
        <f>X170+X171-X172</f>
        <v>212.57265625269997</v>
      </c>
      <c r="Y173" s="76">
        <f>Y170+Y171-Y172</f>
        <v>1.311946107307449E-10</v>
      </c>
      <c r="Z173" s="76">
        <f>Z170+Z171-Z172</f>
        <v>1.311946107307449E-10</v>
      </c>
      <c r="AA173" s="76">
        <f>AA170+AA171-AA172</f>
        <v>1.311946107307449E-10</v>
      </c>
    </row>
    <row r="174" spans="1:27" s="101" customFormat="1" ht="13.5" outlineLevel="1" thickTop="1" x14ac:dyDescent="0.2">
      <c r="A174" s="556" t="s">
        <v>0</v>
      </c>
      <c r="B174" s="484"/>
      <c r="C174" s="557">
        <f>SUM(D174:K174)</f>
        <v>0</v>
      </c>
      <c r="D174" s="558">
        <f>IF(ABS(SUM(D171:AA171)-SUM(D172:AA172))&lt;0.001,0,ABS(SUM(D171:AA171)-SUM(D172:AA172)))</f>
        <v>0</v>
      </c>
      <c r="E174" s="558">
        <f t="shared" ref="E174:K174" si="62">IF(ABS(D171-D186)&lt;0.001,0,ABS(D171-D186))</f>
        <v>0</v>
      </c>
      <c r="F174" s="558">
        <f t="shared" si="62"/>
        <v>0</v>
      </c>
      <c r="G174" s="558">
        <f t="shared" si="62"/>
        <v>0</v>
      </c>
      <c r="H174" s="558">
        <f t="shared" si="62"/>
        <v>0</v>
      </c>
      <c r="I174" s="558">
        <f t="shared" si="62"/>
        <v>0</v>
      </c>
      <c r="J174" s="558">
        <f t="shared" si="62"/>
        <v>0</v>
      </c>
      <c r="K174" s="558">
        <f t="shared" si="62"/>
        <v>0</v>
      </c>
    </row>
    <row r="175" spans="1:27" outlineLevel="1" x14ac:dyDescent="0.2">
      <c r="A175" s="346"/>
      <c r="J175" s="466"/>
    </row>
    <row r="176" spans="1:27" outlineLevel="1" x14ac:dyDescent="0.2">
      <c r="A176" s="346"/>
      <c r="J176" s="466"/>
    </row>
    <row r="177" spans="1:27" outlineLevel="1" x14ac:dyDescent="0.2">
      <c r="A177" s="346"/>
      <c r="J177" s="466"/>
    </row>
    <row r="178" spans="1:27" outlineLevel="1" x14ac:dyDescent="0.2">
      <c r="A178" s="346"/>
      <c r="J178" s="466"/>
    </row>
    <row r="179" spans="1:27" outlineLevel="1" x14ac:dyDescent="0.2">
      <c r="A179" s="101" t="s">
        <v>319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">
      <c r="A180" s="85" t="s">
        <v>42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">
      <c r="A181" s="84" t="s">
        <v>260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81918.832412679607</v>
      </c>
      <c r="I182" s="87">
        <f>('Data 2009-15 (Real $2008)'!I12-'Data 2009-15 (Real $2008)'!I36-'Data 2009-15 (Real $2008)'!I45)/10^3</f>
        <v>42440.392199691283</v>
      </c>
      <c r="J182" s="87">
        <f>('Data 2009-15 (Real $2008)'!J12-'Data 2009-15 (Real $2008)'!J36-'Data 2009-15 (Real $2008)'!J45)/10^3</f>
        <v>6377.1796875771279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">
      <c r="A183" s="84" t="s">
        <v>277</v>
      </c>
      <c r="D183" s="87">
        <f>('Data 2009-15 (Real $2008)'!D13-'Data 2009-15 (Real $2008)'!D37-'Data 2009-15 (Real $2008)'!D46)/10^3</f>
        <v>25201.355539974094</v>
      </c>
      <c r="E183" s="87">
        <f>('Data 2009-15 (Real $2008)'!E13-'Data 2009-15 (Real $2008)'!E37-'Data 2009-15 (Real $2008)'!E46)/10^3</f>
        <v>36524.471515568075</v>
      </c>
      <c r="F183" s="87">
        <f>('Data 2009-15 (Real $2008)'!F13-'Data 2009-15 (Real $2008)'!F37-'Data 2009-15 (Real $2008)'!F46)/10^3</f>
        <v>21261.434569870315</v>
      </c>
      <c r="G183" s="87">
        <f>('Data 2009-15 (Real $2008)'!G13-'Data 2009-15 (Real $2008)'!G37-'Data 2009-15 (Real $2008)'!G46)/10^3</f>
        <v>21785.439711631407</v>
      </c>
      <c r="H183" s="87">
        <f>('Data 2009-15 (Real $2008)'!H13-'Data 2009-15 (Real $2008)'!H37-'Data 2009-15 (Real $2008)'!H46)/10^3</f>
        <v>7831.8045605887964</v>
      </c>
      <c r="I183" s="87">
        <f>('Data 2009-15 (Real $2008)'!I13-'Data 2009-15 (Real $2008)'!I37-'Data 2009-15 (Real $2008)'!I46)/10^3</f>
        <v>8460.9455929508786</v>
      </c>
      <c r="J183" s="87">
        <f>('Data 2009-15 (Real $2008)'!J13-'Data 2009-15 (Real $2008)'!J37-'Data 2009-15 (Real $2008)'!J46)/10^3</f>
        <v>1901.8837444260851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">
      <c r="A184" s="84" t="s">
        <v>279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87">
        <f>('Data 2009-15 (Real $2008)'!H14-'Data 2009-15 (Real $2008)'!H38-'Data 2009-15 (Real $2008)'!H47)/10^3</f>
        <v>16309.185241853025</v>
      </c>
      <c r="I184" s="87">
        <f>('Data 2009-15 (Real $2008)'!I14-'Data 2009-15 (Real $2008)'!I38-'Data 2009-15 (Real $2008)'!I47)/10^3</f>
        <v>0</v>
      </c>
      <c r="J184" s="87">
        <f>('Data 2009-15 (Real $2008)'!J14-'Data 2009-15 (Real $2008)'!J38-'Data 2009-15 (Real $2008)'!J47)/10^3</f>
        <v>0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">
      <c r="A185" s="318" t="s">
        <v>278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">
      <c r="D186" s="109">
        <f t="shared" ref="D186:J186" si="64">SUM(D180:D185)</f>
        <v>36762.546886406148</v>
      </c>
      <c r="E186" s="109">
        <f t="shared" si="64"/>
        <v>83578.328159850847</v>
      </c>
      <c r="F186" s="109">
        <f t="shared" si="64"/>
        <v>103135.24279429039</v>
      </c>
      <c r="G186" s="109">
        <f t="shared" si="64"/>
        <v>124509.31198456895</v>
      </c>
      <c r="H186" s="109">
        <f t="shared" si="64"/>
        <v>106059.82221512144</v>
      </c>
      <c r="I186" s="109">
        <f t="shared" si="64"/>
        <v>50901.33779264216</v>
      </c>
      <c r="J186" s="109">
        <f t="shared" si="64"/>
        <v>8279.0634320032132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">
      <c r="J187" s="466"/>
    </row>
    <row r="188" spans="1:27" outlineLevel="1" x14ac:dyDescent="0.2">
      <c r="J188" s="466"/>
    </row>
    <row r="189" spans="1:27" outlineLevel="1" x14ac:dyDescent="0.2">
      <c r="A189" s="346" t="s">
        <v>42</v>
      </c>
      <c r="B189" s="473" t="s">
        <v>325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">
      <c r="A190" s="346" t="str">
        <f>$A$4</f>
        <v>($000 Real 2008)</v>
      </c>
      <c r="B190" s="474" t="s">
        <v>326</v>
      </c>
      <c r="C190" s="475" t="s">
        <v>322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">
      <c r="B198" s="472">
        <f>SUM(B191:B197)</f>
        <v>11524.436857696874</v>
      </c>
      <c r="D198" s="697">
        <f t="shared" ref="D198:AA198" si="66">SUM(D191:D197)</f>
        <v>597.18216327637219</v>
      </c>
      <c r="E198" s="697">
        <f t="shared" si="66"/>
        <v>1955.8708703014499</v>
      </c>
      <c r="F198" s="697">
        <f t="shared" si="66"/>
        <v>2762.0380026248813</v>
      </c>
      <c r="G198" s="697">
        <f t="shared" si="66"/>
        <v>3005.348137564592</v>
      </c>
      <c r="H198" s="697">
        <f t="shared" si="66"/>
        <v>3203.9976839295769</v>
      </c>
      <c r="I198" s="697">
        <f t="shared" si="66"/>
        <v>2.8421709430404007E-14</v>
      </c>
      <c r="J198" s="697">
        <f t="shared" si="66"/>
        <v>0</v>
      </c>
      <c r="K198" s="697">
        <f t="shared" si="66"/>
        <v>0</v>
      </c>
      <c r="L198" s="697">
        <f t="shared" si="66"/>
        <v>0</v>
      </c>
      <c r="M198" s="697">
        <f t="shared" si="66"/>
        <v>0</v>
      </c>
      <c r="N198" s="697">
        <f t="shared" si="66"/>
        <v>0</v>
      </c>
      <c r="O198" s="697">
        <f t="shared" si="66"/>
        <v>0</v>
      </c>
      <c r="P198" s="697">
        <f t="shared" si="66"/>
        <v>0</v>
      </c>
      <c r="Q198" s="697">
        <f t="shared" si="66"/>
        <v>0</v>
      </c>
      <c r="R198" s="697">
        <f t="shared" si="66"/>
        <v>0</v>
      </c>
      <c r="S198" s="697">
        <f t="shared" si="66"/>
        <v>0</v>
      </c>
      <c r="T198" s="697">
        <f t="shared" si="66"/>
        <v>0</v>
      </c>
      <c r="U198" s="697">
        <f t="shared" si="66"/>
        <v>0</v>
      </c>
      <c r="V198" s="697">
        <f t="shared" si="66"/>
        <v>0</v>
      </c>
      <c r="W198" s="697">
        <f t="shared" si="66"/>
        <v>0</v>
      </c>
      <c r="X198" s="697">
        <f t="shared" si="66"/>
        <v>0</v>
      </c>
      <c r="Y198" s="697">
        <f t="shared" si="66"/>
        <v>0</v>
      </c>
      <c r="Z198" s="697">
        <f t="shared" si="66"/>
        <v>0</v>
      </c>
      <c r="AA198" s="697">
        <f t="shared" si="66"/>
        <v>0</v>
      </c>
    </row>
    <row r="199" spans="1:27" outlineLevel="1" x14ac:dyDescent="0.2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">
      <c r="A201" s="346" t="s">
        <v>260</v>
      </c>
      <c r="B201" s="473" t="s">
        <v>325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">
      <c r="A202" s="346" t="str">
        <f>$A$4</f>
        <v>($000 Real 2008)</v>
      </c>
      <c r="B202" s="474" t="s">
        <v>326</v>
      </c>
      <c r="C202" s="475" t="s">
        <v>322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">
      <c r="B210" s="472">
        <f>SUM(B203:B209)</f>
        <v>9802.431782956337</v>
      </c>
      <c r="D210" s="697">
        <f t="shared" ref="D210:AA210" si="68">SUM(D203:D209)</f>
        <v>464.48069343563134</v>
      </c>
      <c r="E210" s="697">
        <f t="shared" si="68"/>
        <v>1722.5501255584743</v>
      </c>
      <c r="F210" s="697">
        <f t="shared" si="68"/>
        <v>2517.2370754401463</v>
      </c>
      <c r="G210" s="697">
        <f t="shared" si="68"/>
        <v>2538.8330583855645</v>
      </c>
      <c r="H210" s="697">
        <f t="shared" si="68"/>
        <v>2559.3308301365219</v>
      </c>
      <c r="I210" s="697">
        <f t="shared" si="68"/>
        <v>-8.8817841970012523E-16</v>
      </c>
      <c r="J210" s="697">
        <f t="shared" si="68"/>
        <v>0</v>
      </c>
      <c r="K210" s="697">
        <f t="shared" si="68"/>
        <v>0</v>
      </c>
      <c r="L210" s="697">
        <f t="shared" si="68"/>
        <v>0</v>
      </c>
      <c r="M210" s="697">
        <f t="shared" si="68"/>
        <v>0</v>
      </c>
      <c r="N210" s="697">
        <f t="shared" si="68"/>
        <v>0</v>
      </c>
      <c r="O210" s="697">
        <f t="shared" si="68"/>
        <v>0</v>
      </c>
      <c r="P210" s="697">
        <f t="shared" si="68"/>
        <v>0</v>
      </c>
      <c r="Q210" s="697">
        <f t="shared" si="68"/>
        <v>0</v>
      </c>
      <c r="R210" s="697">
        <f t="shared" si="68"/>
        <v>0</v>
      </c>
      <c r="S210" s="697">
        <f t="shared" si="68"/>
        <v>0</v>
      </c>
      <c r="T210" s="697">
        <f t="shared" si="68"/>
        <v>0</v>
      </c>
      <c r="U210" s="697">
        <f t="shared" si="68"/>
        <v>0</v>
      </c>
      <c r="V210" s="697">
        <f t="shared" si="68"/>
        <v>0</v>
      </c>
      <c r="W210" s="697">
        <f t="shared" si="68"/>
        <v>0</v>
      </c>
      <c r="X210" s="697">
        <f t="shared" si="68"/>
        <v>0</v>
      </c>
      <c r="Y210" s="697">
        <f t="shared" si="68"/>
        <v>0</v>
      </c>
      <c r="Z210" s="697">
        <f t="shared" si="68"/>
        <v>0</v>
      </c>
      <c r="AA210" s="697">
        <f t="shared" si="68"/>
        <v>0</v>
      </c>
    </row>
    <row r="211" spans="1:27" outlineLevel="1" x14ac:dyDescent="0.2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">
      <c r="A213" s="3" t="str">
        <f>'Data 2009-15 (Real $2008)'!A$154</f>
        <v>Remotely read interval meters &amp; transformers</v>
      </c>
      <c r="B213" s="473" t="s">
        <v>325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">
      <c r="A214" s="346" t="str">
        <f>$A$4</f>
        <v>($000 Real 2008)</v>
      </c>
      <c r="B214" s="474" t="s">
        <v>326</v>
      </c>
      <c r="C214" s="475" t="s">
        <v>322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">
      <c r="A219" s="469">
        <v>2013</v>
      </c>
      <c r="B219" s="471">
        <f>H$182</f>
        <v>81918.832412679607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2730.6277470893201</v>
      </c>
      <c r="I219" s="87">
        <f>IF((SUM($D219:H219)+$B219/$C219)&gt;$B219,$B219-SUM($D219:H219),$B219/$C219)</f>
        <v>5461.2554941786402</v>
      </c>
      <c r="J219" s="87">
        <f>IF((SUM($D219:I219)+$B219/$C219)&gt;$B219,$B219-SUM($D219:I219),$B219/$C219)</f>
        <v>5461.2554941786402</v>
      </c>
      <c r="K219" s="87">
        <f>IF((SUM($D219:J219)+$B219/$C219)&gt;$B219,$B219-SUM($D219:J219),$B219/$C219)</f>
        <v>5461.2554941786402</v>
      </c>
      <c r="L219" s="87">
        <f>IF((SUM($D219:K219)+$B219/$C219)&gt;$B219,$B219-SUM($D219:K219),$B219/$C219)</f>
        <v>5461.2554941786402</v>
      </c>
      <c r="M219" s="87">
        <f>IF((SUM($D219:L219)+$B219/$C219)&gt;$B219,$B219-SUM($D219:L219),$B219/$C219)</f>
        <v>5461.2554941786402</v>
      </c>
      <c r="N219" s="87">
        <f>IF((SUM($D219:M219)+$B219/$C219)&gt;$B219,$B219-SUM($D219:M219),$B219/$C219)</f>
        <v>5461.2554941786402</v>
      </c>
      <c r="O219" s="87">
        <f>IF((SUM($D219:N219)+$B219/$C219)&gt;$B219,$B219-SUM($D219:N219),$B219/$C219)</f>
        <v>5461.2554941786402</v>
      </c>
      <c r="P219" s="87">
        <f>IF((SUM($D219:O219)+$B219/$C219)&gt;$B219,$B219-SUM($D219:O219),$B219/$C219)</f>
        <v>5461.2554941786402</v>
      </c>
      <c r="Q219" s="87">
        <f>IF((SUM($D219:P219)+$B219/$C219)&gt;$B219,$B219-SUM($D219:P219),$B219/$C219)</f>
        <v>5461.2554941786402</v>
      </c>
      <c r="R219" s="87">
        <f>IF((SUM($D219:Q219)+$B219/$C219)&gt;$B219,$B219-SUM($D219:Q219),$B219/$C219)</f>
        <v>5461.2554941786402</v>
      </c>
      <c r="S219" s="87">
        <f>IF((SUM($D219:R219)+$B219/$C219)&gt;$B219,$B219-SUM($D219:R219),$B219/$C219)</f>
        <v>5461.2554941786402</v>
      </c>
      <c r="T219" s="87">
        <f>IF((SUM($D219:S219)+$B219/$C219)&gt;$B219,$B219-SUM($D219:S219),$B219/$C219)</f>
        <v>5461.2554941786402</v>
      </c>
      <c r="U219" s="87">
        <f>IF((SUM($D219:T219)+$B219/$C219)&gt;$B219,$B219-SUM($D219:T219),$B219/$C219)</f>
        <v>5461.2554941786402</v>
      </c>
      <c r="V219" s="87">
        <f>IF((SUM($D219:U219)+$B219/$C219)&gt;$B219,$B219-SUM($D219:U219),$B219/$C219)</f>
        <v>5461.2554941786402</v>
      </c>
      <c r="W219" s="87">
        <f>IF((SUM($D219:V219)+$B219/$C219)&gt;$B219,$B219-SUM($D219:V219),$B219/$C219)</f>
        <v>2730.6277470893547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">
      <c r="A220" s="469">
        <v>2014</v>
      </c>
      <c r="B220" s="471">
        <f>I$182</f>
        <v>42440.392199691283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1414.6797399897093</v>
      </c>
      <c r="J220" s="87">
        <f>IF((SUM($D220:I220)+$B220/$C220)&gt;$B220,$B220-SUM($D220:I220),$B220/$C220)</f>
        <v>2829.3594799794187</v>
      </c>
      <c r="K220" s="87">
        <f>IF((SUM($D220:J220)+$B220/$C220)&gt;$B220,$B220-SUM($D220:J220),$B220/$C220)</f>
        <v>2829.3594799794187</v>
      </c>
      <c r="L220" s="87">
        <f>IF((SUM($D220:K220)+$B220/$C220)&gt;$B220,$B220-SUM($D220:K220),$B220/$C220)</f>
        <v>2829.3594799794187</v>
      </c>
      <c r="M220" s="87">
        <f>IF((SUM($D220:L220)+$B220/$C220)&gt;$B220,$B220-SUM($D220:L220),$B220/$C220)</f>
        <v>2829.3594799794187</v>
      </c>
      <c r="N220" s="87">
        <f>IF((SUM($D220:M220)+$B220/$C220)&gt;$B220,$B220-SUM($D220:M220),$B220/$C220)</f>
        <v>2829.3594799794187</v>
      </c>
      <c r="O220" s="87">
        <f>IF((SUM($D220:N220)+$B220/$C220)&gt;$B220,$B220-SUM($D220:N220),$B220/$C220)</f>
        <v>2829.3594799794187</v>
      </c>
      <c r="P220" s="87">
        <f>IF((SUM($D220:O220)+$B220/$C220)&gt;$B220,$B220-SUM($D220:O220),$B220/$C220)</f>
        <v>2829.3594799794187</v>
      </c>
      <c r="Q220" s="87">
        <f>IF((SUM($D220:P220)+$B220/$C220)&gt;$B220,$B220-SUM($D220:P220),$B220/$C220)</f>
        <v>2829.3594799794187</v>
      </c>
      <c r="R220" s="87">
        <f>IF((SUM($D220:Q220)+$B220/$C220)&gt;$B220,$B220-SUM($D220:Q220),$B220/$C220)</f>
        <v>2829.3594799794187</v>
      </c>
      <c r="S220" s="87">
        <f>IF((SUM($D220:R220)+$B220/$C220)&gt;$B220,$B220-SUM($D220:R220),$B220/$C220)</f>
        <v>2829.3594799794187</v>
      </c>
      <c r="T220" s="87">
        <f>IF((SUM($D220:S220)+$B220/$C220)&gt;$B220,$B220-SUM($D220:S220),$B220/$C220)</f>
        <v>2829.3594799794187</v>
      </c>
      <c r="U220" s="87">
        <f>IF((SUM($D220:T220)+$B220/$C220)&gt;$B220,$B220-SUM($D220:T220),$B220/$C220)</f>
        <v>2829.3594799794187</v>
      </c>
      <c r="V220" s="87">
        <f>IF((SUM($D220:U220)+$B220/$C220)&gt;$B220,$B220-SUM($D220:U220),$B220/$C220)</f>
        <v>2829.3594799794187</v>
      </c>
      <c r="W220" s="87">
        <f>IF((SUM($D220:V220)+$B220/$C220)&gt;$B220,$B220-SUM($D220:V220),$B220/$C220)</f>
        <v>2829.3594799794187</v>
      </c>
      <c r="X220" s="87">
        <f>IF((SUM($D220:W220)+$B220/$C220)&gt;$B220,$B220-SUM($D220:W220),$B220/$C220)</f>
        <v>1414.6797399897187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">
      <c r="A221" s="469">
        <v>2015</v>
      </c>
      <c r="B221" s="471">
        <f>J$182</f>
        <v>6377.1796875771279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212.57265625257094</v>
      </c>
      <c r="K221" s="87">
        <f>IF((SUM($D221:J221)+$B221/$C221)&gt;$B221,$B221-SUM($D221:J221),$B221/$C221)</f>
        <v>425.14531250514187</v>
      </c>
      <c r="L221" s="87">
        <f>IF((SUM($D221:K221)+$B221/$C221)&gt;$B221,$B221-SUM($D221:K221),$B221/$C221)</f>
        <v>425.14531250514187</v>
      </c>
      <c r="M221" s="87">
        <f>IF((SUM($D221:L221)+$B221/$C221)&gt;$B221,$B221-SUM($D221:L221),$B221/$C221)</f>
        <v>425.14531250514187</v>
      </c>
      <c r="N221" s="87">
        <f>IF((SUM($D221:M221)+$B221/$C221)&gt;$B221,$B221-SUM($D221:M221),$B221/$C221)</f>
        <v>425.14531250514187</v>
      </c>
      <c r="O221" s="87">
        <f>IF((SUM($D221:N221)+$B221/$C221)&gt;$B221,$B221-SUM($D221:N221),$B221/$C221)</f>
        <v>425.14531250514187</v>
      </c>
      <c r="P221" s="87">
        <f>IF((SUM($D221:O221)+$B221/$C221)&gt;$B221,$B221-SUM($D221:O221),$B221/$C221)</f>
        <v>425.14531250514187</v>
      </c>
      <c r="Q221" s="87">
        <f>IF((SUM($D221:P221)+$B221/$C221)&gt;$B221,$B221-SUM($D221:P221),$B221/$C221)</f>
        <v>425.14531250514187</v>
      </c>
      <c r="R221" s="87">
        <f>IF((SUM($D221:Q221)+$B221/$C221)&gt;$B221,$B221-SUM($D221:Q221),$B221/$C221)</f>
        <v>425.14531250514187</v>
      </c>
      <c r="S221" s="87">
        <f>IF((SUM($D221:R221)+$B221/$C221)&gt;$B221,$B221-SUM($D221:R221),$B221/$C221)</f>
        <v>425.14531250514187</v>
      </c>
      <c r="T221" s="87">
        <f>IF((SUM($D221:S221)+$B221/$C221)&gt;$B221,$B221-SUM($D221:S221),$B221/$C221)</f>
        <v>425.14531250514187</v>
      </c>
      <c r="U221" s="87">
        <f>IF((SUM($D221:T221)+$B221/$C221)&gt;$B221,$B221-SUM($D221:T221),$B221/$C221)</f>
        <v>425.14531250514187</v>
      </c>
      <c r="V221" s="87">
        <f>IF((SUM($D221:U221)+$B221/$C221)&gt;$B221,$B221-SUM($D221:U221),$B221/$C221)</f>
        <v>425.14531250514187</v>
      </c>
      <c r="W221" s="87">
        <f>IF((SUM($D221:V221)+$B221/$C221)&gt;$B221,$B221-SUM($D221:V221),$B221/$C221)</f>
        <v>425.14531250514187</v>
      </c>
      <c r="X221" s="87">
        <f>IF((SUM($D221:W221)+$B221/$C221)&gt;$B221,$B221-SUM($D221:W221),$B221/$C221)</f>
        <v>425.14531250514187</v>
      </c>
      <c r="Y221" s="87">
        <f>IF((SUM($D221:X221)+$B221/$C221)&gt;$B221,$B221-SUM($D221:X221),$B221/$C221)</f>
        <v>212.57265625256878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">
      <c r="B222" s="472">
        <f>SUM(B215:B221)</f>
        <v>313384.44852876669</v>
      </c>
      <c r="D222" s="697">
        <f t="shared" ref="D222:AA222" si="70">SUM(D215:D221)</f>
        <v>38.661007232032034</v>
      </c>
      <c r="E222" s="697">
        <f t="shared" si="70"/>
        <v>1008.3456962978333</v>
      </c>
      <c r="F222" s="697">
        <f t="shared" si="70"/>
        <v>4387.5566833826124</v>
      </c>
      <c r="G222" s="697">
        <f t="shared" si="70"/>
        <v>9506.1401352774337</v>
      </c>
      <c r="H222" s="697">
        <f t="shared" si="70"/>
        <v>14907.164029010566</v>
      </c>
      <c r="I222" s="697">
        <f t="shared" si="70"/>
        <v>19052.471516089594</v>
      </c>
      <c r="J222" s="697">
        <f t="shared" si="70"/>
        <v>20679.723912331876</v>
      </c>
      <c r="K222" s="697">
        <f t="shared" si="70"/>
        <v>20892.296568584447</v>
      </c>
      <c r="L222" s="697">
        <f t="shared" si="70"/>
        <v>20892.296568584447</v>
      </c>
      <c r="M222" s="697">
        <f t="shared" si="70"/>
        <v>20892.296568584447</v>
      </c>
      <c r="N222" s="697">
        <f t="shared" si="70"/>
        <v>20892.296568584447</v>
      </c>
      <c r="O222" s="697">
        <f t="shared" si="70"/>
        <v>20892.296568584447</v>
      </c>
      <c r="P222" s="697">
        <f t="shared" si="70"/>
        <v>20892.296568584447</v>
      </c>
      <c r="Q222" s="697">
        <f t="shared" si="70"/>
        <v>20892.296568584447</v>
      </c>
      <c r="R222" s="697">
        <f t="shared" si="70"/>
        <v>20892.296568584447</v>
      </c>
      <c r="S222" s="697">
        <f t="shared" si="70"/>
        <v>20853.635561352414</v>
      </c>
      <c r="T222" s="697">
        <f t="shared" si="70"/>
        <v>19883.950872286619</v>
      </c>
      <c r="U222" s="697">
        <f t="shared" si="70"/>
        <v>16504.739885201845</v>
      </c>
      <c r="V222" s="697">
        <f t="shared" si="70"/>
        <v>11386.156433307005</v>
      </c>
      <c r="W222" s="697">
        <f t="shared" si="70"/>
        <v>5985.1325395739159</v>
      </c>
      <c r="X222" s="697">
        <f t="shared" si="70"/>
        <v>1839.8250524948605</v>
      </c>
      <c r="Y222" s="697">
        <f t="shared" si="70"/>
        <v>212.57265625256878</v>
      </c>
      <c r="Z222" s="697">
        <f t="shared" si="70"/>
        <v>0</v>
      </c>
      <c r="AA222" s="697">
        <f t="shared" si="70"/>
        <v>0</v>
      </c>
    </row>
    <row r="223" spans="1:27" outlineLevel="1" x14ac:dyDescent="0.2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">
      <c r="A225" s="346" t="s">
        <v>277</v>
      </c>
      <c r="B225" s="473" t="s">
        <v>325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">
      <c r="A226" s="346" t="str">
        <f>$A$4</f>
        <v>($000 Real 2008)</v>
      </c>
      <c r="B226" s="474" t="s">
        <v>326</v>
      </c>
      <c r="C226" s="475" t="s">
        <v>322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">
      <c r="A227" s="469">
        <v>2009</v>
      </c>
      <c r="B227" s="471">
        <f>D$183</f>
        <v>25201.355539974094</v>
      </c>
      <c r="C227" s="470">
        <f>'Data 2009-15 (Real $2008)'!C$155</f>
        <v>7</v>
      </c>
      <c r="D227" s="87">
        <f>IF(C227&lt;1,B227,B227/2/C227)</f>
        <v>1800.096824283864</v>
      </c>
      <c r="E227" s="87">
        <f>IF((SUM($D227:D227)+$B227/$C227)&gt;$B227,$B227-SUM($D227:D227),$B227/$C227)</f>
        <v>3600.1936485677279</v>
      </c>
      <c r="F227" s="87">
        <f>IF((SUM($D227:E227)+$B227/$C227)&gt;$B227,$B227-SUM($D227:E227),$B227/$C227)</f>
        <v>3600.1936485677279</v>
      </c>
      <c r="G227" s="87">
        <f>IF((SUM($D227:F227)+$B227/$C227)&gt;$B227,$B227-SUM($D227:F227),$B227/$C227)</f>
        <v>3600.1936485677279</v>
      </c>
      <c r="H227" s="87">
        <f>IF((SUM($D227:G227)+$B227/$C227)&gt;$B227,$B227-SUM($D227:G227),$B227/$C227)</f>
        <v>3600.1936485677279</v>
      </c>
      <c r="I227" s="87">
        <f>IF((SUM($D227:H227)+$B227/$C227)&gt;$B227,$B227-SUM($D227:H227),$B227/$C227)</f>
        <v>3600.1936485677279</v>
      </c>
      <c r="J227" s="87">
        <f>IF((SUM($D227:I227)+$B227/$C227)&gt;$B227,$B227-SUM($D227:I227),$B227/$C227)</f>
        <v>3600.1936485677279</v>
      </c>
      <c r="K227" s="87">
        <f>IF((SUM($D227:J227)+$B227/$C227)&gt;$B227,$B227-SUM($D227:J227),$B227/$C227)</f>
        <v>1800.0968242838608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">
      <c r="A228" s="469">
        <v>2010</v>
      </c>
      <c r="B228" s="471">
        <f>E$183</f>
        <v>36524.471515568075</v>
      </c>
      <c r="C228" s="470">
        <f>'Data 2009-15 (Real $2008)'!C$155</f>
        <v>7</v>
      </c>
      <c r="D228" s="480"/>
      <c r="E228" s="87">
        <f>IF(C228&lt;1,B228,B228/2/C228)</f>
        <v>2608.8908225405767</v>
      </c>
      <c r="F228" s="87">
        <f>IF((SUM($D228:E228)+$B228/$C228)&gt;$B228,$B228-SUM($D228:E228),$B228/$C228)</f>
        <v>5217.7816450811533</v>
      </c>
      <c r="G228" s="87">
        <f>IF((SUM($D228:F228)+$B228/$C228)&gt;$B228,$B228-SUM($D228:F228),$B228/$C228)</f>
        <v>5217.7816450811533</v>
      </c>
      <c r="H228" s="87">
        <f>IF((SUM($D228:G228)+$B228/$C228)&gt;$B228,$B228-SUM($D228:G228),$B228/$C228)</f>
        <v>5217.7816450811533</v>
      </c>
      <c r="I228" s="87">
        <f>IF((SUM($D228:H228)+$B228/$C228)&gt;$B228,$B228-SUM($D228:H228),$B228/$C228)</f>
        <v>5217.7816450811533</v>
      </c>
      <c r="J228" s="87">
        <f>IF((SUM($D228:I228)+$B228/$C228)&gt;$B228,$B228-SUM($D228:I228),$B228/$C228)</f>
        <v>5217.7816450811533</v>
      </c>
      <c r="K228" s="87">
        <f>IF((SUM($D228:J228)+$B228/$C228)&gt;$B228,$B228-SUM($D228:J228),$B228/$C228)</f>
        <v>5217.7816450811533</v>
      </c>
      <c r="L228" s="87">
        <f>IF((SUM($D228:K228)+$B228/$C228)&gt;$B228,$B228-SUM($D228:K228),$B228/$C228)</f>
        <v>2608.890822540583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">
      <c r="A229" s="469">
        <v>2011</v>
      </c>
      <c r="B229" s="471">
        <f>F$183</f>
        <v>21261.434569870315</v>
      </c>
      <c r="C229" s="470">
        <f>'Data 2009-15 (Real $2008)'!C$155</f>
        <v>7</v>
      </c>
      <c r="D229" s="480"/>
      <c r="E229" s="480"/>
      <c r="F229" s="87">
        <f>IF(C229&lt;1,B229,B229/2/C229)</f>
        <v>1518.6738978478795</v>
      </c>
      <c r="G229" s="87">
        <f>IF((SUM($D229:F229)+$B229/$C229)&gt;$B229,$B229-SUM($D229:F229),$B229/$C229)</f>
        <v>3037.347795695759</v>
      </c>
      <c r="H229" s="87">
        <f>IF((SUM($D229:G229)+$B229/$C229)&gt;$B229,$B229-SUM($D229:G229),$B229/$C229)</f>
        <v>3037.347795695759</v>
      </c>
      <c r="I229" s="87">
        <f>IF((SUM($D229:H229)+$B229/$C229)&gt;$B229,$B229-SUM($D229:H229),$B229/$C229)</f>
        <v>3037.347795695759</v>
      </c>
      <c r="J229" s="87">
        <f>IF((SUM($D229:I229)+$B229/$C229)&gt;$B229,$B229-SUM($D229:I229),$B229/$C229)</f>
        <v>3037.347795695759</v>
      </c>
      <c r="K229" s="87">
        <f>IF((SUM($D229:J229)+$B229/$C229)&gt;$B229,$B229-SUM($D229:J229),$B229/$C229)</f>
        <v>3037.347795695759</v>
      </c>
      <c r="L229" s="87">
        <f>IF((SUM($D229:K229)+$B229/$C229)&gt;$B229,$B229-SUM($D229:K229),$B229/$C229)</f>
        <v>3037.347795695759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">
      <c r="A230" s="469">
        <v>2012</v>
      </c>
      <c r="B230" s="471">
        <f>G$183</f>
        <v>21785.439711631407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1556.1028365451004</v>
      </c>
      <c r="H230" s="87">
        <f>IF((SUM($D230:G230)+$B230/$C230)&gt;$B230,$B230-SUM($D230:G230),$B230/$C230)</f>
        <v>3112.2056730902009</v>
      </c>
      <c r="I230" s="87">
        <f>IF((SUM($D230:H230)+$B230/$C230)&gt;$B230,$B230-SUM($D230:H230),$B230/$C230)</f>
        <v>3112.2056730902009</v>
      </c>
      <c r="J230" s="87">
        <f>IF((SUM($D230:I230)+$B230/$C230)&gt;$B230,$B230-SUM($D230:I230),$B230/$C230)</f>
        <v>3112.2056730902009</v>
      </c>
      <c r="K230" s="87">
        <f>IF((SUM($D230:J230)+$B230/$C230)&gt;$B230,$B230-SUM($D230:J230),$B230/$C230)</f>
        <v>3112.2056730902009</v>
      </c>
      <c r="L230" s="87">
        <f>IF((SUM($D230:K230)+$B230/$C230)&gt;$B230,$B230-SUM($D230:K230),$B230/$C230)</f>
        <v>3112.2056730902009</v>
      </c>
      <c r="M230" s="87">
        <f>IF((SUM($D230:L230)+$B230/$C230)&gt;$B230,$B230-SUM($D230:L230),$B230/$C230)</f>
        <v>3112.2056730902009</v>
      </c>
      <c r="N230" s="87">
        <f>IF((SUM($D230:M230)+$B230/$C230)&gt;$B230,$B230-SUM($D230:M230),$B230/$C230)</f>
        <v>1556.102836545102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">
      <c r="A231" s="469">
        <v>2013</v>
      </c>
      <c r="B231" s="471">
        <f>H$183</f>
        <v>7831.8045605887964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559.4146114706283</v>
      </c>
      <c r="I231" s="87">
        <f>IF((SUM($D231:H231)+$B231/$C231)&gt;$B231,$B231-SUM($D231:H231),$B231/$C231)</f>
        <v>1118.8292229412566</v>
      </c>
      <c r="J231" s="87">
        <f>IF((SUM($D231:I231)+$B231/$C231)&gt;$B231,$B231-SUM($D231:I231),$B231/$C231)</f>
        <v>1118.8292229412566</v>
      </c>
      <c r="K231" s="87">
        <f>IF((SUM($D231:J231)+$B231/$C231)&gt;$B231,$B231-SUM($D231:J231),$B231/$C231)</f>
        <v>1118.8292229412566</v>
      </c>
      <c r="L231" s="87">
        <f>IF((SUM($D231:K231)+$B231/$C231)&gt;$B231,$B231-SUM($D231:K231),$B231/$C231)</f>
        <v>1118.8292229412566</v>
      </c>
      <c r="M231" s="87">
        <f>IF((SUM($D231:L231)+$B231/$C231)&gt;$B231,$B231-SUM($D231:L231),$B231/$C231)</f>
        <v>1118.8292229412566</v>
      </c>
      <c r="N231" s="87">
        <f>IF((SUM($D231:M231)+$B231/$C231)&gt;$B231,$B231-SUM($D231:M231),$B231/$C231)</f>
        <v>1118.8292229412566</v>
      </c>
      <c r="O231" s="87">
        <f>IF((SUM($D231:N231)+$B231/$C231)&gt;$B231,$B231-SUM($D231:N231),$B231/$C231)</f>
        <v>559.4146114706291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">
      <c r="A232" s="469">
        <v>2014</v>
      </c>
      <c r="B232" s="471">
        <f>I$183</f>
        <v>8460.9455929508786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604.3532566393485</v>
      </c>
      <c r="J232" s="87">
        <f>IF((SUM($D232:I232)+$B232/$C232)&gt;$B232,$B232-SUM($D232:I232),$B232/$C232)</f>
        <v>1208.706513278697</v>
      </c>
      <c r="K232" s="87">
        <f>IF((SUM($D232:J232)+$B232/$C232)&gt;$B232,$B232-SUM($D232:J232),$B232/$C232)</f>
        <v>1208.706513278697</v>
      </c>
      <c r="L232" s="87">
        <f>IF((SUM($D232:K232)+$B232/$C232)&gt;$B232,$B232-SUM($D232:K232),$B232/$C232)</f>
        <v>1208.706513278697</v>
      </c>
      <c r="M232" s="87">
        <f>IF((SUM($D232:L232)+$B232/$C232)&gt;$B232,$B232-SUM($D232:L232),$B232/$C232)</f>
        <v>1208.706513278697</v>
      </c>
      <c r="N232" s="87">
        <f>IF((SUM($D232:M232)+$B232/$C232)&gt;$B232,$B232-SUM($D232:M232),$B232/$C232)</f>
        <v>1208.706513278697</v>
      </c>
      <c r="O232" s="87">
        <f>IF((SUM($D232:N232)+$B232/$C232)&gt;$B232,$B232-SUM($D232:N232),$B232/$C232)</f>
        <v>1208.706513278697</v>
      </c>
      <c r="P232" s="87">
        <f>IF((SUM($D232:O232)+$B232/$C232)&gt;$B232,$B232-SUM($D232:O232),$B232/$C232)</f>
        <v>604.353256639346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">
      <c r="A233" s="469">
        <v>2015</v>
      </c>
      <c r="B233" s="471">
        <f>J$183</f>
        <v>1901.8837444260851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135.8488388875775</v>
      </c>
      <c r="K233" s="87">
        <f>IF((SUM($D233:J233)+$B233/$C233)&gt;$B233,$B233-SUM($D233:J233),$B233/$C233)</f>
        <v>271.697677775155</v>
      </c>
      <c r="L233" s="87">
        <f>IF((SUM($D233:K233)+$B233/$C233)&gt;$B233,$B233-SUM($D233:K233),$B233/$C233)</f>
        <v>271.697677775155</v>
      </c>
      <c r="M233" s="87">
        <f>IF((SUM($D233:L233)+$B233/$C233)&gt;$B233,$B233-SUM($D233:L233),$B233/$C233)</f>
        <v>271.697677775155</v>
      </c>
      <c r="N233" s="87">
        <f>IF((SUM($D233:M233)+$B233/$C233)&gt;$B233,$B233-SUM($D233:M233),$B233/$C233)</f>
        <v>271.697677775155</v>
      </c>
      <c r="O233" s="87">
        <f>IF((SUM($D233:N233)+$B233/$C233)&gt;$B233,$B233-SUM($D233:N233),$B233/$C233)</f>
        <v>271.697677775155</v>
      </c>
      <c r="P233" s="87">
        <f>IF((SUM($D233:O233)+$B233/$C233)&gt;$B233,$B233-SUM($D233:O233),$B233/$C233)</f>
        <v>271.697677775155</v>
      </c>
      <c r="Q233" s="87">
        <f>IF((SUM($D233:P233)+$B233/$C233)&gt;$B233,$B233-SUM($D233:P233),$B233/$C233)</f>
        <v>135.84883888757781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">
      <c r="B234" s="472">
        <f>SUM(B227:B233)</f>
        <v>122967.33523500965</v>
      </c>
      <c r="D234" s="697">
        <f t="shared" ref="D234:AA234" si="72">SUM(D227:D233)</f>
        <v>1800.096824283864</v>
      </c>
      <c r="E234" s="697">
        <f t="shared" si="72"/>
        <v>6209.0844711083046</v>
      </c>
      <c r="F234" s="697">
        <f t="shared" si="72"/>
        <v>10336.649191496759</v>
      </c>
      <c r="G234" s="697">
        <f t="shared" si="72"/>
        <v>13411.42592588974</v>
      </c>
      <c r="H234" s="697">
        <f t="shared" si="72"/>
        <v>15526.943373905469</v>
      </c>
      <c r="I234" s="697">
        <f t="shared" si="72"/>
        <v>16690.711242015444</v>
      </c>
      <c r="J234" s="697">
        <f t="shared" si="72"/>
        <v>17430.91333754237</v>
      </c>
      <c r="K234" s="697">
        <f t="shared" si="72"/>
        <v>15766.665352146083</v>
      </c>
      <c r="L234" s="697">
        <f t="shared" si="72"/>
        <v>11357.677705321652</v>
      </c>
      <c r="M234" s="697">
        <f t="shared" si="72"/>
        <v>7230.1129849331919</v>
      </c>
      <c r="N234" s="697">
        <f t="shared" si="72"/>
        <v>4155.3362505402101</v>
      </c>
      <c r="O234" s="697">
        <f t="shared" si="72"/>
        <v>2039.818802524481</v>
      </c>
      <c r="P234" s="697">
        <f t="shared" si="72"/>
        <v>876.05093441450094</v>
      </c>
      <c r="Q234" s="697">
        <f t="shared" si="72"/>
        <v>135.84883888757781</v>
      </c>
      <c r="R234" s="697">
        <f t="shared" si="72"/>
        <v>0</v>
      </c>
      <c r="S234" s="697">
        <f t="shared" si="72"/>
        <v>0</v>
      </c>
      <c r="T234" s="697">
        <f t="shared" si="72"/>
        <v>0</v>
      </c>
      <c r="U234" s="697">
        <f t="shared" si="72"/>
        <v>0</v>
      </c>
      <c r="V234" s="697">
        <f t="shared" si="72"/>
        <v>0</v>
      </c>
      <c r="W234" s="697">
        <f t="shared" si="72"/>
        <v>0</v>
      </c>
      <c r="X234" s="697">
        <f t="shared" si="72"/>
        <v>0</v>
      </c>
      <c r="Y234" s="697">
        <f t="shared" si="72"/>
        <v>0</v>
      </c>
      <c r="Z234" s="697">
        <f t="shared" si="72"/>
        <v>0</v>
      </c>
      <c r="AA234" s="697">
        <f t="shared" si="72"/>
        <v>0</v>
      </c>
    </row>
    <row r="235" spans="1:27" outlineLevel="1" x14ac:dyDescent="0.2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">
      <c r="A237" s="346" t="s">
        <v>279</v>
      </c>
      <c r="B237" s="473" t="s">
        <v>325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">
      <c r="A238" s="346" t="str">
        <f>$A$4</f>
        <v>($000 Real 2008)</v>
      </c>
      <c r="B238" s="474" t="s">
        <v>326</v>
      </c>
      <c r="C238" s="475" t="s">
        <v>322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">
      <c r="A243" s="469">
        <v>2013</v>
      </c>
      <c r="B243" s="471">
        <f>H$184</f>
        <v>16309.185241853025</v>
      </c>
      <c r="C243" s="470">
        <f>'Data 2009-15 (Real $2008)'!C$156</f>
        <v>7</v>
      </c>
      <c r="D243" s="480"/>
      <c r="E243" s="480"/>
      <c r="F243" s="480"/>
      <c r="G243" s="480"/>
      <c r="H243" s="87">
        <f>IF($C243=1,$B243,$B243/2/$C243)</f>
        <v>1164.9418029895019</v>
      </c>
      <c r="I243" s="87">
        <f>IF((SUM($D243:H243)+$B243/$C243)&gt;$B243,$B243-SUM($D243:H243),$B243/$C243)</f>
        <v>2329.8836059790037</v>
      </c>
      <c r="J243" s="87">
        <f>IF((SUM($D243:I243)+$B243/$C243)&gt;$B243,$B243-SUM($D243:I243),$B243/$C243)</f>
        <v>2329.8836059790037</v>
      </c>
      <c r="K243" s="87">
        <f>IF((SUM($D243:J243)+$B243/$C243)&gt;$B243,$B243-SUM($D243:J243),$B243/$C243)</f>
        <v>2329.8836059790037</v>
      </c>
      <c r="L243" s="87">
        <f>IF((SUM($D243:K243)+$B243/$C243)&gt;$B243,$B243-SUM($D243:K243),$B243/$C243)</f>
        <v>2329.8836059790037</v>
      </c>
      <c r="M243" s="87">
        <f>IF((SUM($D243:L243)+$B243/$C243)&gt;$B243,$B243-SUM($D243:L243),$B243/$C243)</f>
        <v>2329.8836059790037</v>
      </c>
      <c r="N243" s="87">
        <f>IF((SUM($D243:M243)+$B243/$C243)&gt;$B243,$B243-SUM($D243:M243),$B243/$C243)</f>
        <v>2329.8836059790037</v>
      </c>
      <c r="O243" s="87">
        <f>IF((SUM($D243:N243)+$B243/$C243)&gt;$B243,$B243-SUM($D243:N243),$B243/$C243)</f>
        <v>1164.9418029894987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">
      <c r="A244" s="469">
        <v>2014</v>
      </c>
      <c r="B244" s="471">
        <f>I$184</f>
        <v>0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0</v>
      </c>
      <c r="J244" s="87">
        <f>IF((SUM($D244:I244)+$B244/$C244)&gt;$B244,$B244-SUM($D244:I244),$B244/$C244)</f>
        <v>0</v>
      </c>
      <c r="K244" s="87">
        <f>IF((SUM($D244:J244)+$B244/$C244)&gt;$B244,$B244-SUM($D244:J244),$B244/$C244)</f>
        <v>0</v>
      </c>
      <c r="L244" s="87">
        <f>IF((SUM($D244:K244)+$B244/$C244)&gt;$B244,$B244-SUM($D244:K244),$B244/$C244)</f>
        <v>0</v>
      </c>
      <c r="M244" s="87">
        <f>IF((SUM($D244:L244)+$B244/$C244)&gt;$B244,$B244-SUM($D244:L244),$B244/$C244)</f>
        <v>0</v>
      </c>
      <c r="N244" s="87">
        <f>IF((SUM($D244:M244)+$B244/$C244)&gt;$B244,$B244-SUM($D244:M244),$B244/$C244)</f>
        <v>0</v>
      </c>
      <c r="O244" s="87">
        <f>IF((SUM($D244:N244)+$B244/$C244)&gt;$B244,$B244-SUM($D244:N244),$B244/$C244)</f>
        <v>0</v>
      </c>
      <c r="P244" s="87">
        <f>IF((SUM($D244:O244)+$B244/$C244)&gt;$B244,$B244-SUM($D244:O244),$B244/$C244)</f>
        <v>0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">
      <c r="A245" s="469">
        <v>2015</v>
      </c>
      <c r="B245" s="471">
        <f>J$184</f>
        <v>0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0</v>
      </c>
      <c r="K245" s="87">
        <f>IF((SUM($D245:J245)+$B245/$C245)&gt;$B245,$B245-SUM($D245:J245),$B245/$C245)</f>
        <v>0</v>
      </c>
      <c r="L245" s="87">
        <f>IF((SUM($D245:K245)+$B245/$C245)&gt;$B245,$B245-SUM($D245:K245),$B245/$C245)</f>
        <v>0</v>
      </c>
      <c r="M245" s="87">
        <f>IF((SUM($D245:L245)+$B245/$C245)&gt;$B245,$B245-SUM($D245:L245),$B245/$C245)</f>
        <v>0</v>
      </c>
      <c r="N245" s="87">
        <f>IF((SUM($D245:M245)+$B245/$C245)&gt;$B245,$B245-SUM($D245:M245),$B245/$C245)</f>
        <v>0</v>
      </c>
      <c r="O245" s="87">
        <f>IF((SUM($D245:N245)+$B245/$C245)&gt;$B245,$B245-SUM($D245:N245),$B245/$C245)</f>
        <v>0</v>
      </c>
      <c r="P245" s="87">
        <f>IF((SUM($D245:O245)+$B245/$C245)&gt;$B245,$B245-SUM($D245:O245),$B245/$C245)</f>
        <v>0</v>
      </c>
      <c r="Q245" s="87">
        <f>IF((SUM($D245:P245)+$B245/$C245)&gt;$B245,$B245-SUM($D245:P245),$B245/$C245)</f>
        <v>0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">
      <c r="B246" s="472">
        <f>SUM(B239:B245)</f>
        <v>55547.000860453576</v>
      </c>
      <c r="D246" s="697">
        <f t="shared" ref="D246:AA246" si="74">SUM(D239:D245)</f>
        <v>60.456815647361644</v>
      </c>
      <c r="E246" s="697">
        <f t="shared" si="74"/>
        <v>709.3050035960282</v>
      </c>
      <c r="F246" s="697">
        <f t="shared" si="74"/>
        <v>1883.3674521861799</v>
      </c>
      <c r="G246" s="697">
        <f t="shared" si="74"/>
        <v>4037.2203798518385</v>
      </c>
      <c r="H246" s="697">
        <f t="shared" si="74"/>
        <v>6770.344034218153</v>
      </c>
      <c r="I246" s="697">
        <f t="shared" si="74"/>
        <v>7935.2858372076544</v>
      </c>
      <c r="J246" s="697">
        <f t="shared" si="74"/>
        <v>7935.2858372076544</v>
      </c>
      <c r="K246" s="697">
        <f t="shared" si="74"/>
        <v>7874.8290215602929</v>
      </c>
      <c r="L246" s="697">
        <f t="shared" si="74"/>
        <v>7225.9808336116275</v>
      </c>
      <c r="M246" s="697">
        <f t="shared" si="74"/>
        <v>6051.9183850214722</v>
      </c>
      <c r="N246" s="697">
        <f t="shared" si="74"/>
        <v>3898.0654573558159</v>
      </c>
      <c r="O246" s="697">
        <f t="shared" si="74"/>
        <v>1164.9418029894987</v>
      </c>
      <c r="P246" s="697">
        <f t="shared" si="74"/>
        <v>0</v>
      </c>
      <c r="Q246" s="697">
        <f t="shared" si="74"/>
        <v>0</v>
      </c>
      <c r="R246" s="697">
        <f t="shared" si="74"/>
        <v>0</v>
      </c>
      <c r="S246" s="697">
        <f t="shared" si="74"/>
        <v>0</v>
      </c>
      <c r="T246" s="697">
        <f t="shared" si="74"/>
        <v>0</v>
      </c>
      <c r="U246" s="697">
        <f t="shared" si="74"/>
        <v>0</v>
      </c>
      <c r="V246" s="697">
        <f t="shared" si="74"/>
        <v>0</v>
      </c>
      <c r="W246" s="697">
        <f t="shared" si="74"/>
        <v>0</v>
      </c>
      <c r="X246" s="697">
        <f t="shared" si="74"/>
        <v>0</v>
      </c>
      <c r="Y246" s="697">
        <f t="shared" si="74"/>
        <v>0</v>
      </c>
      <c r="Z246" s="697">
        <f t="shared" si="74"/>
        <v>0</v>
      </c>
      <c r="AA246" s="697">
        <f t="shared" si="74"/>
        <v>0</v>
      </c>
    </row>
    <row r="247" spans="1:27" outlineLevel="1" x14ac:dyDescent="0.2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">
      <c r="A249" s="346" t="s">
        <v>278</v>
      </c>
      <c r="B249" s="473" t="s">
        <v>325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">
      <c r="A250" s="346" t="str">
        <f>$A$4</f>
        <v>($000 Real 2008)</v>
      </c>
      <c r="B250" s="474" t="s">
        <v>326</v>
      </c>
      <c r="C250" s="475" t="s">
        <v>322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">
      <c r="B258" s="472">
        <f>SUM(B251:B257)</f>
        <v>0</v>
      </c>
      <c r="D258" s="697">
        <f t="shared" ref="D258:AA258" si="76">SUM(D251:D257)</f>
        <v>0</v>
      </c>
      <c r="E258" s="697">
        <f t="shared" si="76"/>
        <v>0</v>
      </c>
      <c r="F258" s="697">
        <f t="shared" si="76"/>
        <v>0</v>
      </c>
      <c r="G258" s="697">
        <f t="shared" si="76"/>
        <v>0</v>
      </c>
      <c r="H258" s="697">
        <f t="shared" si="76"/>
        <v>0</v>
      </c>
      <c r="I258" s="697">
        <f t="shared" si="76"/>
        <v>0</v>
      </c>
      <c r="J258" s="697">
        <f t="shared" si="76"/>
        <v>0</v>
      </c>
      <c r="K258" s="697">
        <f t="shared" si="76"/>
        <v>0</v>
      </c>
      <c r="L258" s="697">
        <f t="shared" si="76"/>
        <v>0</v>
      </c>
      <c r="M258" s="697">
        <f t="shared" si="76"/>
        <v>0</v>
      </c>
      <c r="N258" s="697">
        <f t="shared" si="76"/>
        <v>0</v>
      </c>
      <c r="O258" s="697">
        <f t="shared" si="76"/>
        <v>0</v>
      </c>
      <c r="P258" s="697">
        <f t="shared" si="76"/>
        <v>0</v>
      </c>
      <c r="Q258" s="697">
        <f t="shared" si="76"/>
        <v>0</v>
      </c>
      <c r="R258" s="697">
        <f t="shared" si="76"/>
        <v>0</v>
      </c>
      <c r="S258" s="697">
        <f t="shared" si="76"/>
        <v>0</v>
      </c>
      <c r="T258" s="697">
        <f t="shared" si="76"/>
        <v>0</v>
      </c>
      <c r="U258" s="697">
        <f t="shared" si="76"/>
        <v>0</v>
      </c>
      <c r="V258" s="697">
        <f t="shared" si="76"/>
        <v>0</v>
      </c>
      <c r="W258" s="697">
        <f t="shared" si="76"/>
        <v>0</v>
      </c>
      <c r="X258" s="697">
        <f t="shared" si="76"/>
        <v>0</v>
      </c>
      <c r="Y258" s="697">
        <f t="shared" si="76"/>
        <v>0</v>
      </c>
      <c r="Z258" s="697">
        <f t="shared" si="76"/>
        <v>0</v>
      </c>
      <c r="AA258" s="697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6" t="s">
        <v>45</v>
      </c>
      <c r="B261" s="477">
        <f>SUM(B198,B210,B222,B234,B246,B258)</f>
        <v>513225.65326488315</v>
      </c>
      <c r="C261" s="476"/>
      <c r="D261" s="479">
        <f>SUM(D198,D210,D222,D234,D246,D258)</f>
        <v>2960.877503875261</v>
      </c>
      <c r="E261" s="479">
        <f t="shared" ref="E261:W261" si="77">SUM(E198,E210,E222,E234,E246,E258)</f>
        <v>11605.156166862091</v>
      </c>
      <c r="F261" s="479">
        <f t="shared" si="77"/>
        <v>21886.848405130579</v>
      </c>
      <c r="G261" s="479">
        <f t="shared" si="77"/>
        <v>32498.96763696917</v>
      </c>
      <c r="H261" s="479">
        <f t="shared" si="77"/>
        <v>42967.779951200297</v>
      </c>
      <c r="I261" s="479">
        <f t="shared" si="77"/>
        <v>43678.46859531269</v>
      </c>
      <c r="J261" s="479">
        <f t="shared" si="77"/>
        <v>46045.923087081894</v>
      </c>
      <c r="K261" s="479">
        <f t="shared" si="77"/>
        <v>44533.79094229082</v>
      </c>
      <c r="L261" s="479">
        <f t="shared" si="77"/>
        <v>39475.955107517722</v>
      </c>
      <c r="M261" s="479">
        <f t="shared" si="77"/>
        <v>34174.327938539107</v>
      </c>
      <c r="N261" s="479">
        <f t="shared" si="77"/>
        <v>28945.698276480474</v>
      </c>
      <c r="O261" s="479">
        <f t="shared" si="77"/>
        <v>24097.057174098427</v>
      </c>
      <c r="P261" s="479">
        <f t="shared" si="77"/>
        <v>21768.347502998946</v>
      </c>
      <c r="Q261" s="479">
        <f t="shared" si="77"/>
        <v>21028.145407472024</v>
      </c>
      <c r="R261" s="479">
        <f t="shared" si="77"/>
        <v>20892.296568584447</v>
      </c>
      <c r="S261" s="479">
        <f t="shared" si="77"/>
        <v>20853.635561352414</v>
      </c>
      <c r="T261" s="479">
        <f t="shared" si="77"/>
        <v>19883.950872286619</v>
      </c>
      <c r="U261" s="479">
        <f t="shared" si="77"/>
        <v>16504.739885201845</v>
      </c>
      <c r="V261" s="479">
        <f t="shared" si="77"/>
        <v>11386.156433307005</v>
      </c>
      <c r="W261" s="479">
        <f t="shared" si="77"/>
        <v>5985.1325395739159</v>
      </c>
      <c r="X261" s="479">
        <f>SUM(X198,X210,X222,X234,X246,X258)</f>
        <v>1839.8250524948605</v>
      </c>
      <c r="Y261" s="479">
        <f>SUM(Y198,Y210,Y222,Y234,Y246,Y258)</f>
        <v>212.57265625256878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5" thickTop="1" x14ac:dyDescent="0.2"/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40625" defaultRowHeight="12.75" x14ac:dyDescent="0.2"/>
  <cols>
    <col min="1" max="1" width="63.140625" style="57" customWidth="1"/>
    <col min="2" max="2" width="10" style="57" customWidth="1"/>
    <col min="3" max="3" width="11.42578125" style="57" customWidth="1"/>
    <col min="4" max="4" width="16.28515625" style="57" customWidth="1"/>
    <col min="5" max="5" width="13.140625" style="57" customWidth="1"/>
    <col min="6" max="6" width="12.85546875" style="57" customWidth="1"/>
    <col min="7" max="7" width="12.7109375" style="57" customWidth="1"/>
    <col min="8" max="8" width="14.42578125" style="57" customWidth="1"/>
    <col min="9" max="9" width="11.5703125" style="57" bestFit="1" customWidth="1"/>
    <col min="10" max="10" width="10" style="57" customWidth="1"/>
    <col min="11" max="11" width="9.140625" style="57"/>
    <col min="12" max="14" width="9.28515625" style="57" bestFit="1" customWidth="1"/>
    <col min="15" max="16" width="10" style="57" customWidth="1"/>
    <col min="17" max="17" width="9.42578125" style="57" bestFit="1" customWidth="1"/>
    <col min="18" max="18" width="9.85546875" style="57" customWidth="1"/>
    <col min="19" max="16384" width="9.140625" style="57"/>
  </cols>
  <sheetData>
    <row r="1" spans="1:11" ht="15.75" x14ac:dyDescent="0.25">
      <c r="A1" s="555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75" x14ac:dyDescent="0.25">
      <c r="B2" s="342"/>
      <c r="C2" s="342"/>
    </row>
    <row r="3" spans="1:11" x14ac:dyDescent="0.2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">
      <c r="A4" s="422" t="s">
        <v>86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">
      <c r="A6" s="423" t="s">
        <v>296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">
      <c r="A10" s="500" t="s">
        <v>344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">
      <c r="A11" s="409" t="s">
        <v>297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">
      <c r="A12" s="422" t="s">
        <v>299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2"/>
      <c r="H12" s="532"/>
      <c r="I12" s="532"/>
      <c r="J12" s="532"/>
      <c r="K12" s="522"/>
    </row>
    <row r="13" spans="1:11" x14ac:dyDescent="0.2">
      <c r="A13" s="422" t="s">
        <v>305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2"/>
      <c r="J13" s="532"/>
      <c r="K13" s="522"/>
    </row>
    <row r="14" spans="1:11" x14ac:dyDescent="0.2">
      <c r="A14" s="422" t="s">
        <v>304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">
      <c r="A15" s="422" t="s">
        <v>306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2"/>
      <c r="H15" s="532"/>
      <c r="I15" s="532"/>
      <c r="J15" s="532"/>
      <c r="K15" s="522"/>
    </row>
    <row r="16" spans="1:11" x14ac:dyDescent="0.2">
      <c r="A16" s="422" t="s">
        <v>45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">
      <c r="A18" s="422" t="s">
        <v>307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5" thickBot="1" x14ac:dyDescent="0.25">
      <c r="A20" s="430" t="s">
        <v>345</v>
      </c>
      <c r="B20" s="431"/>
      <c r="C20" s="431"/>
      <c r="D20" s="534"/>
      <c r="E20" s="534"/>
      <c r="F20" s="534"/>
      <c r="G20" s="429">
        <f>SUMPRODUCT(D16:K16,D18:K18)</f>
        <v>-6137.4832866242659</v>
      </c>
      <c r="H20" s="533"/>
      <c r="I20" s="533"/>
      <c r="J20" s="534"/>
      <c r="K20" s="534"/>
    </row>
    <row r="21" spans="1:11" ht="13.5" thickTop="1" x14ac:dyDescent="0.2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">
      <c r="A24" s="43" t="s">
        <v>303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">
      <c r="A25" s="409" t="s">
        <v>300</v>
      </c>
      <c r="D25" s="307"/>
      <c r="E25" s="275"/>
      <c r="F25" s="275"/>
      <c r="G25" s="275"/>
      <c r="H25" s="275"/>
    </row>
    <row r="26" spans="1:11" x14ac:dyDescent="0.2">
      <c r="A26" s="85" t="s">
        <v>301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">
      <c r="A27" s="84" t="s">
        <v>131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">
      <c r="A28" s="279" t="s">
        <v>132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5" thickBot="1" x14ac:dyDescent="0.25">
      <c r="A29" s="57" t="s">
        <v>302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5" thickTop="1" x14ac:dyDescent="0.2">
      <c r="D30" s="275"/>
      <c r="E30" s="275"/>
      <c r="F30" s="275"/>
      <c r="G30" s="275"/>
      <c r="H30" s="275"/>
    </row>
    <row r="31" spans="1:11" x14ac:dyDescent="0.2">
      <c r="A31" s="57" t="s">
        <v>302</v>
      </c>
      <c r="D31" s="275"/>
      <c r="E31" s="275"/>
      <c r="F31" s="275"/>
      <c r="G31" s="275"/>
      <c r="H31" s="275"/>
    </row>
    <row r="32" spans="1:11" x14ac:dyDescent="0.2">
      <c r="A32" s="409" t="s">
        <v>289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">
      <c r="D33" s="275"/>
      <c r="E33" s="275"/>
      <c r="F33" s="275"/>
      <c r="G33" s="275"/>
      <c r="H33" s="275"/>
    </row>
    <row r="34" spans="1:11" x14ac:dyDescent="0.2">
      <c r="D34" s="275"/>
      <c r="E34" s="275"/>
      <c r="F34" s="275"/>
      <c r="G34" s="275"/>
      <c r="H34" s="275"/>
    </row>
    <row r="35" spans="1:11" x14ac:dyDescent="0.2">
      <c r="A35" s="57" t="s">
        <v>302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">
      <c r="A36" s="409" t="s">
        <v>297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">
      <c r="D37" s="275"/>
      <c r="E37" s="275"/>
      <c r="F37" s="275"/>
      <c r="G37" s="275"/>
      <c r="H37" s="275"/>
    </row>
    <row r="38" spans="1:11" ht="13.5" thickBot="1" x14ac:dyDescent="0.25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">
      <c r="D39" s="275"/>
      <c r="E39" s="275"/>
      <c r="F39" s="275"/>
      <c r="G39" s="275"/>
      <c r="H39" s="275"/>
    </row>
    <row r="40" spans="1:11" x14ac:dyDescent="0.2">
      <c r="A40" s="43" t="s">
        <v>304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">
      <c r="A41" s="409" t="s">
        <v>289</v>
      </c>
      <c r="D41" s="275"/>
      <c r="E41" s="275"/>
      <c r="F41" s="275"/>
      <c r="G41" s="275"/>
      <c r="H41" s="275"/>
    </row>
    <row r="42" spans="1:11" x14ac:dyDescent="0.2">
      <c r="A42" s="344" t="s">
        <v>354</v>
      </c>
    </row>
    <row r="43" spans="1:11" x14ac:dyDescent="0.2">
      <c r="A43" s="280" t="s">
        <v>310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">
      <c r="A44" s="84" t="s">
        <v>24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">
      <c r="A45" s="84" t="s">
        <v>262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">
      <c r="A48" s="344" t="s">
        <v>311</v>
      </c>
    </row>
    <row r="49" spans="1:11" x14ac:dyDescent="0.2">
      <c r="A49" s="280" t="s">
        <v>310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">
      <c r="A50" s="84" t="s">
        <v>24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">
      <c r="A51" s="84" t="s">
        <v>262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">
      <c r="A54" s="57" t="s">
        <v>358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">
      <c r="A55" s="57" t="s">
        <v>312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">
      <c r="A57" s="344" t="s">
        <v>313</v>
      </c>
    </row>
    <row r="58" spans="1:11" x14ac:dyDescent="0.2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5" thickBot="1" x14ac:dyDescent="0.25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5" thickTop="1" x14ac:dyDescent="0.2"/>
    <row r="64" spans="1:11" x14ac:dyDescent="0.2">
      <c r="A64" s="448" t="s">
        <v>304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">
      <c r="A65" s="409" t="s">
        <v>297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">
      <c r="D66" s="347"/>
      <c r="E66" s="347"/>
      <c r="F66" s="347"/>
      <c r="G66" s="347"/>
      <c r="H66" s="347"/>
      <c r="I66" s="347"/>
      <c r="J66" s="347"/>
      <c r="K66" s="347"/>
    </row>
    <row r="67" spans="1:18" ht="13.5" thickBot="1" x14ac:dyDescent="0.25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">
      <c r="A69" s="59" t="s">
        <v>299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">
      <c r="A70" s="409" t="s">
        <v>297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">
      <c r="A71" s="279" t="s">
        <v>293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">
      <c r="A72" s="424" t="s">
        <v>295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5" thickBot="1" x14ac:dyDescent="0.25">
      <c r="A73" s="356" t="s">
        <v>298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5" thickTop="1" x14ac:dyDescent="0.2">
      <c r="D74" s="349"/>
      <c r="E74" s="349"/>
      <c r="F74" s="349"/>
    </row>
    <row r="75" spans="1:18" s="279" customFormat="1" x14ac:dyDescent="0.2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">
      <c r="A77" s="57"/>
      <c r="B77" s="57"/>
      <c r="C77" s="57"/>
      <c r="D77" s="351"/>
      <c r="E77" s="351"/>
      <c r="F77" s="351"/>
      <c r="G77" s="351"/>
      <c r="H77" s="351"/>
    </row>
    <row r="78" spans="1:18" x14ac:dyDescent="0.2">
      <c r="A78" s="355" t="s">
        <v>295</v>
      </c>
      <c r="B78" s="279"/>
      <c r="C78" s="279"/>
    </row>
    <row r="79" spans="1:18" x14ac:dyDescent="0.2">
      <c r="A79" s="409" t="s">
        <v>289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">
      <c r="A80" s="360" t="s">
        <v>136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">
      <c r="A81" s="360" t="s">
        <v>137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">
      <c r="A82" s="360" t="s">
        <v>138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">
      <c r="A83" s="365" t="s">
        <v>294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5" thickBot="1" x14ac:dyDescent="0.25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5" thickTop="1" x14ac:dyDescent="0.2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">
      <c r="C87" s="356"/>
      <c r="G87" s="280"/>
      <c r="H87" s="280"/>
    </row>
    <row r="88" spans="1:18" s="279" customFormat="1" x14ac:dyDescent="0.2">
      <c r="A88" s="278" t="s">
        <v>140</v>
      </c>
      <c r="C88" s="356"/>
      <c r="G88" s="280"/>
      <c r="H88" s="280"/>
    </row>
    <row r="89" spans="1:18" s="279" customFormat="1" x14ac:dyDescent="0.2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">
      <c r="A90" s="279" t="s">
        <v>84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">
      <c r="A93" s="279" t="s">
        <v>147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">
      <c r="D94" s="319"/>
      <c r="I94" s="280"/>
      <c r="J94" s="280"/>
    </row>
    <row r="95" spans="1:18" s="279" customFormat="1" x14ac:dyDescent="0.2">
      <c r="A95" s="280" t="s">
        <v>142</v>
      </c>
      <c r="D95" s="416">
        <f>'Data 2006-08'!C169</f>
        <v>0.3</v>
      </c>
      <c r="I95" s="280"/>
      <c r="J95" s="280"/>
    </row>
    <row r="96" spans="1:18" s="279" customFormat="1" x14ac:dyDescent="0.2">
      <c r="A96" s="280" t="s">
        <v>141</v>
      </c>
      <c r="D96" s="417">
        <f>'Data 2006-08'!C171</f>
        <v>0.6</v>
      </c>
      <c r="I96" s="280"/>
      <c r="J96" s="280"/>
    </row>
    <row r="97" spans="1:10" s="279" customFormat="1" x14ac:dyDescent="0.2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">
      <c r="I98" s="280"/>
      <c r="J98" s="280"/>
    </row>
    <row r="99" spans="1:10" s="279" customFormat="1" x14ac:dyDescent="0.2">
      <c r="A99" s="278" t="s">
        <v>351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">
      <c r="A100" s="279" t="s">
        <v>293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">
      <c r="A102" s="279" t="s">
        <v>126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">
      <c r="A103" s="279" t="s">
        <v>127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">
      <c r="A104" s="279" t="s">
        <v>128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">
      <c r="A105" s="279" t="s">
        <v>129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">
      <c r="A106" s="279" t="s">
        <v>151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">
      <c r="A107" s="279" t="s">
        <v>152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">
      <c r="A108" s="279" t="s">
        <v>132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">
      <c r="A109" s="279" t="s">
        <v>352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">
      <c r="G110" s="280"/>
      <c r="H110" s="280"/>
      <c r="I110" s="280"/>
      <c r="J110" s="280"/>
    </row>
    <row r="111" spans="1:10" s="279" customFormat="1" x14ac:dyDescent="0.2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">
      <c r="A112" s="279" t="s">
        <v>152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">
      <c r="A113" s="279" t="s">
        <v>132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">
      <c r="D115" s="319"/>
      <c r="E115" s="319"/>
      <c r="F115" s="319"/>
      <c r="G115" s="280"/>
      <c r="H115" s="280"/>
      <c r="I115" s="280"/>
      <c r="J115" s="378"/>
    </row>
    <row r="116" spans="1:10" x14ac:dyDescent="0.2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">
      <c r="G117" s="356"/>
      <c r="H117" s="356"/>
      <c r="I117" s="280"/>
      <c r="J117" s="280"/>
    </row>
    <row r="118" spans="1:10" x14ac:dyDescent="0.2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">
      <c r="A119" s="264" t="s">
        <v>163</v>
      </c>
      <c r="G119" s="356"/>
      <c r="H119" s="356"/>
      <c r="I119" s="280"/>
      <c r="J119" s="280"/>
    </row>
    <row r="120" spans="1:10" x14ac:dyDescent="0.2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">
      <c r="A122" s="84" t="s">
        <v>261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">
      <c r="A123" s="84" t="s">
        <v>260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">
      <c r="A125" s="356" t="s">
        <v>290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">
      <c r="A127" s="84" t="s">
        <v>43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">
      <c r="A128" s="84" t="s">
        <v>44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">
      <c r="A130" s="356" t="s">
        <v>168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">
      <c r="A133" s="268"/>
      <c r="G133" s="356"/>
      <c r="H133" s="356"/>
      <c r="I133" s="280"/>
      <c r="J133" s="280"/>
    </row>
    <row r="134" spans="1:10" x14ac:dyDescent="0.2">
      <c r="A134" s="268"/>
      <c r="G134" s="356"/>
      <c r="H134" s="356"/>
      <c r="I134" s="280"/>
      <c r="J134" s="280"/>
    </row>
    <row r="135" spans="1:10" x14ac:dyDescent="0.2">
      <c r="A135" s="388" t="s">
        <v>169</v>
      </c>
      <c r="B135" s="279"/>
      <c r="C135" s="279"/>
      <c r="D135" s="279"/>
      <c r="G135" s="356"/>
      <c r="H135" s="356"/>
      <c r="I135" s="280"/>
      <c r="J135" s="280"/>
    </row>
    <row r="136" spans="1:10" x14ac:dyDescent="0.2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">
      <c r="I137" s="280"/>
      <c r="J137" s="280"/>
    </row>
    <row r="138" spans="1:10" x14ac:dyDescent="0.2">
      <c r="A138" s="346" t="s">
        <v>261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">
      <c r="A139" s="356" t="s">
        <v>171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">
      <c r="A140" s="356" t="s">
        <v>172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">
      <c r="A141" s="57" t="s">
        <v>5</v>
      </c>
      <c r="B141" s="280"/>
      <c r="C141" s="280"/>
      <c r="D141" s="758">
        <v>0</v>
      </c>
      <c r="E141" s="758">
        <v>0</v>
      </c>
      <c r="F141" s="758">
        <v>0</v>
      </c>
      <c r="G141" s="275"/>
      <c r="H141" s="275"/>
      <c r="I141" s="275"/>
      <c r="J141" s="275"/>
    </row>
    <row r="142" spans="1:10" x14ac:dyDescent="0.2">
      <c r="A142" s="57" t="s">
        <v>137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">
      <c r="A143" s="356" t="s">
        <v>173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">
      <c r="A145" s="356" t="s">
        <v>174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">
      <c r="A148" s="346" t="s">
        <v>260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">
      <c r="A149" s="356" t="s">
        <v>171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">
      <c r="A150" s="356" t="s">
        <v>172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">
      <c r="A152" s="57" t="s">
        <v>137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">
      <c r="A153" s="356" t="s">
        <v>173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">
      <c r="A155" s="356" t="s">
        <v>174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">
      <c r="A158" s="346" t="s">
        <v>90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">
      <c r="A159" s="356" t="s">
        <v>171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">
      <c r="A160" s="356" t="s">
        <v>172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">
      <c r="A161" s="57" t="s">
        <v>5</v>
      </c>
      <c r="B161" s="275"/>
      <c r="C161" s="275"/>
      <c r="D161" s="758">
        <v>0</v>
      </c>
      <c r="E161" s="758">
        <v>0</v>
      </c>
      <c r="F161" s="758">
        <v>0</v>
      </c>
      <c r="G161" s="275"/>
      <c r="H161" s="275"/>
      <c r="I161" s="275"/>
      <c r="J161" s="275"/>
    </row>
    <row r="162" spans="1:10" x14ac:dyDescent="0.2">
      <c r="A162" s="356" t="s">
        <v>176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">
      <c r="A163" s="356" t="s">
        <v>173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">
      <c r="A165" s="356" t="s">
        <v>174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">
      <c r="A168" s="346" t="s">
        <v>167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">
      <c r="A169" s="356" t="s">
        <v>171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">
      <c r="A170" s="356" t="s">
        <v>172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">
      <c r="A171" s="57" t="s">
        <v>5</v>
      </c>
      <c r="B171" s="275"/>
      <c r="C171" s="275"/>
      <c r="D171" s="758">
        <v>0</v>
      </c>
      <c r="E171" s="758">
        <v>0</v>
      </c>
      <c r="F171" s="758">
        <v>0</v>
      </c>
      <c r="G171" s="275"/>
      <c r="H171" s="275"/>
      <c r="I171" s="275"/>
      <c r="J171" s="275"/>
    </row>
    <row r="172" spans="1:10" x14ac:dyDescent="0.2">
      <c r="A172" s="356" t="s">
        <v>176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">
      <c r="A173" s="356" t="s">
        <v>173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">
      <c r="A175" s="356" t="s">
        <v>174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">
      <c r="A178" s="346" t="s">
        <v>45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">
      <c r="A179" s="356" t="s">
        <v>171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">
      <c r="A180" s="356" t="s">
        <v>172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">
      <c r="A181" s="356" t="s">
        <v>177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">
      <c r="A182" s="356" t="s">
        <v>176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">
      <c r="A183" s="356" t="s">
        <v>173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">
      <c r="A185" s="356" t="s">
        <v>174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">
      <c r="D186" s="390"/>
      <c r="E186" s="390"/>
      <c r="F186" s="390"/>
      <c r="G186" s="275"/>
      <c r="H186" s="275"/>
      <c r="I186" s="369"/>
      <c r="J186" s="369"/>
    </row>
    <row r="187" spans="1:10" x14ac:dyDescent="0.2">
      <c r="A187" s="344" t="s">
        <v>291</v>
      </c>
      <c r="G187" s="275"/>
      <c r="H187" s="275"/>
      <c r="I187" s="280"/>
      <c r="J187" s="280"/>
    </row>
    <row r="188" spans="1:10" x14ac:dyDescent="0.2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">
      <c r="A189" s="343" t="s">
        <v>179</v>
      </c>
      <c r="G189" s="275"/>
      <c r="H189" s="275"/>
      <c r="I189" s="280"/>
      <c r="J189" s="280"/>
    </row>
    <row r="190" spans="1:10" x14ac:dyDescent="0.2">
      <c r="A190" s="84" t="s">
        <v>261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">
      <c r="A191" s="84" t="s">
        <v>260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">
      <c r="A192" s="84" t="s">
        <v>43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">
      <c r="A193" s="84" t="s">
        <v>44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">
      <c r="G194" s="275"/>
      <c r="H194" s="275"/>
      <c r="I194" s="280"/>
      <c r="J194" s="280"/>
    </row>
    <row r="195" spans="1:10" s="279" customFormat="1" x14ac:dyDescent="0.2">
      <c r="I195" s="280"/>
      <c r="J195" s="280"/>
    </row>
    <row r="196" spans="1:10" s="365" customFormat="1" x14ac:dyDescent="0.2">
      <c r="A196" s="264" t="s">
        <v>292</v>
      </c>
      <c r="I196" s="395"/>
      <c r="J196" s="395"/>
    </row>
    <row r="197" spans="1:10" s="365" customFormat="1" x14ac:dyDescent="0.2">
      <c r="A197" s="346" t="str">
        <f>$A$79</f>
        <v>($000 Real 2008)</v>
      </c>
      <c r="I197" s="395"/>
      <c r="J197" s="395"/>
    </row>
    <row r="198" spans="1:10" s="365" customFormat="1" x14ac:dyDescent="0.2">
      <c r="A198" s="396" t="s">
        <v>181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">
      <c r="B202" s="398"/>
      <c r="G202" s="394"/>
      <c r="H202" s="394"/>
      <c r="I202" s="395"/>
      <c r="J202" s="395"/>
    </row>
    <row r="203" spans="1:10" s="365" customFormat="1" x14ac:dyDescent="0.2">
      <c r="B203" s="398"/>
      <c r="G203" s="394"/>
      <c r="H203" s="394"/>
      <c r="I203" s="395"/>
      <c r="J203" s="395"/>
    </row>
    <row r="204" spans="1:10" s="365" customFormat="1" x14ac:dyDescent="0.2">
      <c r="G204" s="394"/>
      <c r="H204" s="394"/>
      <c r="I204" s="395"/>
      <c r="J204" s="395"/>
    </row>
    <row r="205" spans="1:10" s="365" customFormat="1" x14ac:dyDescent="0.2">
      <c r="A205" s="393" t="s">
        <v>170</v>
      </c>
      <c r="C205" s="365" t="s">
        <v>182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">
      <c r="A213" s="393" t="s">
        <v>175</v>
      </c>
      <c r="C213" s="365" t="s">
        <v>182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">
      <c r="G220" s="394"/>
      <c r="H220" s="394"/>
      <c r="I220" s="395"/>
      <c r="J220" s="395"/>
    </row>
    <row r="221" spans="1:10" s="365" customFormat="1" x14ac:dyDescent="0.2">
      <c r="A221" s="380" t="s">
        <v>90</v>
      </c>
      <c r="C221" s="365" t="s">
        <v>182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">
      <c r="G228" s="394"/>
      <c r="H228" s="394"/>
      <c r="I228" s="395"/>
      <c r="J228" s="395"/>
    </row>
    <row r="229" spans="1:10" s="365" customFormat="1" x14ac:dyDescent="0.2">
      <c r="A229" s="380" t="s">
        <v>167</v>
      </c>
      <c r="C229" s="365" t="s">
        <v>182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">
      <c r="G236" s="394"/>
      <c r="H236" s="394"/>
      <c r="I236" s="280"/>
      <c r="J236" s="280"/>
    </row>
    <row r="237" spans="1:10" s="279" customFormat="1" x14ac:dyDescent="0.2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">
      <c r="G238" s="394"/>
      <c r="H238" s="394"/>
      <c r="I238" s="280"/>
      <c r="J238" s="280"/>
    </row>
    <row r="239" spans="1:10" s="279" customFormat="1" x14ac:dyDescent="0.2">
      <c r="I239" s="280"/>
      <c r="J239" s="280"/>
    </row>
    <row r="240" spans="1:10" x14ac:dyDescent="0.2">
      <c r="A240" s="344" t="s">
        <v>183</v>
      </c>
      <c r="I240" s="280"/>
      <c r="J240" s="280"/>
    </row>
    <row r="241" spans="1:10" x14ac:dyDescent="0.2">
      <c r="A241" s="268" t="s">
        <v>184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">
      <c r="A242" s="344" t="s">
        <v>185</v>
      </c>
      <c r="G242" s="280"/>
      <c r="H242" s="280"/>
      <c r="I242" s="280"/>
      <c r="J242" s="280"/>
    </row>
    <row r="243" spans="1:10" s="126" customFormat="1" ht="25.5" x14ac:dyDescent="0.2">
      <c r="A243" s="133" t="s">
        <v>186</v>
      </c>
      <c r="D243" s="414" t="s">
        <v>187</v>
      </c>
      <c r="E243" s="252"/>
      <c r="I243" s="157"/>
      <c r="J243" s="157"/>
    </row>
    <row r="244" spans="1:10" x14ac:dyDescent="0.2">
      <c r="A244" s="346" t="s">
        <v>188</v>
      </c>
      <c r="C244" s="404"/>
      <c r="D244" s="404"/>
      <c r="E244" s="404"/>
      <c r="G244" s="280"/>
      <c r="H244" s="280"/>
      <c r="I244" s="280"/>
      <c r="J244" s="280"/>
    </row>
    <row r="245" spans="1:10" x14ac:dyDescent="0.2">
      <c r="A245" s="57" t="s">
        <v>49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">
      <c r="A246" s="57" t="s">
        <v>50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">
      <c r="A247" s="57" t="s">
        <v>90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">
      <c r="A248" s="347" t="s">
        <v>91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">
      <c r="D249" s="405"/>
      <c r="G249" s="280"/>
      <c r="H249" s="280"/>
      <c r="I249" s="280"/>
      <c r="J249" s="280"/>
    </row>
    <row r="250" spans="1:10" s="279" customFormat="1" x14ac:dyDescent="0.2">
      <c r="D250" s="405"/>
      <c r="G250" s="280"/>
      <c r="H250" s="280"/>
      <c r="I250" s="280"/>
      <c r="J250" s="280"/>
    </row>
    <row r="251" spans="1:10" s="280" customFormat="1" x14ac:dyDescent="0.2">
      <c r="A251" s="267" t="s">
        <v>198</v>
      </c>
    </row>
    <row r="252" spans="1:10" s="279" customFormat="1" x14ac:dyDescent="0.2">
      <c r="A252" s="270" t="s">
        <v>49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">
      <c r="A253" s="279" t="s">
        <v>353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">
      <c r="A254" s="279" t="s">
        <v>176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">
      <c r="A255" s="279" t="s">
        <v>200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">
      <c r="A256" s="279" t="s">
        <v>201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">
      <c r="A258" s="270" t="s">
        <v>50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">
      <c r="A264" s="270" t="s">
        <v>90</v>
      </c>
      <c r="G264" s="280"/>
      <c r="H264" s="280"/>
      <c r="I264" s="280"/>
      <c r="J264" s="280"/>
    </row>
    <row r="265" spans="1:10" s="279" customFormat="1" x14ac:dyDescent="0.2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">
      <c r="A270" s="270" t="s">
        <v>91</v>
      </c>
      <c r="G270" s="280"/>
      <c r="H270" s="280"/>
      <c r="I270" s="280"/>
      <c r="J270" s="280"/>
    </row>
    <row r="271" spans="1:10" s="279" customFormat="1" x14ac:dyDescent="0.2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">
      <c r="A276" s="270" t="s">
        <v>45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">
      <c r="A284" s="268"/>
      <c r="G284" s="280"/>
      <c r="H284" s="280"/>
      <c r="I284" s="280"/>
      <c r="J284" s="280"/>
    </row>
    <row r="285" spans="1:10" x14ac:dyDescent="0.2">
      <c r="A285" s="268"/>
      <c r="G285" s="280"/>
      <c r="H285" s="280"/>
      <c r="I285" s="280"/>
      <c r="J285" s="280"/>
    </row>
  </sheetData>
  <sheetProtection sheet="1" objects="1" scenarios="1"/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40625" defaultRowHeight="12.75" x14ac:dyDescent="0.2"/>
  <cols>
    <col min="1" max="1" width="63.140625" style="126" customWidth="1"/>
    <col min="2" max="2" width="10" style="126" customWidth="1"/>
    <col min="3" max="3" width="11.42578125" style="126" customWidth="1"/>
    <col min="4" max="4" width="13.5703125" style="126" customWidth="1"/>
    <col min="5" max="5" width="13.140625" style="126" customWidth="1"/>
    <col min="6" max="6" width="12.85546875" style="126" customWidth="1"/>
    <col min="7" max="7" width="12.7109375" style="126" customWidth="1"/>
    <col min="8" max="8" width="14.42578125" style="126" customWidth="1"/>
    <col min="9" max="9" width="11.5703125" style="126" bestFit="1" customWidth="1"/>
    <col min="10" max="10" width="10" style="126" customWidth="1"/>
    <col min="11" max="11" width="9.140625" style="126"/>
    <col min="12" max="14" width="9.28515625" style="126" bestFit="1" customWidth="1"/>
    <col min="15" max="16" width="10" style="126" customWidth="1"/>
    <col min="17" max="17" width="9.42578125" style="126" bestFit="1" customWidth="1"/>
    <col min="18" max="18" width="9.85546875" style="126" customWidth="1"/>
    <col min="19" max="16384" width="9.140625" style="126"/>
  </cols>
  <sheetData>
    <row r="1" spans="1:10" ht="15.75" x14ac:dyDescent="0.25">
      <c r="A1" s="124" t="s">
        <v>359</v>
      </c>
      <c r="B1" s="125"/>
      <c r="C1" s="125"/>
      <c r="D1" s="125"/>
      <c r="E1" s="125"/>
    </row>
    <row r="2" spans="1:10" ht="15.75" x14ac:dyDescent="0.25">
      <c r="A2" s="127"/>
      <c r="B2" s="125"/>
      <c r="C2" s="125"/>
    </row>
    <row r="3" spans="1:10" ht="15.75" x14ac:dyDescent="0.25">
      <c r="A3" s="128" t="s">
        <v>112</v>
      </c>
      <c r="B3" s="125"/>
      <c r="C3" s="125"/>
    </row>
    <row r="4" spans="1:10" x14ac:dyDescent="0.2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">
      <c r="A5" s="132" t="s">
        <v>113</v>
      </c>
    </row>
    <row r="6" spans="1:10" x14ac:dyDescent="0.2">
      <c r="A6" s="133" t="s">
        <v>114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">
      <c r="A7" s="126" t="s">
        <v>115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">
      <c r="A8" s="126" t="s">
        <v>116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">
      <c r="A9" s="126" t="s">
        <v>117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">
      <c r="A10" s="126" t="s">
        <v>118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5" thickBot="1" x14ac:dyDescent="0.25">
      <c r="A11" s="133" t="s">
        <v>119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5" thickTop="1" x14ac:dyDescent="0.2">
      <c r="D12" s="145"/>
      <c r="E12" s="145"/>
      <c r="F12" s="145"/>
      <c r="G12" s="145"/>
      <c r="H12" s="145"/>
    </row>
    <row r="13" spans="1:10" x14ac:dyDescent="0.2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">
      <c r="A15" s="133" t="s">
        <v>120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">
      <c r="A16" s="126" t="s">
        <v>121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">
      <c r="A17" s="126" t="s">
        <v>116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">
      <c r="A18" s="126" t="s">
        <v>117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">
      <c r="A19" s="126" t="s">
        <v>118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5" thickBot="1" x14ac:dyDescent="0.25">
      <c r="A20" s="133" t="s">
        <v>119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5" thickTop="1" x14ac:dyDescent="0.2">
      <c r="D21" s="145"/>
      <c r="E21" s="145"/>
      <c r="F21" s="145"/>
      <c r="G21" s="145"/>
      <c r="H21" s="145"/>
    </row>
    <row r="22" spans="1:8" x14ac:dyDescent="0.2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">
      <c r="D23" s="145"/>
      <c r="E23" s="148"/>
      <c r="F23" s="148"/>
      <c r="G23" s="145"/>
      <c r="H23" s="145"/>
    </row>
    <row r="24" spans="1:8" x14ac:dyDescent="0.2">
      <c r="A24" s="126" t="s">
        <v>122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">
      <c r="A25" s="151"/>
      <c r="D25" s="153"/>
      <c r="E25" s="154"/>
      <c r="F25" s="154"/>
      <c r="G25" s="154"/>
      <c r="H25" s="154"/>
    </row>
    <row r="26" spans="1:8" s="152" customFormat="1" x14ac:dyDescent="0.2">
      <c r="F26" s="156"/>
      <c r="G26" s="156"/>
      <c r="H26" s="156"/>
    </row>
    <row r="27" spans="1:8" s="152" customFormat="1" x14ac:dyDescent="0.2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">
      <c r="A28" s="151"/>
      <c r="C28" s="157"/>
      <c r="D28" s="158"/>
      <c r="E28" s="154"/>
      <c r="F28" s="154"/>
      <c r="G28" s="154"/>
      <c r="H28" s="154"/>
    </row>
    <row r="29" spans="1:8" s="152" customFormat="1" ht="18.75" x14ac:dyDescent="0.3">
      <c r="A29" s="151"/>
      <c r="C29" s="159" t="s">
        <v>360</v>
      </c>
      <c r="D29" s="537">
        <v>-0.2</v>
      </c>
      <c r="E29" s="154"/>
      <c r="F29" s="154"/>
      <c r="G29" s="154"/>
      <c r="H29" s="154"/>
    </row>
    <row r="30" spans="1:8" s="152" customFormat="1" x14ac:dyDescent="0.2">
      <c r="A30" s="151"/>
      <c r="C30" s="160"/>
      <c r="D30" s="161"/>
      <c r="E30" s="154"/>
      <c r="F30" s="154"/>
      <c r="G30" s="154"/>
      <c r="H30" s="154"/>
    </row>
    <row r="31" spans="1:8" s="152" customFormat="1" x14ac:dyDescent="0.2">
      <c r="A31" s="151"/>
      <c r="C31" s="160"/>
      <c r="D31" s="161"/>
      <c r="E31" s="154"/>
      <c r="F31" s="154"/>
      <c r="G31" s="154"/>
      <c r="H31" s="154"/>
    </row>
    <row r="32" spans="1:8" s="152" customFormat="1" x14ac:dyDescent="0.2">
      <c r="A32" s="162" t="s">
        <v>123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">
      <c r="A33" s="133" t="s">
        <v>118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">
      <c r="A34" s="133" t="s">
        <v>124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">
      <c r="A35" s="126" t="s">
        <v>121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">
      <c r="A36" s="126" t="s">
        <v>125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">
      <c r="A37" s="126" t="s">
        <v>126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">
      <c r="A38" s="126" t="s">
        <v>127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">
      <c r="A39" s="126" t="s">
        <v>128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">
      <c r="A40" s="126" t="s">
        <v>129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">
      <c r="A41" s="126" t="s">
        <v>130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">
      <c r="A42" s="126" t="s">
        <v>131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">
      <c r="A43" s="126" t="s">
        <v>132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">
      <c r="A44" s="126" t="s">
        <v>133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">
      <c r="A45" s="126" t="s">
        <v>134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">
      <c r="A49" s="126"/>
      <c r="B49" s="126"/>
      <c r="C49" s="126"/>
      <c r="D49" s="168"/>
      <c r="E49" s="168"/>
      <c r="F49" s="168"/>
      <c r="G49" s="168"/>
      <c r="H49" s="168"/>
    </row>
    <row r="50" spans="1:18" ht="25.5" x14ac:dyDescent="0.2">
      <c r="A50" s="180" t="s">
        <v>135</v>
      </c>
      <c r="B50" s="152"/>
      <c r="C50" s="152"/>
    </row>
    <row r="51" spans="1:18" x14ac:dyDescent="0.2">
      <c r="C51" s="155"/>
      <c r="L51" s="157"/>
      <c r="M51" s="157"/>
      <c r="N51" s="157"/>
      <c r="O51" s="157"/>
      <c r="P51" s="157"/>
      <c r="Q51" s="152"/>
      <c r="R51" s="152"/>
    </row>
    <row r="52" spans="1:18" x14ac:dyDescent="0.2">
      <c r="A52" s="181" t="s">
        <v>113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">
      <c r="A53" s="185" t="s">
        <v>136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">
      <c r="A54" s="185" t="s">
        <v>137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">
      <c r="A55" s="185" t="s">
        <v>138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">
      <c r="A56" s="190" t="s">
        <v>139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5" thickBot="1" x14ac:dyDescent="0.25">
      <c r="A57" s="181" t="s">
        <v>114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5" thickTop="1" x14ac:dyDescent="0.2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">
      <c r="C60" s="155"/>
    </row>
    <row r="61" spans="1:18" s="152" customFormat="1" x14ac:dyDescent="0.2">
      <c r="A61" s="198" t="s">
        <v>140</v>
      </c>
      <c r="C61" s="155"/>
    </row>
    <row r="62" spans="1:18" s="152" customFormat="1" x14ac:dyDescent="0.2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">
      <c r="A64" s="157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">
      <c r="A65" s="157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">
      <c r="A66" s="157" t="s">
        <v>143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">
      <c r="A67" s="152" t="s">
        <v>144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">
      <c r="A68" s="152" t="s">
        <v>145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">
      <c r="A69" s="157" t="s">
        <v>146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">
      <c r="A71" s="152" t="s">
        <v>147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">
      <c r="D72" s="209"/>
      <c r="I72" s="157"/>
      <c r="J72" s="157"/>
    </row>
    <row r="73" spans="1:10" s="152" customFormat="1" x14ac:dyDescent="0.2">
      <c r="A73" s="152" t="s">
        <v>79</v>
      </c>
      <c r="D73" s="303">
        <f>'Data 2006-08'!C128</f>
        <v>2.64E-2</v>
      </c>
      <c r="I73" s="157"/>
      <c r="J73" s="157"/>
    </row>
    <row r="74" spans="1:10" s="152" customFormat="1" x14ac:dyDescent="0.2">
      <c r="A74" s="152" t="s">
        <v>148</v>
      </c>
      <c r="D74" s="304">
        <f>'Data 2006-08'!C129</f>
        <v>1.4250000000000001E-2</v>
      </c>
      <c r="I74" s="157"/>
      <c r="J74" s="157"/>
    </row>
    <row r="75" spans="1:10" s="152" customFormat="1" x14ac:dyDescent="0.2">
      <c r="A75" s="152" t="s">
        <v>84</v>
      </c>
      <c r="D75" s="210">
        <f>(1+SUM(D73:D74))*(1+D63)-1</f>
        <v>6.7290640000000179E-2</v>
      </c>
      <c r="I75" s="157"/>
      <c r="J75" s="157"/>
    </row>
    <row r="76" spans="1:10" s="152" customFormat="1" x14ac:dyDescent="0.2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">
      <c r="I77" s="157"/>
      <c r="J77" s="157"/>
    </row>
    <row r="78" spans="1:10" s="152" customFormat="1" x14ac:dyDescent="0.2">
      <c r="A78" s="198" t="s">
        <v>149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">
      <c r="A79" s="152" t="s">
        <v>150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">
      <c r="A81" s="152" t="s">
        <v>126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">
      <c r="A82" s="152" t="s">
        <v>127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">
      <c r="A83" s="152" t="s">
        <v>128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">
      <c r="A84" s="152" t="s">
        <v>129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">
      <c r="A85" s="152" t="s">
        <v>151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">
      <c r="A86" s="152" t="s">
        <v>152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">
      <c r="A87" s="152" t="s">
        <v>132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">
      <c r="A88" s="152" t="s">
        <v>153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">
      <c r="I89" s="157"/>
      <c r="J89" s="157"/>
    </row>
    <row r="90" spans="1:10" s="152" customFormat="1" x14ac:dyDescent="0.2">
      <c r="A90" s="198" t="s">
        <v>113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">
      <c r="A91" s="152" t="s">
        <v>152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">
      <c r="A92" s="152" t="s">
        <v>132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">
      <c r="A93" s="152" t="s">
        <v>154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">
      <c r="D94" s="209"/>
      <c r="E94" s="209"/>
      <c r="F94" s="209"/>
      <c r="G94" s="209"/>
      <c r="H94" s="209"/>
      <c r="I94" s="208"/>
      <c r="J94" s="208"/>
    </row>
    <row r="95" spans="1:10" s="152" customFormat="1" x14ac:dyDescent="0.2">
      <c r="A95" s="152" t="s">
        <v>155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">
      <c r="I96" s="157"/>
      <c r="J96" s="157"/>
    </row>
    <row r="97" spans="1:10" x14ac:dyDescent="0.2">
      <c r="I97" s="157"/>
      <c r="J97" s="157"/>
    </row>
    <row r="98" spans="1:10" x14ac:dyDescent="0.2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">
      <c r="A99" s="133"/>
      <c r="I99" s="157"/>
      <c r="J99" s="157"/>
    </row>
    <row r="100" spans="1:10" x14ac:dyDescent="0.2">
      <c r="A100" s="162" t="s">
        <v>156</v>
      </c>
      <c r="I100" s="157"/>
      <c r="J100" s="157"/>
    </row>
    <row r="101" spans="1:10" x14ac:dyDescent="0.2">
      <c r="A101" s="130" t="s">
        <v>157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">
      <c r="A102" s="133"/>
      <c r="B102" s="157"/>
      <c r="C102" s="157"/>
      <c r="I102" s="157"/>
      <c r="J102" s="157"/>
    </row>
    <row r="103" spans="1:10" x14ac:dyDescent="0.2">
      <c r="A103" s="128" t="s">
        <v>158</v>
      </c>
      <c r="B103" s="157"/>
      <c r="C103" s="157"/>
      <c r="I103" s="157"/>
      <c r="J103" s="157"/>
    </row>
    <row r="104" spans="1:10" x14ac:dyDescent="0.2">
      <c r="A104" s="155" t="s">
        <v>159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">
      <c r="A105" s="155" t="s">
        <v>90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">
      <c r="A106" s="222" t="s">
        <v>45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">
      <c r="A108" s="225" t="s">
        <v>160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">
      <c r="A109" t="s">
        <v>24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">
      <c r="A110" s="228" t="s">
        <v>161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">
      <c r="A111" s="157" t="s">
        <v>54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">
      <c r="A112" s="229" t="s">
        <v>45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">
      <c r="A114" s="155" t="s">
        <v>162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">
      <c r="I117" s="157"/>
      <c r="J117" s="157"/>
    </row>
    <row r="118" spans="1:10" x14ac:dyDescent="0.2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">
      <c r="A119" s="162" t="s">
        <v>163</v>
      </c>
      <c r="I119" s="157"/>
      <c r="J119" s="157"/>
    </row>
    <row r="120" spans="1:10" x14ac:dyDescent="0.2">
      <c r="A120" s="130" t="s">
        <v>157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">
      <c r="A122" s="155" t="s">
        <v>164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">
      <c r="A123" s="155" t="s">
        <v>165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">
      <c r="A124" s="155" t="s">
        <v>4</v>
      </c>
      <c r="B124" s="232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1"/>
      <c r="J124" s="221"/>
    </row>
    <row r="125" spans="1:10" x14ac:dyDescent="0.2">
      <c r="A125" s="229" t="s">
        <v>166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">
      <c r="A127" s="155" t="s">
        <v>90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">
      <c r="A128" s="157" t="s">
        <v>167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">
      <c r="A130" s="155" t="s">
        <v>168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">
      <c r="A133" s="133"/>
      <c r="I133" s="157"/>
      <c r="J133" s="157"/>
    </row>
    <row r="134" spans="1:10" x14ac:dyDescent="0.2">
      <c r="A134" s="133"/>
      <c r="I134" s="157"/>
      <c r="J134" s="157"/>
    </row>
    <row r="135" spans="1:10" x14ac:dyDescent="0.2">
      <c r="A135" s="235" t="s">
        <v>169</v>
      </c>
      <c r="B135" s="152"/>
      <c r="C135" s="152"/>
      <c r="D135" s="152"/>
      <c r="I135" s="157"/>
      <c r="J135" s="157"/>
    </row>
    <row r="136" spans="1:10" x14ac:dyDescent="0.2">
      <c r="A136" s="130" t="s">
        <v>157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">
      <c r="I137" s="157"/>
      <c r="J137" s="157"/>
    </row>
    <row r="138" spans="1:10" x14ac:dyDescent="0.2">
      <c r="A138" s="130" t="s">
        <v>170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">
      <c r="A139" s="155" t="s">
        <v>171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">
      <c r="A140" s="155" t="s">
        <v>172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">
      <c r="A141" s="126" t="s">
        <v>5</v>
      </c>
      <c r="B141" s="157"/>
      <c r="C141" s="157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20"/>
      <c r="J141" s="220"/>
    </row>
    <row r="142" spans="1:10" x14ac:dyDescent="0.2">
      <c r="A142" s="126" t="s">
        <v>137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">
      <c r="A143" s="155" t="s">
        <v>173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">
      <c r="A145" s="155" t="s">
        <v>174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">
      <c r="A148" s="130" t="s">
        <v>175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">
      <c r="A149" s="155" t="s">
        <v>171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">
      <c r="A150" s="155" t="s">
        <v>172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">
      <c r="A151" s="126" t="s">
        <v>5</v>
      </c>
      <c r="B151" s="157"/>
      <c r="C151" s="157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20"/>
      <c r="J151" s="220"/>
    </row>
    <row r="152" spans="1:10" x14ac:dyDescent="0.2">
      <c r="A152" s="126" t="s">
        <v>137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">
      <c r="A153" s="155" t="s">
        <v>173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">
      <c r="A155" s="155" t="s">
        <v>174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">
      <c r="A158" s="130" t="s">
        <v>90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">
      <c r="A159" s="155" t="s">
        <v>171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">
      <c r="A160" s="155" t="s">
        <v>172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">
      <c r="A161" s="126" t="s">
        <v>5</v>
      </c>
      <c r="B161" s="220"/>
      <c r="C161" s="220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20"/>
      <c r="J161" s="220"/>
    </row>
    <row r="162" spans="1:10" x14ac:dyDescent="0.2">
      <c r="A162" s="155" t="s">
        <v>176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">
      <c r="A163" s="155" t="s">
        <v>173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">
      <c r="A165" s="155" t="s">
        <v>174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">
      <c r="A168" s="130" t="s">
        <v>167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">
      <c r="A169" s="155" t="s">
        <v>171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">
      <c r="A170" s="155" t="s">
        <v>172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">
      <c r="A171" s="126" t="s">
        <v>5</v>
      </c>
      <c r="B171" s="220"/>
      <c r="C171" s="220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20"/>
      <c r="J171" s="220"/>
    </row>
    <row r="172" spans="1:10" x14ac:dyDescent="0.2">
      <c r="A172" s="155" t="s">
        <v>176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">
      <c r="A173" s="155" t="s">
        <v>173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">
      <c r="A175" s="155" t="s">
        <v>174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">
      <c r="A178" s="130" t="s">
        <v>45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">
      <c r="A179" s="155" t="s">
        <v>171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">
      <c r="A180" s="155" t="s">
        <v>172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">
      <c r="A181" s="155" t="s">
        <v>177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">
      <c r="A182" s="155" t="s">
        <v>176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">
      <c r="A183" s="155" t="s">
        <v>173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">
      <c r="A185" s="155" t="s">
        <v>174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">
      <c r="D186" s="237"/>
      <c r="E186" s="237"/>
      <c r="F186" s="237"/>
      <c r="G186" s="237"/>
      <c r="H186" s="237"/>
      <c r="I186" s="195"/>
      <c r="J186" s="195"/>
    </row>
    <row r="187" spans="1:10" x14ac:dyDescent="0.2">
      <c r="A187" s="128" t="s">
        <v>178</v>
      </c>
      <c r="I187" s="157"/>
      <c r="J187" s="157"/>
    </row>
    <row r="188" spans="1:10" x14ac:dyDescent="0.2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">
      <c r="A189" s="127" t="s">
        <v>179</v>
      </c>
      <c r="I189" s="157"/>
      <c r="J189" s="157"/>
    </row>
    <row r="190" spans="1:10" x14ac:dyDescent="0.2">
      <c r="A190" s="240" t="s">
        <v>170</v>
      </c>
      <c r="D190" s="539">
        <v>35</v>
      </c>
      <c r="E190" s="539">
        <v>35</v>
      </c>
      <c r="F190" s="539">
        <v>35</v>
      </c>
      <c r="G190" s="539">
        <v>35</v>
      </c>
      <c r="H190" s="539">
        <v>35</v>
      </c>
      <c r="I190" s="241"/>
      <c r="J190" s="241"/>
    </row>
    <row r="191" spans="1:10" x14ac:dyDescent="0.2">
      <c r="A191" s="240" t="s">
        <v>175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1"/>
      <c r="J191" s="241"/>
    </row>
    <row r="192" spans="1:10" x14ac:dyDescent="0.2">
      <c r="A192" s="131" t="s">
        <v>90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1"/>
      <c r="J192" s="241"/>
    </row>
    <row r="193" spans="1:10" x14ac:dyDescent="0.2">
      <c r="A193" s="131" t="s">
        <v>167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1"/>
      <c r="J193" s="241"/>
    </row>
    <row r="194" spans="1:10" x14ac:dyDescent="0.2">
      <c r="I194" s="157"/>
      <c r="J194" s="157"/>
    </row>
    <row r="195" spans="1:10" s="152" customFormat="1" x14ac:dyDescent="0.2">
      <c r="I195" s="157"/>
      <c r="J195" s="157"/>
    </row>
    <row r="196" spans="1:10" s="190" customFormat="1" x14ac:dyDescent="0.2">
      <c r="A196" s="162" t="s">
        <v>180</v>
      </c>
      <c r="I196" s="242"/>
      <c r="J196" s="242"/>
    </row>
    <row r="197" spans="1:10" s="190" customFormat="1" x14ac:dyDescent="0.2">
      <c r="I197" s="242"/>
      <c r="J197" s="242"/>
    </row>
    <row r="198" spans="1:10" s="190" customFormat="1" x14ac:dyDescent="0.2">
      <c r="A198" s="243" t="s">
        <v>181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">
      <c r="B203" s="245">
        <v>2010</v>
      </c>
      <c r="H203" s="190">
        <v>0.5</v>
      </c>
      <c r="I203" s="242"/>
      <c r="J203" s="242"/>
    </row>
    <row r="204" spans="1:10" s="190" customFormat="1" x14ac:dyDescent="0.2">
      <c r="B204" s="245"/>
      <c r="I204" s="242"/>
      <c r="J204" s="242"/>
    </row>
    <row r="205" spans="1:10" s="190" customFormat="1" x14ac:dyDescent="0.2">
      <c r="B205" s="245"/>
      <c r="I205" s="242"/>
      <c r="J205" s="242"/>
    </row>
    <row r="206" spans="1:10" s="190" customFormat="1" x14ac:dyDescent="0.2">
      <c r="I206" s="242"/>
      <c r="J206" s="242"/>
    </row>
    <row r="207" spans="1:10" s="190" customFormat="1" x14ac:dyDescent="0.2">
      <c r="A207" s="240" t="s">
        <v>170</v>
      </c>
      <c r="C207" s="190" t="s">
        <v>182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">
      <c r="A217" s="240" t="s">
        <v>175</v>
      </c>
      <c r="C217" s="190" t="s">
        <v>182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">
      <c r="I226" s="242"/>
      <c r="J226" s="242"/>
    </row>
    <row r="227" spans="1:10" s="190" customFormat="1" x14ac:dyDescent="0.2">
      <c r="A227" s="218" t="s">
        <v>90</v>
      </c>
      <c r="C227" s="190" t="s">
        <v>182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">
      <c r="I236" s="242"/>
      <c r="J236" s="242"/>
    </row>
    <row r="237" spans="1:10" s="190" customFormat="1" x14ac:dyDescent="0.2">
      <c r="A237" s="218" t="s">
        <v>167</v>
      </c>
      <c r="C237" s="190" t="s">
        <v>182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">
      <c r="I246" s="157"/>
      <c r="J246" s="157"/>
    </row>
    <row r="247" spans="1:10" s="152" customFormat="1" x14ac:dyDescent="0.2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">
      <c r="I248" s="157"/>
      <c r="J248" s="157"/>
    </row>
    <row r="249" spans="1:10" s="152" customFormat="1" x14ac:dyDescent="0.2">
      <c r="I249" s="157"/>
      <c r="J249" s="157"/>
    </row>
    <row r="250" spans="1:10" x14ac:dyDescent="0.2">
      <c r="A250" s="128" t="s">
        <v>183</v>
      </c>
      <c r="I250" s="157"/>
      <c r="J250" s="157"/>
    </row>
    <row r="251" spans="1:10" x14ac:dyDescent="0.2">
      <c r="A251" s="133" t="s">
        <v>184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">
      <c r="A252" s="128" t="s">
        <v>185</v>
      </c>
      <c r="I252" s="157"/>
      <c r="J252" s="157"/>
    </row>
    <row r="253" spans="1:10" ht="24" x14ac:dyDescent="0.2">
      <c r="A253" s="133" t="s">
        <v>186</v>
      </c>
      <c r="D253" s="251" t="s">
        <v>187</v>
      </c>
      <c r="E253" s="252"/>
      <c r="I253" s="157"/>
      <c r="J253" s="157"/>
    </row>
    <row r="254" spans="1:10" x14ac:dyDescent="0.2">
      <c r="A254" s="130" t="s">
        <v>188</v>
      </c>
      <c r="C254" s="252"/>
      <c r="D254" s="252"/>
      <c r="E254" s="252"/>
      <c r="I254" s="157"/>
      <c r="J254" s="157"/>
    </row>
    <row r="255" spans="1:10" x14ac:dyDescent="0.2">
      <c r="A255" s="126" t="s">
        <v>49</v>
      </c>
      <c r="D255" s="303">
        <f>'Data 2006-08'!C176</f>
        <v>0.375</v>
      </c>
      <c r="F255" s="202"/>
      <c r="I255" s="157"/>
      <c r="J255" s="157"/>
    </row>
    <row r="256" spans="1:10" x14ac:dyDescent="0.2">
      <c r="A256" s="126" t="s">
        <v>50</v>
      </c>
      <c r="D256" s="304">
        <f>'Data 2006-08'!C177</f>
        <v>0.06</v>
      </c>
      <c r="F256" s="202"/>
      <c r="I256" s="157"/>
      <c r="J256" s="157"/>
    </row>
    <row r="257" spans="1:10" x14ac:dyDescent="0.2">
      <c r="A257" s="126" t="s">
        <v>90</v>
      </c>
      <c r="D257" s="304">
        <f>'Data 2006-08'!C178</f>
        <v>0.4</v>
      </c>
      <c r="F257" s="202"/>
      <c r="I257" s="157"/>
      <c r="J257" s="157"/>
    </row>
    <row r="258" spans="1:10" x14ac:dyDescent="0.2">
      <c r="A258" s="131" t="s">
        <v>91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">
      <c r="D259" s="253"/>
      <c r="I259" s="157"/>
      <c r="J259" s="157"/>
    </row>
    <row r="260" spans="1:10" s="152" customFormat="1" x14ac:dyDescent="0.2">
      <c r="A260" s="254" t="s">
        <v>189</v>
      </c>
      <c r="D260" s="253"/>
      <c r="I260" s="157"/>
      <c r="J260" s="157"/>
    </row>
    <row r="261" spans="1:10" s="152" customFormat="1" x14ac:dyDescent="0.2">
      <c r="A261" s="126" t="s">
        <v>49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">
      <c r="A262" s="126" t="s">
        <v>50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">
      <c r="A263" s="152" t="s">
        <v>190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">
      <c r="A265" s="254" t="s">
        <v>189</v>
      </c>
      <c r="D265" s="253"/>
      <c r="I265" s="157"/>
      <c r="J265" s="157"/>
    </row>
    <row r="266" spans="1:10" s="157" customFormat="1" x14ac:dyDescent="0.2">
      <c r="A266" s="255" t="s">
        <v>50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">
      <c r="A267" t="s">
        <v>191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">
      <c r="A268" t="s">
        <v>192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">
      <c r="A269" s="157" t="s">
        <v>193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">
      <c r="A270" s="157" t="s">
        <v>194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">
      <c r="A271" s="157" t="s">
        <v>195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">
      <c r="A272" s="157" t="s">
        <v>196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">
      <c r="A273" s="228" t="s">
        <v>361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">
      <c r="A274" s="257" t="s">
        <v>197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">
      <c r="D275" s="253"/>
      <c r="I275" s="157"/>
      <c r="J275" s="157"/>
    </row>
    <row r="276" spans="1:10" s="152" customFormat="1" x14ac:dyDescent="0.2">
      <c r="D276" s="253"/>
      <c r="I276" s="157"/>
      <c r="J276" s="157"/>
    </row>
    <row r="277" spans="1:10" s="152" customFormat="1" x14ac:dyDescent="0.2">
      <c r="D277" s="253"/>
      <c r="I277" s="157"/>
      <c r="J277" s="157"/>
    </row>
    <row r="278" spans="1:10" s="152" customFormat="1" x14ac:dyDescent="0.2">
      <c r="A278" s="126" t="s">
        <v>147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">
      <c r="D279" s="253"/>
      <c r="I279" s="157"/>
      <c r="J279" s="157"/>
    </row>
    <row r="280" spans="1:10" s="157" customFormat="1" x14ac:dyDescent="0.2">
      <c r="A280" s="216" t="s">
        <v>198</v>
      </c>
    </row>
    <row r="281" spans="1:10" s="152" customFormat="1" x14ac:dyDescent="0.2">
      <c r="A281" s="260" t="s">
        <v>49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">
      <c r="A282" s="152" t="s">
        <v>199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">
      <c r="A283" s="152" t="s">
        <v>176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">
      <c r="A284" s="152" t="s">
        <v>200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">
      <c r="A285" s="152" t="s">
        <v>201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">
      <c r="A286" s="157"/>
      <c r="B286" s="157"/>
      <c r="C286" s="157"/>
      <c r="I286" s="157"/>
      <c r="J286" s="157"/>
    </row>
    <row r="287" spans="1:10" s="152" customFormat="1" x14ac:dyDescent="0.2">
      <c r="A287" s="260" t="s">
        <v>50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">
      <c r="A288" s="152" t="s">
        <v>199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">
      <c r="A289" s="152" t="s">
        <v>176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">
      <c r="A290" s="152" t="s">
        <v>200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">
      <c r="A291" s="152" t="s">
        <v>201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">
      <c r="A293" s="260" t="s">
        <v>90</v>
      </c>
      <c r="I293" s="157"/>
      <c r="J293" s="157"/>
    </row>
    <row r="294" spans="1:10" s="152" customFormat="1" x14ac:dyDescent="0.2">
      <c r="A294" s="152" t="s">
        <v>199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">
      <c r="A295" s="152" t="s">
        <v>176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">
      <c r="A296" s="152" t="s">
        <v>200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">
      <c r="A297" s="152" t="s">
        <v>201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">
      <c r="A299" s="260" t="s">
        <v>91</v>
      </c>
      <c r="I299" s="157"/>
      <c r="J299" s="157"/>
    </row>
    <row r="300" spans="1:10" s="152" customFormat="1" x14ac:dyDescent="0.2">
      <c r="A300" s="152" t="s">
        <v>199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">
      <c r="A301" s="152" t="s">
        <v>176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">
      <c r="A302" s="152" t="s">
        <v>200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">
      <c r="A303" s="152" t="s">
        <v>201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">
      <c r="A305" s="260" t="s">
        <v>45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">
      <c r="A306" s="152" t="s">
        <v>199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">
      <c r="A307" s="152" t="s">
        <v>176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">
      <c r="A308" s="152" t="s">
        <v>200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">
      <c r="A309" s="152" t="s">
        <v>201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">
      <c r="A313" s="133"/>
      <c r="I313" s="157"/>
      <c r="J313" s="157"/>
    </row>
    <row r="314" spans="1:16" x14ac:dyDescent="0.2">
      <c r="A314" s="133"/>
      <c r="I314" s="157"/>
      <c r="J314" s="157"/>
    </row>
    <row r="315" spans="1:16" x14ac:dyDescent="0.2">
      <c r="A315" s="162" t="s">
        <v>202</v>
      </c>
      <c r="I315" s="157"/>
      <c r="J315" s="157"/>
    </row>
    <row r="316" spans="1:16" x14ac:dyDescent="0.2">
      <c r="A316" s="130" t="s">
        <v>203</v>
      </c>
      <c r="I316" s="157"/>
      <c r="J316" s="157"/>
    </row>
    <row r="317" spans="1:16" x14ac:dyDescent="0.2">
      <c r="A317" s="133"/>
      <c r="I317" s="157"/>
      <c r="J317" s="157"/>
    </row>
    <row r="318" spans="1:16" customFormat="1" x14ac:dyDescent="0.2">
      <c r="A318" s="264" t="s">
        <v>204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">
      <c r="A320" s="268" t="s">
        <v>205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">
      <c r="A321" s="264" t="s">
        <v>206</v>
      </c>
      <c r="B321" s="264"/>
      <c r="C321" s="264"/>
      <c r="D321" s="269"/>
      <c r="E321" s="269"/>
      <c r="F321" s="269"/>
      <c r="G321" s="269"/>
      <c r="H321" s="269"/>
      <c r="J321" s="264" t="s">
        <v>207</v>
      </c>
      <c r="K321" s="273"/>
      <c r="L321" s="271"/>
      <c r="M321" s="271"/>
      <c r="N321" s="271"/>
      <c r="O321" s="271"/>
      <c r="P321" s="271"/>
    </row>
    <row r="322" spans="1:16" customFormat="1" x14ac:dyDescent="0.2">
      <c r="A322" t="s">
        <v>208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">
      <c r="A323" t="s">
        <v>191</v>
      </c>
      <c r="D323" s="540">
        <v>37.301250000000003</v>
      </c>
      <c r="E323" s="540">
        <v>37.301250000000003</v>
      </c>
      <c r="F323" s="540">
        <v>37.301250000000003</v>
      </c>
      <c r="G323" s="540">
        <v>37.301250000000003</v>
      </c>
      <c r="H323" s="540">
        <v>37.301250000000003</v>
      </c>
      <c r="J323" s="543">
        <v>0</v>
      </c>
      <c r="K323" s="543">
        <v>0</v>
      </c>
      <c r="L323" s="543">
        <v>0</v>
      </c>
      <c r="M323" s="543">
        <v>0</v>
      </c>
      <c r="N323" s="543">
        <v>0</v>
      </c>
      <c r="O323" s="274"/>
      <c r="P323" s="274"/>
    </row>
    <row r="324" spans="1:16" customFormat="1" x14ac:dyDescent="0.2">
      <c r="A324" t="s">
        <v>192</v>
      </c>
      <c r="D324" s="541"/>
      <c r="E324" s="541"/>
      <c r="F324" s="541"/>
      <c r="G324" s="541"/>
      <c r="H324" s="541"/>
      <c r="I324" s="228"/>
      <c r="J324" s="382"/>
      <c r="K324" s="544"/>
      <c r="L324" s="382"/>
      <c r="M324" s="382"/>
      <c r="N324" s="382"/>
      <c r="O324" s="276"/>
      <c r="P324" s="276"/>
    </row>
    <row r="325" spans="1:16" customFormat="1" x14ac:dyDescent="0.2">
      <c r="A325" t="s">
        <v>209</v>
      </c>
      <c r="D325" s="540">
        <v>85.26</v>
      </c>
      <c r="E325" s="540">
        <v>85.26</v>
      </c>
      <c r="F325" s="540">
        <v>85.26</v>
      </c>
      <c r="G325" s="540">
        <v>85.26</v>
      </c>
      <c r="H325" s="540">
        <v>85.26</v>
      </c>
      <c r="J325" s="543">
        <v>7171</v>
      </c>
      <c r="K325" s="543">
        <v>7730</v>
      </c>
      <c r="L325" s="543">
        <v>8081</v>
      </c>
      <c r="M325" s="543">
        <v>7984</v>
      </c>
      <c r="N325" s="543">
        <v>8804</v>
      </c>
      <c r="O325" s="277"/>
      <c r="P325" s="277"/>
    </row>
    <row r="326" spans="1:16" customFormat="1" x14ac:dyDescent="0.2">
      <c r="A326" t="s">
        <v>210</v>
      </c>
      <c r="D326" s="540">
        <v>165.19125</v>
      </c>
      <c r="E326" s="540">
        <v>165.19125</v>
      </c>
      <c r="F326" s="540">
        <v>165.19125</v>
      </c>
      <c r="G326" s="540">
        <v>165.19125</v>
      </c>
      <c r="H326" s="540">
        <v>165.19125</v>
      </c>
      <c r="J326" s="543">
        <v>3074</v>
      </c>
      <c r="K326" s="543">
        <v>3074</v>
      </c>
      <c r="L326" s="543">
        <v>3074</v>
      </c>
      <c r="M326" s="543">
        <v>3074</v>
      </c>
      <c r="N326" s="543">
        <v>3074</v>
      </c>
      <c r="O326" s="274"/>
      <c r="P326" s="274"/>
    </row>
    <row r="327" spans="1:16" customFormat="1" x14ac:dyDescent="0.2">
      <c r="A327" t="s">
        <v>211</v>
      </c>
      <c r="D327" s="540">
        <v>314.39625000000001</v>
      </c>
      <c r="E327" s="540">
        <v>314.39625000000001</v>
      </c>
      <c r="F327" s="540">
        <v>314.39625000000001</v>
      </c>
      <c r="G327" s="540">
        <v>314.39625000000001</v>
      </c>
      <c r="H327" s="540">
        <v>314.39625000000001</v>
      </c>
      <c r="J327" s="543">
        <v>678</v>
      </c>
      <c r="K327" s="543">
        <v>678</v>
      </c>
      <c r="L327" s="543">
        <v>678</v>
      </c>
      <c r="M327" s="543">
        <v>678</v>
      </c>
      <c r="N327" s="543">
        <v>678</v>
      </c>
      <c r="O327" s="274"/>
      <c r="P327" s="274"/>
    </row>
    <row r="328" spans="1:16" customFormat="1" x14ac:dyDescent="0.2">
      <c r="A328" t="s">
        <v>362</v>
      </c>
      <c r="D328" s="540">
        <v>399.65625</v>
      </c>
      <c r="E328" s="540">
        <v>399.65625</v>
      </c>
      <c r="F328" s="540">
        <v>399.65625</v>
      </c>
      <c r="G328" s="540">
        <v>399.65625</v>
      </c>
      <c r="H328" s="540">
        <v>399.65625</v>
      </c>
      <c r="J328" s="543">
        <v>1142</v>
      </c>
      <c r="K328" s="543">
        <v>1231</v>
      </c>
      <c r="L328" s="543">
        <v>1286</v>
      </c>
      <c r="M328" s="543">
        <v>1271</v>
      </c>
      <c r="N328" s="543">
        <v>1401</v>
      </c>
      <c r="O328" s="274"/>
      <c r="P328" s="274"/>
    </row>
    <row r="329" spans="1:16" customFormat="1" x14ac:dyDescent="0.2">
      <c r="A329" t="s">
        <v>212</v>
      </c>
      <c r="D329" s="540">
        <v>378.34125</v>
      </c>
      <c r="E329" s="540">
        <v>378.34125</v>
      </c>
      <c r="F329" s="540">
        <v>378.34125</v>
      </c>
      <c r="G329" s="540">
        <v>378.34125</v>
      </c>
      <c r="H329" s="540">
        <v>378.34125</v>
      </c>
      <c r="J329" s="543">
        <v>40</v>
      </c>
      <c r="K329" s="543">
        <v>43</v>
      </c>
      <c r="L329" s="543">
        <v>45</v>
      </c>
      <c r="M329" s="543">
        <v>44</v>
      </c>
      <c r="N329" s="543">
        <v>49</v>
      </c>
      <c r="O329" s="274"/>
      <c r="P329" s="274"/>
    </row>
    <row r="330" spans="1:16" customFormat="1" x14ac:dyDescent="0.2">
      <c r="D330" s="541"/>
      <c r="E330" s="541"/>
      <c r="F330" s="541"/>
      <c r="G330" s="541"/>
      <c r="H330" s="541"/>
      <c r="I330" s="228"/>
      <c r="J330" s="544"/>
      <c r="K330" s="544"/>
      <c r="L330" s="544"/>
      <c r="M330" s="544"/>
      <c r="N330" s="544"/>
      <c r="O330" s="274"/>
      <c r="P330" s="274"/>
    </row>
    <row r="331" spans="1:16" customFormat="1" x14ac:dyDescent="0.2">
      <c r="A331" t="s">
        <v>213</v>
      </c>
      <c r="D331" s="563"/>
      <c r="E331" s="563"/>
      <c r="F331" s="563"/>
      <c r="G331" s="563"/>
      <c r="H331" s="563"/>
      <c r="J331" s="544"/>
      <c r="K331" s="544"/>
      <c r="L331" s="544"/>
      <c r="M331" s="544"/>
      <c r="N331" s="544"/>
      <c r="O331" s="274"/>
      <c r="P331" s="274"/>
    </row>
    <row r="332" spans="1:16" customFormat="1" x14ac:dyDescent="0.2">
      <c r="A332" t="s">
        <v>191</v>
      </c>
      <c r="D332" s="540">
        <v>137.34125</v>
      </c>
      <c r="E332" s="540">
        <v>139.21534200000002</v>
      </c>
      <c r="F332" s="540">
        <v>141.13122625160003</v>
      </c>
      <c r="G332" s="540">
        <v>143.08983472201069</v>
      </c>
      <c r="H332" s="540">
        <v>145.09212016131153</v>
      </c>
      <c r="I332" s="228"/>
      <c r="J332" s="543">
        <v>6500</v>
      </c>
      <c r="K332" s="543">
        <v>0</v>
      </c>
      <c r="L332" s="543">
        <v>0</v>
      </c>
      <c r="M332" s="543">
        <v>0</v>
      </c>
      <c r="N332" s="543">
        <v>0</v>
      </c>
      <c r="O332" s="274"/>
      <c r="P332" s="274"/>
    </row>
    <row r="333" spans="1:16" customFormat="1" x14ac:dyDescent="0.2">
      <c r="A333" t="s">
        <v>192</v>
      </c>
      <c r="D333" s="563"/>
      <c r="E333" s="563"/>
      <c r="F333" s="563"/>
      <c r="G333" s="563"/>
      <c r="H333" s="563"/>
      <c r="J333" s="543"/>
      <c r="K333" s="543"/>
      <c r="L333" s="543"/>
      <c r="M333" s="543"/>
      <c r="N333" s="543"/>
      <c r="O333" s="276"/>
      <c r="P333" s="276"/>
    </row>
    <row r="334" spans="1:16" customFormat="1" x14ac:dyDescent="0.2">
      <c r="A334" t="s">
        <v>209</v>
      </c>
      <c r="D334" s="540">
        <v>191.96666666666667</v>
      </c>
      <c r="E334" s="540">
        <v>193.98942533333332</v>
      </c>
      <c r="F334" s="540">
        <v>196.05729151826665</v>
      </c>
      <c r="G334" s="540">
        <v>198.17127111912401</v>
      </c>
      <c r="H334" s="540">
        <v>200.33239246508049</v>
      </c>
      <c r="J334" s="543">
        <v>0</v>
      </c>
      <c r="K334" s="543">
        <v>0</v>
      </c>
      <c r="L334" s="543">
        <v>6123.9024244176217</v>
      </c>
      <c r="M334" s="543">
        <v>6123.9024244176217</v>
      </c>
      <c r="N334" s="543">
        <v>6123.9024244176217</v>
      </c>
      <c r="O334" s="277"/>
      <c r="P334" s="277"/>
    </row>
    <row r="335" spans="1:16" customFormat="1" x14ac:dyDescent="0.2">
      <c r="A335" t="s">
        <v>210</v>
      </c>
      <c r="D335" s="540">
        <v>333.23124999999999</v>
      </c>
      <c r="E335" s="540">
        <v>336.62174199999998</v>
      </c>
      <c r="F335" s="540">
        <v>340.08784197159997</v>
      </c>
      <c r="G335" s="540">
        <v>343.63123597256663</v>
      </c>
      <c r="H335" s="540">
        <v>347.2536476597549</v>
      </c>
      <c r="J335" s="543">
        <v>4255</v>
      </c>
      <c r="K335" s="543">
        <v>4255</v>
      </c>
      <c r="L335" s="543">
        <v>19897</v>
      </c>
      <c r="M335" s="543">
        <v>19897</v>
      </c>
      <c r="N335" s="543">
        <v>19897</v>
      </c>
      <c r="O335" s="274"/>
      <c r="P335" s="274"/>
    </row>
    <row r="336" spans="1:16" customFormat="1" x14ac:dyDescent="0.2">
      <c r="A336" t="s">
        <v>211</v>
      </c>
      <c r="D336" s="540">
        <v>538.67142788597039</v>
      </c>
      <c r="E336" s="540">
        <v>543.02461422882766</v>
      </c>
      <c r="F336" s="540">
        <v>547.47487662713047</v>
      </c>
      <c r="G336" s="540">
        <v>552.02437987691542</v>
      </c>
      <c r="H336" s="540">
        <v>556.67533704917059</v>
      </c>
      <c r="J336" s="543">
        <v>3157</v>
      </c>
      <c r="K336" s="543">
        <v>3157</v>
      </c>
      <c r="L336" s="543">
        <v>8628</v>
      </c>
      <c r="M336" s="543">
        <v>8628</v>
      </c>
      <c r="N336" s="543">
        <v>8268</v>
      </c>
      <c r="O336" s="274"/>
      <c r="P336" s="274"/>
    </row>
    <row r="337" spans="1:16" customFormat="1" x14ac:dyDescent="0.2">
      <c r="A337" t="s">
        <v>362</v>
      </c>
      <c r="D337" s="540">
        <v>736.45142788597036</v>
      </c>
      <c r="E337" s="540">
        <v>742.95701022882758</v>
      </c>
      <c r="F337" s="540">
        <v>749.60766705793026</v>
      </c>
      <c r="G337" s="540">
        <v>756.40663353432228</v>
      </c>
      <c r="H337" s="540">
        <v>763.35721696313749</v>
      </c>
      <c r="J337" s="543">
        <v>468.67173433833449</v>
      </c>
      <c r="K337" s="543">
        <v>468.55725663087549</v>
      </c>
      <c r="L337" s="543">
        <v>17759.590336343601</v>
      </c>
      <c r="M337" s="543">
        <v>17759.590336343601</v>
      </c>
      <c r="N337" s="543">
        <v>17759.590336343601</v>
      </c>
      <c r="O337" s="274"/>
      <c r="P337" s="274"/>
    </row>
    <row r="338" spans="1:16" customFormat="1" x14ac:dyDescent="0.2">
      <c r="A338" t="s">
        <v>212</v>
      </c>
      <c r="D338" s="540">
        <v>918.84791666666661</v>
      </c>
      <c r="E338" s="540">
        <v>930.54441533333329</v>
      </c>
      <c r="F338" s="540">
        <v>942.50174592026679</v>
      </c>
      <c r="G338" s="540">
        <v>954.72572497928877</v>
      </c>
      <c r="H338" s="540">
        <v>967.2222987713269</v>
      </c>
      <c r="J338" s="543">
        <v>766</v>
      </c>
      <c r="K338" s="543">
        <v>766</v>
      </c>
      <c r="L338" s="543">
        <v>0</v>
      </c>
      <c r="M338" s="543">
        <v>0</v>
      </c>
      <c r="N338" s="543">
        <v>0</v>
      </c>
      <c r="O338" s="274"/>
      <c r="P338" s="274"/>
    </row>
    <row r="339" spans="1:16" customFormat="1" x14ac:dyDescent="0.2">
      <c r="A339" s="278"/>
      <c r="B339" s="278"/>
      <c r="C339" s="278"/>
      <c r="D339" s="564"/>
      <c r="E339" s="564"/>
      <c r="F339" s="564"/>
      <c r="G339" s="564"/>
      <c r="H339" s="564"/>
      <c r="J339" s="271"/>
      <c r="K339" s="271"/>
      <c r="L339" s="274"/>
      <c r="M339" s="274"/>
      <c r="N339" s="274"/>
      <c r="O339" s="274"/>
      <c r="P339" s="274"/>
    </row>
    <row r="340" spans="1:16" customFormat="1" x14ac:dyDescent="0.2">
      <c r="A340" s="278" t="s">
        <v>215</v>
      </c>
      <c r="B340" s="279"/>
      <c r="C340" s="279"/>
      <c r="D340" s="542">
        <v>5730000</v>
      </c>
      <c r="E340" s="542">
        <v>5000000</v>
      </c>
      <c r="F340" s="542">
        <v>500000</v>
      </c>
      <c r="G340" s="542">
        <v>500000</v>
      </c>
      <c r="H340" s="542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">
      <c r="A341" s="278"/>
      <c r="B341" s="278"/>
      <c r="C341" s="278"/>
      <c r="D341" s="564"/>
      <c r="E341" s="564"/>
      <c r="F341" s="564"/>
      <c r="G341" s="564"/>
      <c r="H341" s="564"/>
      <c r="J341" s="280"/>
      <c r="K341" s="280"/>
      <c r="L341" s="274"/>
      <c r="M341" s="274"/>
      <c r="N341" s="274"/>
      <c r="O341" s="274"/>
      <c r="P341" s="274"/>
    </row>
    <row r="342" spans="1:16" customFormat="1" x14ac:dyDescent="0.2">
      <c r="A342" s="278" t="s">
        <v>216</v>
      </c>
      <c r="B342" s="279"/>
      <c r="C342" s="279"/>
      <c r="D342" s="542">
        <v>750000</v>
      </c>
      <c r="E342" s="542">
        <v>50000</v>
      </c>
      <c r="F342" s="542">
        <v>100000</v>
      </c>
      <c r="G342" s="542">
        <v>50000</v>
      </c>
      <c r="H342" s="542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">
      <c r="A343" s="278"/>
      <c r="B343" s="278"/>
      <c r="C343" s="278"/>
      <c r="D343" s="564"/>
      <c r="E343" s="564"/>
      <c r="F343" s="564"/>
      <c r="G343" s="564"/>
      <c r="H343" s="564"/>
      <c r="J343" s="271"/>
      <c r="K343" s="271"/>
      <c r="L343" s="277"/>
      <c r="M343" s="277"/>
      <c r="N343" s="277"/>
      <c r="O343" s="277"/>
      <c r="P343" s="277"/>
    </row>
    <row r="344" spans="1:16" customFormat="1" x14ac:dyDescent="0.2">
      <c r="J344" s="271"/>
      <c r="K344" s="271"/>
      <c r="L344" s="274"/>
      <c r="M344" s="274"/>
      <c r="N344" s="274"/>
      <c r="O344" s="274"/>
      <c r="P344" s="274"/>
    </row>
    <row r="345" spans="1:16" customFormat="1" x14ac:dyDescent="0.2">
      <c r="J345" s="271"/>
      <c r="K345" s="271"/>
      <c r="L345" s="274"/>
      <c r="M345" s="274"/>
      <c r="N345" s="274"/>
      <c r="O345" s="274"/>
      <c r="P345" s="274"/>
    </row>
    <row r="346" spans="1:16" customFormat="1" x14ac:dyDescent="0.2">
      <c r="A346" s="264" t="s">
        <v>217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">
      <c r="J347" s="271"/>
      <c r="K347" s="271"/>
      <c r="L347" s="274"/>
      <c r="M347" s="274"/>
      <c r="N347" s="274"/>
      <c r="O347" s="274"/>
      <c r="P347" s="274"/>
    </row>
    <row r="348" spans="1:16" customFormat="1" x14ac:dyDescent="0.2">
      <c r="A348" s="281" t="s">
        <v>51</v>
      </c>
      <c r="B348" s="281"/>
      <c r="C348" s="281"/>
      <c r="J348" s="270" t="s">
        <v>218</v>
      </c>
      <c r="K348" s="271"/>
      <c r="L348" s="274"/>
      <c r="M348" s="274"/>
      <c r="N348" s="274"/>
      <c r="O348" s="274"/>
      <c r="P348" s="274"/>
    </row>
    <row r="349" spans="1:16" customFormat="1" x14ac:dyDescent="0.2">
      <c r="A349" s="264" t="s">
        <v>219</v>
      </c>
      <c r="B349" s="264"/>
      <c r="C349" s="264"/>
      <c r="D349" s="545">
        <v>1.640241300098602</v>
      </c>
      <c r="E349" s="545">
        <v>1.6395822818441947</v>
      </c>
      <c r="F349" s="545">
        <v>1.6405941226017764</v>
      </c>
      <c r="G349" s="545">
        <v>1.64</v>
      </c>
      <c r="H349" s="545">
        <v>1.64</v>
      </c>
      <c r="J349" s="543">
        <v>747451</v>
      </c>
      <c r="K349" s="543">
        <v>759339.75</v>
      </c>
      <c r="L349" s="543">
        <v>748509.32542202831</v>
      </c>
      <c r="M349" s="543">
        <v>737857.94078350009</v>
      </c>
      <c r="N349" s="543">
        <v>727740.97618373868</v>
      </c>
      <c r="O349" s="274"/>
      <c r="P349" s="274"/>
    </row>
    <row r="350" spans="1:16" customFormat="1" x14ac:dyDescent="0.2">
      <c r="A350" s="268" t="s">
        <v>220</v>
      </c>
      <c r="D350" s="546">
        <v>420000</v>
      </c>
      <c r="E350" s="546">
        <v>420000</v>
      </c>
      <c r="F350" s="546">
        <v>420000</v>
      </c>
      <c r="G350" s="546">
        <v>420000</v>
      </c>
      <c r="H350" s="546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">
      <c r="A351" s="268" t="s">
        <v>214</v>
      </c>
      <c r="B351" s="268"/>
      <c r="C351" s="268"/>
      <c r="D351" s="546">
        <v>600000</v>
      </c>
      <c r="E351" s="546">
        <v>600000</v>
      </c>
      <c r="F351" s="546">
        <v>600000</v>
      </c>
      <c r="G351" s="546">
        <v>600000</v>
      </c>
      <c r="H351" s="546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">
      <c r="D352" s="547"/>
      <c r="E352" s="547"/>
      <c r="F352" s="547"/>
      <c r="G352" s="547"/>
      <c r="H352" s="547"/>
      <c r="J352" s="271"/>
      <c r="K352" s="271"/>
      <c r="L352" s="277"/>
      <c r="M352" s="277"/>
      <c r="N352" s="277"/>
      <c r="O352" s="277"/>
      <c r="P352" s="277"/>
    </row>
    <row r="353" spans="1:16" customFormat="1" x14ac:dyDescent="0.2">
      <c r="A353" s="281" t="s">
        <v>221</v>
      </c>
      <c r="B353" s="281"/>
      <c r="C353" s="281"/>
      <c r="D353" s="547"/>
      <c r="E353" s="547"/>
      <c r="F353" s="547"/>
      <c r="G353" s="547"/>
      <c r="H353" s="547"/>
      <c r="J353" s="271"/>
      <c r="K353" s="271"/>
      <c r="L353" s="274"/>
      <c r="M353" s="274"/>
      <c r="N353" s="274"/>
      <c r="O353" s="274"/>
      <c r="P353" s="274"/>
    </row>
    <row r="354" spans="1:16" customFormat="1" x14ac:dyDescent="0.2">
      <c r="A354" s="268" t="s">
        <v>222</v>
      </c>
      <c r="B354" s="268"/>
      <c r="C354" s="268"/>
      <c r="D354" s="547"/>
      <c r="E354" s="547"/>
      <c r="F354" s="547"/>
      <c r="G354" s="547"/>
      <c r="H354" s="547"/>
      <c r="J354" s="264" t="s">
        <v>207</v>
      </c>
      <c r="K354" s="271"/>
      <c r="L354" s="274"/>
      <c r="M354" s="274"/>
      <c r="N354" s="274"/>
      <c r="O354" s="274"/>
      <c r="P354" s="274"/>
    </row>
    <row r="355" spans="1:16" customFormat="1" x14ac:dyDescent="0.2">
      <c r="A355" t="s">
        <v>213</v>
      </c>
      <c r="D355" s="547"/>
      <c r="E355" s="547"/>
      <c r="F355" s="547"/>
      <c r="G355" s="547"/>
      <c r="H355" s="547"/>
      <c r="J355" s="271"/>
      <c r="K355" s="271"/>
      <c r="L355" s="274"/>
      <c r="M355" s="274"/>
      <c r="N355" s="274"/>
      <c r="O355" s="274"/>
      <c r="P355" s="274"/>
    </row>
    <row r="356" spans="1:16" customFormat="1" x14ac:dyDescent="0.2">
      <c r="A356" t="s">
        <v>191</v>
      </c>
      <c r="D356" s="545">
        <v>34.6</v>
      </c>
      <c r="E356" s="545">
        <v>35.110669999999999</v>
      </c>
      <c r="F356" s="545">
        <v>35.632727940999999</v>
      </c>
      <c r="G356" s="545">
        <v>36.166427774084298</v>
      </c>
      <c r="H356" s="545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">
      <c r="A357" t="s">
        <v>192</v>
      </c>
      <c r="D357" s="541"/>
      <c r="E357" s="541"/>
      <c r="F357" s="541"/>
      <c r="G357" s="541"/>
      <c r="H357" s="541"/>
      <c r="J357" s="271"/>
      <c r="K357" s="271"/>
      <c r="L357" s="274"/>
      <c r="M357" s="274"/>
      <c r="N357" s="274"/>
      <c r="O357" s="274"/>
      <c r="P357" s="274"/>
    </row>
    <row r="358" spans="1:16" customFormat="1" x14ac:dyDescent="0.2">
      <c r="A358" t="s">
        <v>209</v>
      </c>
      <c r="D358" s="545">
        <v>34.6</v>
      </c>
      <c r="E358" s="545">
        <v>35.110669999999999</v>
      </c>
      <c r="F358" s="545">
        <v>35.632727940999999</v>
      </c>
      <c r="G358" s="545">
        <v>36.166427774084298</v>
      </c>
      <c r="H358" s="545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">
      <c r="A359" t="s">
        <v>210</v>
      </c>
      <c r="D359" s="545">
        <v>34.6</v>
      </c>
      <c r="E359" s="545">
        <v>35.110669999999999</v>
      </c>
      <c r="F359" s="545">
        <v>35.632727940999999</v>
      </c>
      <c r="G359" s="545">
        <v>36.166427774084298</v>
      </c>
      <c r="H359" s="545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">
      <c r="A360" t="s">
        <v>211</v>
      </c>
      <c r="D360" s="545">
        <v>34.6</v>
      </c>
      <c r="E360" s="545">
        <v>35.110669999999999</v>
      </c>
      <c r="F360" s="545">
        <v>35.632727940999999</v>
      </c>
      <c r="G360" s="545">
        <v>36.166427774084298</v>
      </c>
      <c r="H360" s="545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">
      <c r="A361" t="s">
        <v>362</v>
      </c>
      <c r="D361" s="545">
        <v>34.6</v>
      </c>
      <c r="E361" s="545">
        <v>35.110669999999999</v>
      </c>
      <c r="F361" s="545">
        <v>35.632727940999999</v>
      </c>
      <c r="G361" s="545">
        <v>36.166427774084298</v>
      </c>
      <c r="H361" s="545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">
      <c r="A362" t="s">
        <v>212</v>
      </c>
      <c r="D362" s="545">
        <v>34.6</v>
      </c>
      <c r="E362" s="545">
        <v>35.110669999999999</v>
      </c>
      <c r="F362" s="545">
        <v>35.632727940999999</v>
      </c>
      <c r="G362" s="545">
        <v>36.166427774084298</v>
      </c>
      <c r="H362" s="545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">
      <c r="D363" s="541"/>
      <c r="E363" s="541"/>
      <c r="F363" s="541"/>
      <c r="G363" s="541"/>
      <c r="H363" s="541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">
      <c r="A364" s="282" t="s">
        <v>223</v>
      </c>
      <c r="B364" s="282"/>
      <c r="C364" s="282"/>
      <c r="D364" s="541"/>
      <c r="E364" s="541"/>
      <c r="F364" s="541"/>
      <c r="G364" s="541"/>
      <c r="H364" s="541"/>
      <c r="I364" s="271"/>
      <c r="N364" s="276"/>
      <c r="O364" s="276"/>
      <c r="P364" s="276"/>
    </row>
    <row r="365" spans="1:16" customFormat="1" x14ac:dyDescent="0.2">
      <c r="A365" s="283" t="s">
        <v>191</v>
      </c>
      <c r="B365" s="283"/>
      <c r="C365" s="283"/>
      <c r="D365" s="545">
        <v>1.5</v>
      </c>
      <c r="E365" s="545">
        <v>1.5</v>
      </c>
      <c r="F365" s="545">
        <v>1.5</v>
      </c>
      <c r="G365" s="545">
        <v>1.5</v>
      </c>
      <c r="H365" s="545">
        <v>1.5</v>
      </c>
      <c r="I365" s="271"/>
      <c r="N365" s="271"/>
      <c r="O365" s="271"/>
      <c r="P365" s="271"/>
    </row>
    <row r="366" spans="1:16" customFormat="1" x14ac:dyDescent="0.2">
      <c r="A366" s="283" t="s">
        <v>224</v>
      </c>
      <c r="B366" s="283"/>
      <c r="C366" s="283"/>
      <c r="D366" s="545">
        <v>2.5</v>
      </c>
      <c r="E366" s="545">
        <v>2.5</v>
      </c>
      <c r="F366" s="545">
        <v>2.5</v>
      </c>
      <c r="G366" s="545">
        <v>2.5</v>
      </c>
      <c r="H366" s="545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">
      <c r="A367" s="283" t="s">
        <v>225</v>
      </c>
      <c r="B367" s="283"/>
      <c r="C367" s="283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">
      <c r="A368" s="283" t="s">
        <v>226</v>
      </c>
      <c r="B368" s="283"/>
      <c r="C368" s="283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">
      <c r="D369" s="547"/>
      <c r="E369" s="547"/>
      <c r="F369" s="547"/>
      <c r="G369" s="547"/>
      <c r="H369" s="547"/>
      <c r="I369" s="271"/>
      <c r="J369" s="264" t="s">
        <v>227</v>
      </c>
      <c r="K369" s="271"/>
      <c r="L369" s="276"/>
      <c r="M369" s="276"/>
      <c r="N369" s="271"/>
      <c r="O369" s="271"/>
      <c r="P369" s="271"/>
    </row>
    <row r="370" spans="1:16" customFormat="1" x14ac:dyDescent="0.2">
      <c r="A370" t="s">
        <v>228</v>
      </c>
      <c r="D370" s="547"/>
      <c r="E370" s="547"/>
      <c r="F370" s="547"/>
      <c r="G370" s="547"/>
      <c r="H370" s="547"/>
      <c r="J370" s="548">
        <v>2840.5</v>
      </c>
      <c r="K370" s="548">
        <v>0</v>
      </c>
      <c r="L370" s="548">
        <v>0</v>
      </c>
      <c r="M370" s="548">
        <v>0</v>
      </c>
      <c r="N370" s="548">
        <v>0</v>
      </c>
    </row>
    <row r="371" spans="1:16" customFormat="1" x14ac:dyDescent="0.2">
      <c r="A371" t="s">
        <v>229</v>
      </c>
      <c r="D371" s="547"/>
      <c r="E371" s="547"/>
      <c r="F371" s="547"/>
      <c r="G371" s="547"/>
      <c r="H371" s="547"/>
      <c r="J371" s="548">
        <v>704157.15653132333</v>
      </c>
      <c r="K371" s="548">
        <v>695525.52097347646</v>
      </c>
      <c r="L371" s="548">
        <v>605602.09639550466</v>
      </c>
      <c r="M371" s="548">
        <v>515942.71175697667</v>
      </c>
      <c r="N371" s="548">
        <v>425738.74715721508</v>
      </c>
    </row>
    <row r="372" spans="1:16" customFormat="1" x14ac:dyDescent="0.2">
      <c r="A372" t="s">
        <v>230</v>
      </c>
      <c r="D372" s="547"/>
      <c r="E372" s="547"/>
      <c r="F372" s="547"/>
      <c r="G372" s="547"/>
      <c r="H372" s="547"/>
      <c r="J372" s="548">
        <v>5242.6427209510994</v>
      </c>
      <c r="K372" s="548">
        <v>7714.5067294751007</v>
      </c>
      <c r="L372" s="548">
        <v>7022.5067294751007</v>
      </c>
      <c r="M372" s="548">
        <v>6312.5067294751007</v>
      </c>
      <c r="N372" s="548">
        <v>5576.5067294751007</v>
      </c>
    </row>
    <row r="373" spans="1:16" customFormat="1" x14ac:dyDescent="0.2">
      <c r="A373" t="s">
        <v>231</v>
      </c>
      <c r="D373" s="547"/>
      <c r="E373" s="547"/>
      <c r="F373" s="547"/>
      <c r="G373" s="547"/>
      <c r="H373" s="547"/>
      <c r="J373" s="548">
        <v>35210.700747725568</v>
      </c>
      <c r="K373" s="548">
        <v>56099.7222970484</v>
      </c>
      <c r="L373" s="548">
        <v>135884.7222970484</v>
      </c>
      <c r="M373" s="548">
        <v>215602.7222970484</v>
      </c>
      <c r="N373" s="548">
        <v>296425.72229704843</v>
      </c>
    </row>
    <row r="374" spans="1:16" customFormat="1" x14ac:dyDescent="0.2">
      <c r="D374" s="547"/>
      <c r="E374" s="547"/>
      <c r="F374" s="547"/>
      <c r="G374" s="547"/>
      <c r="H374" s="547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">
      <c r="A375" s="278" t="s">
        <v>54</v>
      </c>
      <c r="D375" s="542">
        <v>5644406.5512591293</v>
      </c>
      <c r="E375" s="542">
        <v>5765762.3580535455</v>
      </c>
      <c r="F375" s="542">
        <v>5765762.3580535455</v>
      </c>
      <c r="G375" s="542">
        <v>5765762.3580535455</v>
      </c>
      <c r="H375" s="542">
        <v>5765762.3580535455</v>
      </c>
    </row>
    <row r="376" spans="1:16" customFormat="1" x14ac:dyDescent="0.2"/>
    <row r="377" spans="1:16" customFormat="1" x14ac:dyDescent="0.2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"/>
    <row r="379" spans="1:16" customFormat="1" x14ac:dyDescent="0.2"/>
    <row r="380" spans="1:16" customFormat="1" x14ac:dyDescent="0.2">
      <c r="A380" s="264" t="s">
        <v>232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">
      <c r="A381" s="130" t="s">
        <v>203</v>
      </c>
    </row>
    <row r="382" spans="1:16" customFormat="1" ht="15.75" x14ac:dyDescent="0.25">
      <c r="A382" s="130"/>
      <c r="C382" s="286" t="s">
        <v>363</v>
      </c>
      <c r="D382" s="549">
        <v>1</v>
      </c>
    </row>
    <row r="383" spans="1:16" customFormat="1" x14ac:dyDescent="0.2">
      <c r="D383" s="133" t="s">
        <v>233</v>
      </c>
      <c r="J383" s="133" t="s">
        <v>23</v>
      </c>
    </row>
    <row r="384" spans="1:16" customFormat="1" x14ac:dyDescent="0.2">
      <c r="A384" s="255" t="s">
        <v>234</v>
      </c>
      <c r="B384" s="255"/>
      <c r="C384" s="255"/>
      <c r="D384" t="s">
        <v>235</v>
      </c>
      <c r="J384" s="267"/>
      <c r="K384" s="267"/>
      <c r="L384" s="267"/>
      <c r="M384" s="267"/>
      <c r="N384" s="267"/>
    </row>
    <row r="385" spans="1:19" customFormat="1" x14ac:dyDescent="0.2">
      <c r="A385" s="126" t="s">
        <v>236</v>
      </c>
      <c r="B385" s="126"/>
      <c r="C385" s="550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">
      <c r="A386" s="126" t="s">
        <v>237</v>
      </c>
      <c r="B386" s="126"/>
      <c r="C386" s="550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">
      <c r="A387" s="126" t="s">
        <v>238</v>
      </c>
      <c r="B387" s="126"/>
      <c r="C387" s="550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">
      <c r="A388" s="126" t="s">
        <v>239</v>
      </c>
      <c r="B388" s="126"/>
      <c r="C388" s="550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">
      <c r="A389" s="126"/>
      <c r="B389" s="126"/>
      <c r="C389" s="551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">
      <c r="A390" s="255" t="s">
        <v>234</v>
      </c>
      <c r="B390" s="255"/>
      <c r="C390" s="552"/>
      <c r="D390" t="s">
        <v>240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">
      <c r="A391" s="126" t="s">
        <v>251</v>
      </c>
      <c r="B391" s="126"/>
      <c r="C391" s="550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3">
        <v>0</v>
      </c>
      <c r="K391" s="553">
        <v>0</v>
      </c>
      <c r="L391" s="553">
        <v>0</v>
      </c>
      <c r="M391" s="553">
        <v>0</v>
      </c>
      <c r="N391" s="553">
        <v>0</v>
      </c>
      <c r="O391" s="292"/>
      <c r="P391" s="271"/>
      <c r="Q391" s="271"/>
      <c r="R391" s="271"/>
      <c r="S391" s="271"/>
    </row>
    <row r="392" spans="1:19" customFormat="1" x14ac:dyDescent="0.2">
      <c r="A392" s="126" t="s">
        <v>252</v>
      </c>
      <c r="B392" s="126"/>
      <c r="C392" s="550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3">
        <v>541474.83945697406</v>
      </c>
      <c r="K392" s="553">
        <v>534697.81323619781</v>
      </c>
      <c r="L392" s="553">
        <v>488233.27305191796</v>
      </c>
      <c r="M392" s="553">
        <v>441987.50174757856</v>
      </c>
      <c r="N392" s="553">
        <v>395296.78029193444</v>
      </c>
      <c r="O392" s="271"/>
      <c r="P392" s="271"/>
      <c r="Q392" s="271"/>
      <c r="R392" s="271"/>
      <c r="S392" s="271"/>
    </row>
    <row r="393" spans="1:19" customFormat="1" x14ac:dyDescent="0.2">
      <c r="A393" s="126" t="s">
        <v>253</v>
      </c>
      <c r="B393" s="126"/>
      <c r="C393" s="550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3">
        <v>6508.9489249309008</v>
      </c>
      <c r="K393" s="553">
        <v>5882.9389853199536</v>
      </c>
      <c r="L393" s="553">
        <v>5218.1334253192936</v>
      </c>
      <c r="M393" s="553">
        <v>4535.2401989378968</v>
      </c>
      <c r="N393" s="553">
        <v>3829.5488259490016</v>
      </c>
      <c r="O393" s="271"/>
      <c r="P393" s="271"/>
      <c r="Q393" s="271"/>
      <c r="R393" s="271"/>
      <c r="S393" s="271"/>
    </row>
    <row r="394" spans="1:19" customFormat="1" x14ac:dyDescent="0.2">
      <c r="A394" s="126" t="s">
        <v>254</v>
      </c>
      <c r="B394" s="126"/>
      <c r="C394" s="550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3">
        <v>29415.451934137975</v>
      </c>
      <c r="K394" s="553">
        <v>47080.830466136853</v>
      </c>
      <c r="L394" s="553">
        <v>105119.68334438653</v>
      </c>
      <c r="M394" s="553">
        <v>163130.54146459873</v>
      </c>
      <c r="N394" s="553">
        <v>222112.24617836383</v>
      </c>
      <c r="O394" s="271"/>
      <c r="P394" s="271"/>
      <c r="Q394" s="271"/>
      <c r="R394" s="271"/>
      <c r="S394" s="271"/>
    </row>
    <row r="395" spans="1:19" customFormat="1" x14ac:dyDescent="0.2">
      <c r="A395" s="126"/>
      <c r="B395" s="126"/>
      <c r="C395" s="551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">
      <c r="A396" s="255" t="s">
        <v>241</v>
      </c>
      <c r="B396" s="255"/>
      <c r="C396" s="552"/>
      <c r="O396" s="271"/>
      <c r="P396" s="271"/>
      <c r="Q396" s="271"/>
      <c r="R396" s="271"/>
      <c r="S396" s="271"/>
    </row>
    <row r="397" spans="1:19" customFormat="1" x14ac:dyDescent="0.2">
      <c r="A397" s="255" t="s">
        <v>242</v>
      </c>
      <c r="B397" s="255"/>
      <c r="C397" s="552"/>
      <c r="D397" t="s">
        <v>243</v>
      </c>
      <c r="O397" s="271"/>
      <c r="P397" s="271"/>
      <c r="Q397" s="271"/>
      <c r="R397" s="271"/>
      <c r="S397" s="271"/>
    </row>
    <row r="398" spans="1:19" customFormat="1" x14ac:dyDescent="0.2">
      <c r="A398" s="126" t="s">
        <v>244</v>
      </c>
      <c r="B398" s="126"/>
      <c r="C398" s="550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3">
        <v>81</v>
      </c>
      <c r="K398" s="553">
        <v>81</v>
      </c>
      <c r="L398" s="553">
        <v>81</v>
      </c>
      <c r="M398" s="553">
        <v>81</v>
      </c>
      <c r="N398" s="553">
        <v>81</v>
      </c>
      <c r="O398" s="271"/>
      <c r="P398" s="271"/>
      <c r="Q398" s="271"/>
      <c r="R398" s="271"/>
      <c r="S398" s="271"/>
    </row>
    <row r="399" spans="1:19" customFormat="1" x14ac:dyDescent="0.2">
      <c r="A399" s="126" t="s">
        <v>245</v>
      </c>
      <c r="B399" s="126"/>
      <c r="C399" s="550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3">
        <v>109501</v>
      </c>
      <c r="K399" s="553">
        <v>113971</v>
      </c>
      <c r="L399" s="553">
        <v>118623</v>
      </c>
      <c r="M399" s="553">
        <v>123465</v>
      </c>
      <c r="N399" s="553">
        <v>128505</v>
      </c>
      <c r="O399" s="271"/>
      <c r="P399" s="271"/>
      <c r="Q399" s="271"/>
      <c r="R399" s="271"/>
      <c r="S399" s="271"/>
    </row>
    <row r="400" spans="1:19" customFormat="1" x14ac:dyDescent="0.2">
      <c r="A400" s="126"/>
      <c r="B400" s="126"/>
      <c r="C400" s="551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">
      <c r="A401" s="255" t="s">
        <v>29</v>
      </c>
      <c r="B401" s="255"/>
      <c r="C401" s="552"/>
      <c r="D401" t="s">
        <v>243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">
      <c r="A402" s="126" t="s">
        <v>246</v>
      </c>
      <c r="B402" s="126"/>
      <c r="C402" s="550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3">
        <v>327081.07016085723</v>
      </c>
      <c r="K402" s="553">
        <v>334788.23161118897</v>
      </c>
      <c r="L402" s="553">
        <v>342342.5113433029</v>
      </c>
      <c r="M402" s="553">
        <v>349977.60200844088</v>
      </c>
      <c r="N402" s="553">
        <v>358038.3536431223</v>
      </c>
      <c r="O402" s="271"/>
      <c r="P402" s="271"/>
      <c r="Q402" s="271"/>
      <c r="R402" s="271"/>
      <c r="S402" s="271"/>
    </row>
    <row r="403" spans="1:19" customFormat="1" x14ac:dyDescent="0.2">
      <c r="A403" s="126" t="s">
        <v>247</v>
      </c>
      <c r="B403" s="126"/>
      <c r="C403" s="550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3">
        <v>336438.38255269907</v>
      </c>
      <c r="K403" s="553">
        <v>340055.93100589758</v>
      </c>
      <c r="L403" s="553">
        <v>321198.73973271751</v>
      </c>
      <c r="M403" s="553">
        <v>302440.52795478486</v>
      </c>
      <c r="N403" s="553">
        <v>283769.02061518887</v>
      </c>
      <c r="O403" s="271"/>
      <c r="P403" s="271"/>
      <c r="Q403" s="271"/>
      <c r="R403" s="271"/>
      <c r="S403" s="271"/>
    </row>
    <row r="404" spans="1:19" customFormat="1" x14ac:dyDescent="0.2">
      <c r="A404" s="126" t="s">
        <v>248</v>
      </c>
      <c r="B404" s="126"/>
      <c r="C404" s="550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3">
        <v>82453.314942680299</v>
      </c>
      <c r="K404" s="553">
        <v>82990.399336892544</v>
      </c>
      <c r="L404" s="553">
        <v>83437.127095429198</v>
      </c>
      <c r="M404" s="553">
        <v>83883.667122120998</v>
      </c>
      <c r="N404" s="553">
        <v>84350.534545684379</v>
      </c>
      <c r="O404" s="271"/>
      <c r="P404" s="271"/>
      <c r="Q404" s="271"/>
      <c r="R404" s="271"/>
      <c r="S404" s="271"/>
    </row>
    <row r="405" spans="1:19" customFormat="1" x14ac:dyDescent="0.2">
      <c r="A405" s="126" t="s">
        <v>249</v>
      </c>
      <c r="B405" s="126"/>
      <c r="C405" s="550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3">
        <v>1478.232343763259</v>
      </c>
      <c r="K405" s="553">
        <v>1505.1880460207444</v>
      </c>
      <c r="L405" s="553">
        <v>1530.9472505786187</v>
      </c>
      <c r="M405" s="553">
        <v>1556.1436981534141</v>
      </c>
      <c r="N405" s="553">
        <v>1583.0673797430527</v>
      </c>
      <c r="O405" s="271"/>
      <c r="P405" s="271"/>
      <c r="Q405" s="271"/>
      <c r="R405" s="271"/>
      <c r="S405" s="271"/>
    </row>
    <row r="406" spans="1:19" customFormat="1" x14ac:dyDescent="0.2">
      <c r="A406" s="222" t="s">
        <v>364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">
      <c r="O408" s="292"/>
      <c r="P408" s="271"/>
      <c r="Q408" s="271"/>
      <c r="R408" s="271"/>
      <c r="S408" s="271"/>
    </row>
    <row r="409" spans="1:19" customFormat="1" x14ac:dyDescent="0.2">
      <c r="A409" s="133" t="s">
        <v>250</v>
      </c>
      <c r="D409" s="126"/>
      <c r="O409" s="271"/>
      <c r="P409" s="271"/>
      <c r="Q409" s="271"/>
      <c r="R409" s="271"/>
      <c r="S409" s="271"/>
    </row>
    <row r="410" spans="1:19" customFormat="1" x14ac:dyDescent="0.2">
      <c r="A410" s="255" t="s">
        <v>234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">
      <c r="A411" s="126" t="s">
        <v>236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">
      <c r="A412" s="126" t="s">
        <v>237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">
      <c r="A413" s="126" t="s">
        <v>238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">
      <c r="A414" s="126" t="s">
        <v>239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">
      <c r="A416" s="255" t="s">
        <v>234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">
      <c r="A417" s="126" t="s">
        <v>251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">
      <c r="A418" s="126" t="s">
        <v>252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">
      <c r="A419" s="126" t="s">
        <v>253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">
      <c r="A420" s="126" t="s">
        <v>254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">
      <c r="A422" s="255" t="s">
        <v>241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">
      <c r="A423" s="255" t="s">
        <v>242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">
      <c r="A424" s="126" t="s">
        <v>244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">
      <c r="A425" s="126" t="s">
        <v>245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">
      <c r="A428" s="126" t="s">
        <v>246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">
      <c r="A429" s="126" t="s">
        <v>247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">
      <c r="A430" s="126" t="s">
        <v>248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">
      <c r="A431" s="126" t="s">
        <v>249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">
      <c r="A432" s="222" t="s">
        <v>364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"/>
    <row r="435" spans="1:14" customFormat="1" ht="13.5" thickBot="1" x14ac:dyDescent="0.25">
      <c r="A435" t="s">
        <v>255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5" thickTop="1" x14ac:dyDescent="0.2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">
      <c r="A439" s="133"/>
      <c r="I439" s="157"/>
      <c r="J439" s="157"/>
    </row>
    <row r="440" spans="1:14" x14ac:dyDescent="0.2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">
      <c r="A441" s="133"/>
      <c r="I441" s="157"/>
      <c r="J441" s="157"/>
    </row>
    <row r="442" spans="1:14" x14ac:dyDescent="0.2">
      <c r="A442" s="133"/>
      <c r="I442" s="157"/>
      <c r="J442" s="157"/>
    </row>
  </sheetData>
  <sheetProtection sheet="1" objects="1" scenarios="1"/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38" sqref="B38"/>
    </sheetView>
  </sheetViews>
  <sheetFormatPr defaultColWidth="9.140625"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5" t="str">
        <f>'Data 2006-08'!A1</f>
        <v>SP AusNet</v>
      </c>
    </row>
    <row r="2" spans="1:3" s="570" customFormat="1" x14ac:dyDescent="0.2">
      <c r="A2" s="96"/>
    </row>
    <row r="3" spans="1:3" s="790" customFormat="1" x14ac:dyDescent="0.2">
      <c r="A3" s="571" t="s">
        <v>380</v>
      </c>
    </row>
    <row r="4" spans="1:3" s="790" customFormat="1" x14ac:dyDescent="0.2"/>
    <row r="5" spans="1:3" s="790" customFormat="1" x14ac:dyDescent="0.2">
      <c r="A5" s="572" t="s">
        <v>408</v>
      </c>
    </row>
    <row r="6" spans="1:3" s="790" customFormat="1" x14ac:dyDescent="0.2"/>
    <row r="7" spans="1:3" s="790" customFormat="1" x14ac:dyDescent="0.2">
      <c r="A7" s="572" t="s">
        <v>381</v>
      </c>
      <c r="B7" s="573"/>
      <c r="C7" s="574" t="s">
        <v>415</v>
      </c>
    </row>
    <row r="8" spans="1:3" s="790" customFormat="1" ht="15" x14ac:dyDescent="0.25">
      <c r="A8" s="575"/>
    </row>
    <row r="9" spans="1:3" s="790" customFormat="1" x14ac:dyDescent="0.2">
      <c r="A9" s="572" t="s">
        <v>382</v>
      </c>
    </row>
    <row r="10" spans="1:3" s="790" customFormat="1" x14ac:dyDescent="0.2"/>
    <row r="11" spans="1:3" s="790" customFormat="1" x14ac:dyDescent="0.2">
      <c r="A11" s="576" t="s">
        <v>409</v>
      </c>
      <c r="B11" s="577"/>
      <c r="C11" s="578" t="s">
        <v>22</v>
      </c>
    </row>
    <row r="12" spans="1:3" s="791" customFormat="1" x14ac:dyDescent="0.2">
      <c r="A12" s="579"/>
      <c r="B12" s="580"/>
      <c r="C12" s="581"/>
    </row>
    <row r="13" spans="1:3" s="790" customFormat="1" x14ac:dyDescent="0.2">
      <c r="A13" s="576" t="s">
        <v>410</v>
      </c>
      <c r="B13" s="577"/>
      <c r="C13" s="578" t="s">
        <v>411</v>
      </c>
    </row>
    <row r="14" spans="1:3" s="790" customFormat="1" x14ac:dyDescent="0.2">
      <c r="B14" s="792"/>
    </row>
    <row r="15" spans="1:3" s="790" customFormat="1" x14ac:dyDescent="0.2">
      <c r="A15" s="576" t="s">
        <v>412</v>
      </c>
      <c r="C15" s="578" t="s">
        <v>22</v>
      </c>
    </row>
    <row r="16" spans="1:3" s="790" customFormat="1" x14ac:dyDescent="0.2"/>
    <row r="17" spans="1:1" s="790" customFormat="1" x14ac:dyDescent="0.2">
      <c r="A17" s="576" t="s">
        <v>413</v>
      </c>
    </row>
    <row r="18" spans="1:1" s="790" customFormat="1" x14ac:dyDescent="0.2"/>
    <row r="19" spans="1:1" s="790" customFormat="1" x14ac:dyDescent="0.2"/>
    <row r="20" spans="1:1" x14ac:dyDescent="0.2">
      <c r="A20" s="784"/>
    </row>
  </sheetData>
  <phoneticPr fontId="4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zoomScale="85" zoomScaleNormal="85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M55" sqref="M55"/>
    </sheetView>
  </sheetViews>
  <sheetFormatPr defaultColWidth="9.140625"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5" width="5.7109375" style="792" customWidth="1"/>
    <col min="6" max="7" width="5.5703125" style="792" customWidth="1"/>
    <col min="8" max="10" width="11.5703125" style="21" customWidth="1"/>
    <col min="11" max="11" width="5.7109375" style="785" customWidth="1"/>
    <col min="12" max="12" width="10.7109375" style="805" customWidth="1"/>
    <col min="13" max="15" width="5.7109375" style="805" customWidth="1"/>
    <col min="16" max="17" width="11.85546875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785"/>
      <c r="E1" s="785"/>
      <c r="F1" s="785"/>
      <c r="G1" s="785"/>
      <c r="H1" s="4">
        <v>2013</v>
      </c>
      <c r="I1" s="5">
        <v>2014</v>
      </c>
      <c r="J1" s="6">
        <v>2015</v>
      </c>
      <c r="K1" s="56"/>
      <c r="L1" s="792"/>
      <c r="M1" s="792"/>
      <c r="N1" s="792"/>
      <c r="O1" s="792"/>
      <c r="P1" s="46">
        <f>I1</f>
        <v>2014</v>
      </c>
      <c r="Q1" s="48">
        <f>J1</f>
        <v>2015</v>
      </c>
    </row>
    <row r="2" spans="1:17" s="1" customFormat="1" ht="15" x14ac:dyDescent="0.25">
      <c r="A2" s="30"/>
      <c r="B2" s="95"/>
      <c r="C2" s="2"/>
      <c r="D2" s="793"/>
      <c r="E2" s="793"/>
      <c r="F2" s="793"/>
      <c r="G2" s="793"/>
      <c r="H2" s="807" t="s">
        <v>22</v>
      </c>
      <c r="I2" s="808" t="s">
        <v>22</v>
      </c>
      <c r="J2" s="809" t="s">
        <v>411</v>
      </c>
      <c r="K2" s="884"/>
      <c r="L2" s="792"/>
      <c r="M2" s="792"/>
      <c r="N2" s="792"/>
      <c r="O2" s="792"/>
      <c r="P2" s="68"/>
      <c r="Q2" s="69"/>
    </row>
    <row r="3" spans="1:17" s="1" customFormat="1" ht="15.75" x14ac:dyDescent="0.25">
      <c r="A3" s="72" t="s">
        <v>414</v>
      </c>
      <c r="B3" s="452"/>
      <c r="C3" s="2"/>
      <c r="D3" s="793"/>
      <c r="E3" s="793"/>
      <c r="F3" s="793"/>
      <c r="G3" s="793"/>
      <c r="H3" s="799" t="s">
        <v>20</v>
      </c>
      <c r="I3" s="888" t="s">
        <v>18</v>
      </c>
      <c r="J3" s="889" t="s">
        <v>18</v>
      </c>
      <c r="K3" s="884"/>
      <c r="L3" s="792"/>
      <c r="M3" s="792"/>
      <c r="N3" s="792"/>
      <c r="O3" s="792"/>
      <c r="P3" s="62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1"/>
      <c r="E4" s="41"/>
      <c r="F4" s="41"/>
      <c r="G4" s="41"/>
      <c r="H4" s="42"/>
      <c r="I4" s="42"/>
      <c r="J4" s="42"/>
      <c r="K4" s="42"/>
      <c r="L4" s="792"/>
      <c r="M4" s="792"/>
      <c r="N4" s="793"/>
      <c r="O4" s="793"/>
    </row>
    <row r="5" spans="1:17" s="1" customFormat="1" ht="15.75" x14ac:dyDescent="0.25">
      <c r="A5" s="97" t="s">
        <v>38</v>
      </c>
      <c r="B5" s="452"/>
      <c r="C5" s="2"/>
      <c r="D5" s="793"/>
      <c r="E5" s="793"/>
      <c r="F5" s="793"/>
      <c r="G5" s="793"/>
      <c r="H5" s="2"/>
      <c r="I5" s="2"/>
      <c r="J5" s="2"/>
      <c r="K5" s="793"/>
      <c r="L5" s="792"/>
      <c r="M5" s="792"/>
      <c r="N5" s="792"/>
      <c r="O5" s="792"/>
    </row>
    <row r="6" spans="1:17" s="1" customFormat="1" x14ac:dyDescent="0.2">
      <c r="A6" s="3"/>
      <c r="B6" s="93"/>
      <c r="C6" s="2"/>
      <c r="D6" s="793"/>
      <c r="E6" s="793"/>
      <c r="F6" s="793"/>
      <c r="G6" s="793"/>
      <c r="H6" s="2"/>
      <c r="I6" s="2"/>
      <c r="J6" s="2"/>
      <c r="K6" s="793"/>
      <c r="L6" s="793"/>
      <c r="M6" s="792"/>
      <c r="N6" s="792"/>
      <c r="O6" s="792"/>
    </row>
    <row r="7" spans="1:17" s="1" customFormat="1" x14ac:dyDescent="0.2">
      <c r="A7" s="3"/>
      <c r="B7" s="60"/>
      <c r="C7" s="2"/>
      <c r="D7" s="793"/>
      <c r="E7" s="793"/>
      <c r="F7" s="793"/>
      <c r="G7" s="793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793"/>
      <c r="M7" s="792"/>
      <c r="N7" s="792"/>
      <c r="O7" s="792"/>
    </row>
    <row r="8" spans="1:17" s="1" customFormat="1" x14ac:dyDescent="0.2">
      <c r="A8" s="43" t="s">
        <v>37</v>
      </c>
      <c r="B8" s="85"/>
      <c r="C8" s="33" t="s">
        <v>7</v>
      </c>
      <c r="D8" s="32"/>
      <c r="E8" s="32"/>
      <c r="F8" s="32"/>
      <c r="G8" s="32"/>
      <c r="H8" s="749" t="str">
        <f t="shared" ref="H8:J8" si="1">H$2</f>
        <v>Nominal $</v>
      </c>
      <c r="I8" s="110" t="str">
        <f t="shared" si="1"/>
        <v>Nominal $</v>
      </c>
      <c r="J8" s="750" t="str">
        <f t="shared" si="1"/>
        <v>Real 2014 $</v>
      </c>
      <c r="K8" s="884"/>
      <c r="L8" s="793"/>
      <c r="M8" s="792"/>
      <c r="N8" s="792"/>
      <c r="O8" s="792"/>
    </row>
    <row r="9" spans="1:17" s="1" customFormat="1" x14ac:dyDescent="0.2">
      <c r="A9" s="7"/>
      <c r="B9" s="86"/>
      <c r="C9" s="99" t="s">
        <v>8</v>
      </c>
      <c r="D9" s="32"/>
      <c r="E9" s="32"/>
      <c r="F9" s="32"/>
      <c r="G9" s="32"/>
      <c r="H9" s="52" t="str">
        <f t="shared" ref="H9:J9" si="2">H$3</f>
        <v>Actual</v>
      </c>
      <c r="I9" s="751" t="str">
        <f t="shared" si="2"/>
        <v>Forecast</v>
      </c>
      <c r="J9" s="752" t="str">
        <f t="shared" si="2"/>
        <v>Forecast</v>
      </c>
      <c r="K9" s="884"/>
      <c r="L9" s="793"/>
      <c r="M9" s="792"/>
      <c r="N9" s="792"/>
      <c r="O9" s="792"/>
    </row>
    <row r="10" spans="1:17" s="1" customFormat="1" x14ac:dyDescent="0.2">
      <c r="A10" s="85" t="s">
        <v>42</v>
      </c>
      <c r="B10" s="85"/>
      <c r="C10" s="106" t="s">
        <v>383</v>
      </c>
      <c r="D10" s="800"/>
      <c r="E10" s="800"/>
      <c r="F10" s="800"/>
      <c r="G10" s="800"/>
      <c r="H10" s="8">
        <v>0</v>
      </c>
      <c r="I10" s="949">
        <v>0</v>
      </c>
      <c r="J10" s="950">
        <v>0</v>
      </c>
      <c r="K10" s="119"/>
      <c r="L10" s="793"/>
      <c r="M10" s="792"/>
      <c r="N10" s="792"/>
      <c r="O10" s="792"/>
    </row>
    <row r="11" spans="1:17" s="1" customFormat="1" x14ac:dyDescent="0.2">
      <c r="A11" s="84" t="s">
        <v>260</v>
      </c>
      <c r="B11" s="85"/>
      <c r="C11" s="316" t="s">
        <v>383</v>
      </c>
      <c r="D11" s="800"/>
      <c r="E11" s="800"/>
      <c r="F11" s="800"/>
      <c r="G11" s="800"/>
      <c r="H11" s="8">
        <v>0</v>
      </c>
      <c r="I11" s="949">
        <v>0</v>
      </c>
      <c r="J11" s="951">
        <v>0</v>
      </c>
      <c r="K11" s="119"/>
      <c r="L11" s="793"/>
      <c r="M11" s="792"/>
      <c r="N11" s="792"/>
      <c r="O11" s="792"/>
    </row>
    <row r="12" spans="1:17" s="1" customFormat="1" x14ac:dyDescent="0.2">
      <c r="A12" s="318" t="s">
        <v>367</v>
      </c>
      <c r="B12" s="85"/>
      <c r="C12" s="316">
        <v>15</v>
      </c>
      <c r="D12" s="800"/>
      <c r="E12" s="800"/>
      <c r="F12" s="800"/>
      <c r="G12" s="800"/>
      <c r="H12" s="8">
        <v>94519245.480000019</v>
      </c>
      <c r="I12" s="949">
        <v>50026652.390844733</v>
      </c>
      <c r="J12" s="951">
        <v>7517106.5800541183</v>
      </c>
      <c r="K12" s="787"/>
      <c r="L12" s="793"/>
      <c r="M12" s="792"/>
      <c r="N12" s="792"/>
      <c r="O12" s="792"/>
    </row>
    <row r="13" spans="1:17" s="1" customFormat="1" x14ac:dyDescent="0.2">
      <c r="A13" s="318" t="s">
        <v>277</v>
      </c>
      <c r="B13" s="85"/>
      <c r="C13" s="316">
        <v>7</v>
      </c>
      <c r="D13" s="800"/>
      <c r="E13" s="800"/>
      <c r="F13" s="800"/>
      <c r="G13" s="800"/>
      <c r="H13" s="8">
        <v>9036460.0667708889</v>
      </c>
      <c r="I13" s="949">
        <v>9973347.6091552768</v>
      </c>
      <c r="J13" s="951">
        <v>2241847.2600942189</v>
      </c>
      <c r="K13" s="15"/>
      <c r="L13" s="793"/>
      <c r="M13" s="792"/>
      <c r="N13" s="792"/>
      <c r="O13" s="792"/>
    </row>
    <row r="14" spans="1:17" s="1" customFormat="1" x14ac:dyDescent="0.2">
      <c r="A14" s="318" t="s">
        <v>279</v>
      </c>
      <c r="B14" s="88"/>
      <c r="C14" s="316">
        <v>7</v>
      </c>
      <c r="D14" s="800"/>
      <c r="E14" s="800"/>
      <c r="F14" s="800"/>
      <c r="G14" s="800"/>
      <c r="H14" s="8">
        <v>18817796.080000002</v>
      </c>
      <c r="I14" s="949">
        <v>0</v>
      </c>
      <c r="J14" s="951">
        <v>0</v>
      </c>
      <c r="K14" s="15"/>
      <c r="L14" s="793"/>
      <c r="M14" s="792"/>
      <c r="N14" s="792"/>
      <c r="O14" s="792"/>
    </row>
    <row r="15" spans="1:17" s="1" customFormat="1" x14ac:dyDescent="0.2">
      <c r="A15" s="318" t="s">
        <v>278</v>
      </c>
      <c r="B15" s="85"/>
      <c r="C15" s="107">
        <v>7</v>
      </c>
      <c r="D15" s="800"/>
      <c r="E15" s="800"/>
      <c r="F15" s="800"/>
      <c r="G15" s="800"/>
      <c r="H15" s="8">
        <v>0</v>
      </c>
      <c r="I15" s="949">
        <v>0</v>
      </c>
      <c r="J15" s="951">
        <v>0</v>
      </c>
      <c r="K15" s="15"/>
      <c r="L15" s="793"/>
      <c r="M15" s="792"/>
      <c r="N15" s="792"/>
      <c r="O15" s="792"/>
    </row>
    <row r="16" spans="1:17" s="1" customFormat="1" ht="13.5" thickBot="1" x14ac:dyDescent="0.25">
      <c r="A16" s="88" t="s">
        <v>45</v>
      </c>
      <c r="B16" s="85"/>
      <c r="C16" s="2"/>
      <c r="D16" s="793"/>
      <c r="E16" s="793"/>
      <c r="F16" s="793"/>
      <c r="G16" s="793"/>
      <c r="H16" s="11">
        <f t="shared" ref="H16:J16" si="3">SUM(H10:H15)</f>
        <v>122373501.6267709</v>
      </c>
      <c r="I16" s="12">
        <f t="shared" si="3"/>
        <v>60000000.000000007</v>
      </c>
      <c r="J16" s="13">
        <f t="shared" si="3"/>
        <v>9758953.8401483372</v>
      </c>
      <c r="K16" s="15"/>
      <c r="L16" s="793">
        <v>56428837.259974681</v>
      </c>
      <c r="M16" s="792"/>
      <c r="N16" s="792"/>
      <c r="O16" s="792"/>
    </row>
    <row r="17" spans="1:15" s="1" customFormat="1" ht="13.5" thickTop="1" x14ac:dyDescent="0.2">
      <c r="A17" s="14"/>
      <c r="B17" s="91"/>
      <c r="C17" s="2"/>
      <c r="D17" s="793"/>
      <c r="E17" s="793"/>
      <c r="F17" s="793"/>
      <c r="G17" s="793"/>
      <c r="H17" s="15"/>
      <c r="I17" s="15"/>
      <c r="J17" s="15"/>
      <c r="K17" s="15"/>
      <c r="L17" s="787">
        <f>L16-J16</f>
        <v>46669883.419826344</v>
      </c>
      <c r="M17" s="792"/>
      <c r="N17" s="792"/>
      <c r="O17" s="792"/>
    </row>
    <row r="18" spans="1:15" s="1" customFormat="1" x14ac:dyDescent="0.2">
      <c r="A18" s="320"/>
      <c r="B18" s="433"/>
      <c r="C18" s="2"/>
      <c r="D18" s="793"/>
      <c r="E18" s="793"/>
      <c r="F18" s="793"/>
      <c r="G18" s="793"/>
      <c r="H18" s="15"/>
      <c r="I18" s="15"/>
      <c r="J18" s="15"/>
      <c r="K18" s="15"/>
      <c r="L18" s="793"/>
      <c r="M18" s="792"/>
      <c r="N18" s="792"/>
      <c r="O18" s="792"/>
    </row>
    <row r="19" spans="1:15" s="1" customFormat="1" x14ac:dyDescent="0.2">
      <c r="A19" s="320"/>
      <c r="B19" s="85"/>
      <c r="C19" s="2"/>
      <c r="D19" s="793"/>
      <c r="E19" s="793"/>
      <c r="F19" s="793"/>
      <c r="G19" s="793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3"/>
      <c r="M19" s="792"/>
      <c r="N19" s="792"/>
      <c r="O19" s="792"/>
    </row>
    <row r="20" spans="1:15" s="1" customFormat="1" x14ac:dyDescent="0.2">
      <c r="A20" s="320"/>
      <c r="B20" s="85"/>
      <c r="C20" s="308" t="s">
        <v>276</v>
      </c>
      <c r="D20" s="801"/>
      <c r="E20" s="801"/>
      <c r="F20" s="801"/>
      <c r="G20" s="801"/>
      <c r="H20" s="749" t="str">
        <f t="shared" ref="H20:J20" si="5">H$2</f>
        <v>Nominal $</v>
      </c>
      <c r="I20" s="110" t="str">
        <f t="shared" si="5"/>
        <v>Nominal $</v>
      </c>
      <c r="J20" s="750" t="str">
        <f t="shared" si="5"/>
        <v>Real 2014 $</v>
      </c>
      <c r="K20" s="15"/>
      <c r="L20" s="793"/>
      <c r="M20" s="792"/>
      <c r="N20" s="792"/>
      <c r="O20" s="792"/>
    </row>
    <row r="21" spans="1:15" s="1" customFormat="1" x14ac:dyDescent="0.2">
      <c r="A21" s="74" t="s">
        <v>47</v>
      </c>
      <c r="B21" s="91"/>
      <c r="C21" s="321" t="s">
        <v>48</v>
      </c>
      <c r="D21" s="802"/>
      <c r="E21" s="802"/>
      <c r="F21" s="802"/>
      <c r="G21" s="802"/>
      <c r="H21" s="52" t="str">
        <f t="shared" ref="H21:J21" si="6">H$3</f>
        <v>Actual</v>
      </c>
      <c r="I21" s="751" t="str">
        <f t="shared" si="6"/>
        <v>Forecast</v>
      </c>
      <c r="J21" s="752" t="str">
        <f t="shared" si="6"/>
        <v>Forecast</v>
      </c>
      <c r="K21" s="15"/>
      <c r="L21" s="793"/>
      <c r="M21" s="792"/>
      <c r="N21" s="792"/>
      <c r="O21" s="792"/>
    </row>
    <row r="22" spans="1:15" s="1" customFormat="1" x14ac:dyDescent="0.2">
      <c r="A22" s="84" t="s">
        <v>368</v>
      </c>
      <c r="B22" s="91"/>
      <c r="C22" s="322">
        <v>0.375</v>
      </c>
      <c r="D22" s="803"/>
      <c r="E22" s="803"/>
      <c r="F22" s="803"/>
      <c r="G22" s="803"/>
      <c r="H22" s="325">
        <f t="shared" ref="H22:J22" si="7">SUM(H10:H12)-H23</f>
        <v>94519245.480000019</v>
      </c>
      <c r="I22" s="19">
        <f t="shared" si="7"/>
        <v>50026652.390844733</v>
      </c>
      <c r="J22" s="753">
        <f t="shared" si="7"/>
        <v>7517106.5800541183</v>
      </c>
      <c r="K22" s="15"/>
      <c r="L22" s="793"/>
      <c r="M22" s="792"/>
      <c r="N22" s="792"/>
      <c r="O22" s="792"/>
    </row>
    <row r="23" spans="1:15" s="1" customFormat="1" x14ac:dyDescent="0.2">
      <c r="A23" s="84" t="s">
        <v>369</v>
      </c>
      <c r="B23" s="88"/>
      <c r="C23" s="323">
        <v>0.06</v>
      </c>
      <c r="D23" s="804"/>
      <c r="E23" s="804"/>
      <c r="F23" s="804"/>
      <c r="G23" s="804"/>
      <c r="H23" s="8">
        <v>0</v>
      </c>
      <c r="I23" s="9">
        <v>0</v>
      </c>
      <c r="J23" s="10">
        <v>0</v>
      </c>
      <c r="K23" s="15"/>
      <c r="L23" s="793"/>
      <c r="M23" s="792"/>
      <c r="N23" s="792"/>
      <c r="O23" s="792"/>
    </row>
    <row r="24" spans="1:15" s="1" customFormat="1" x14ac:dyDescent="0.2">
      <c r="A24" s="84" t="s">
        <v>277</v>
      </c>
      <c r="B24" s="85"/>
      <c r="C24" s="323">
        <v>0.4</v>
      </c>
      <c r="D24" s="804"/>
      <c r="E24" s="804"/>
      <c r="F24" s="804"/>
      <c r="G24" s="804"/>
      <c r="H24" s="325">
        <f t="shared" ref="H24:J26" si="8">H13</f>
        <v>9036460.0667708889</v>
      </c>
      <c r="I24" s="19">
        <f t="shared" si="8"/>
        <v>9973347.6091552768</v>
      </c>
      <c r="J24" s="326">
        <f t="shared" si="8"/>
        <v>2241847.2600942189</v>
      </c>
      <c r="K24" s="15"/>
      <c r="L24" s="793"/>
      <c r="M24" s="792"/>
      <c r="N24" s="792"/>
      <c r="O24" s="792"/>
    </row>
    <row r="25" spans="1:15" s="1" customFormat="1" x14ac:dyDescent="0.2">
      <c r="A25" s="84" t="s">
        <v>279</v>
      </c>
      <c r="B25" s="85"/>
      <c r="C25" s="323">
        <v>0.21428571428571427</v>
      </c>
      <c r="D25" s="804"/>
      <c r="E25" s="804"/>
      <c r="F25" s="804"/>
      <c r="G25" s="804"/>
      <c r="H25" s="325">
        <f t="shared" si="8"/>
        <v>18817796.080000002</v>
      </c>
      <c r="I25" s="19">
        <f t="shared" si="8"/>
        <v>0</v>
      </c>
      <c r="J25" s="326">
        <f t="shared" si="8"/>
        <v>0</v>
      </c>
      <c r="K25" s="15"/>
      <c r="L25" s="793"/>
      <c r="M25" s="792"/>
      <c r="N25" s="792"/>
      <c r="O25" s="792"/>
    </row>
    <row r="26" spans="1:15" s="1" customFormat="1" x14ac:dyDescent="0.2">
      <c r="A26" s="87" t="s">
        <v>278</v>
      </c>
      <c r="B26" s="85"/>
      <c r="C26" s="324">
        <v>0.1764705882352941</v>
      </c>
      <c r="D26" s="804"/>
      <c r="E26" s="804"/>
      <c r="F26" s="804"/>
      <c r="G26" s="804"/>
      <c r="H26" s="325">
        <f t="shared" si="8"/>
        <v>0</v>
      </c>
      <c r="I26" s="19">
        <f t="shared" si="8"/>
        <v>0</v>
      </c>
      <c r="J26" s="326">
        <f t="shared" si="8"/>
        <v>0</v>
      </c>
      <c r="K26" s="15"/>
      <c r="L26" s="793"/>
      <c r="M26" s="792"/>
      <c r="N26" s="792"/>
      <c r="O26" s="792"/>
    </row>
    <row r="27" spans="1:15" s="1" customFormat="1" ht="13.5" thickBot="1" x14ac:dyDescent="0.25">
      <c r="A27" s="88" t="s">
        <v>45</v>
      </c>
      <c r="B27" s="60"/>
      <c r="C27" s="2"/>
      <c r="D27" s="793"/>
      <c r="E27" s="793"/>
      <c r="F27" s="793"/>
      <c r="G27" s="793"/>
      <c r="H27" s="11">
        <f t="shared" ref="H27:J27" si="9">SUM(H21:H26)</f>
        <v>122373501.6267709</v>
      </c>
      <c r="I27" s="12">
        <f t="shared" si="9"/>
        <v>60000000.000000007</v>
      </c>
      <c r="J27" s="13">
        <f t="shared" si="9"/>
        <v>9758953.8401483372</v>
      </c>
      <c r="K27" s="15"/>
      <c r="L27" s="793"/>
      <c r="M27" s="792"/>
      <c r="N27" s="792"/>
      <c r="O27" s="792"/>
    </row>
    <row r="28" spans="1:15" s="1" customFormat="1" ht="13.5" thickTop="1" x14ac:dyDescent="0.2">
      <c r="A28" s="14"/>
      <c r="B28" s="85"/>
      <c r="C28" s="2"/>
      <c r="D28" s="793"/>
      <c r="E28" s="793"/>
      <c r="F28" s="793"/>
      <c r="G28" s="793"/>
      <c r="H28" s="15"/>
      <c r="I28" s="15"/>
      <c r="J28" s="15"/>
      <c r="K28" s="15"/>
      <c r="L28" s="793"/>
      <c r="M28" s="792"/>
      <c r="N28" s="792"/>
      <c r="O28" s="792"/>
    </row>
    <row r="29" spans="1:15" s="1" customFormat="1" x14ac:dyDescent="0.2">
      <c r="A29" s="14"/>
      <c r="B29" s="85"/>
      <c r="C29" s="2"/>
      <c r="D29" s="793"/>
      <c r="E29" s="793"/>
      <c r="F29" s="793"/>
      <c r="G29" s="793"/>
      <c r="H29" s="15"/>
      <c r="I29" s="15"/>
      <c r="J29" s="15"/>
      <c r="K29" s="15"/>
      <c r="L29" s="793"/>
      <c r="M29" s="792"/>
      <c r="N29" s="792"/>
      <c r="O29" s="792"/>
    </row>
    <row r="30" spans="1:15" s="1" customFormat="1" x14ac:dyDescent="0.2">
      <c r="A30" s="14"/>
      <c r="B30" s="85"/>
      <c r="C30" s="2"/>
      <c r="D30" s="793"/>
      <c r="E30" s="793"/>
      <c r="F30" s="793"/>
      <c r="G30" s="793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793"/>
      <c r="M30" s="792"/>
      <c r="N30" s="792"/>
      <c r="O30" s="792"/>
    </row>
    <row r="31" spans="1:15" x14ac:dyDescent="0.2">
      <c r="A31" s="43" t="s">
        <v>3</v>
      </c>
      <c r="C31" s="2"/>
      <c r="D31" s="793"/>
      <c r="E31" s="793"/>
      <c r="F31" s="793"/>
      <c r="G31" s="793"/>
      <c r="H31" s="749" t="str">
        <f t="shared" ref="H31:J31" si="11">H$2</f>
        <v>Nominal $</v>
      </c>
      <c r="I31" s="110" t="str">
        <f t="shared" si="11"/>
        <v>Nominal $</v>
      </c>
      <c r="J31" s="750" t="str">
        <f t="shared" si="11"/>
        <v>Real 2014 $</v>
      </c>
      <c r="K31" s="884"/>
      <c r="L31" s="793"/>
      <c r="M31" s="792"/>
      <c r="N31" s="792"/>
      <c r="O31" s="792"/>
    </row>
    <row r="32" spans="1:15" x14ac:dyDescent="0.2">
      <c r="A32" s="22"/>
      <c r="B32" s="55"/>
      <c r="C32" s="20"/>
      <c r="D32" s="805"/>
      <c r="E32" s="805"/>
      <c r="F32" s="805"/>
      <c r="G32" s="805"/>
      <c r="H32" s="52" t="str">
        <f t="shared" ref="H32:J32" si="12">H$3</f>
        <v>Actual</v>
      </c>
      <c r="I32" s="751" t="str">
        <f t="shared" si="12"/>
        <v>Forecast</v>
      </c>
      <c r="J32" s="752" t="str">
        <f t="shared" si="12"/>
        <v>Forecast</v>
      </c>
      <c r="K32" s="884"/>
      <c r="M32" s="792"/>
      <c r="N32" s="792"/>
      <c r="O32" s="792"/>
    </row>
    <row r="33" spans="1:15" x14ac:dyDescent="0.2">
      <c r="A33" s="38" t="s">
        <v>4</v>
      </c>
      <c r="C33" s="20"/>
      <c r="D33" s="805"/>
      <c r="E33" s="805"/>
      <c r="F33" s="805"/>
      <c r="G33" s="805"/>
      <c r="H33" s="35"/>
      <c r="I33" s="36"/>
      <c r="J33" s="37"/>
      <c r="K33" s="36"/>
      <c r="M33" s="792"/>
      <c r="N33" s="792"/>
      <c r="O33" s="792"/>
    </row>
    <row r="34" spans="1:15" x14ac:dyDescent="0.2">
      <c r="A34" s="85" t="s">
        <v>42</v>
      </c>
      <c r="C34" s="20"/>
      <c r="D34" s="805"/>
      <c r="E34" s="805"/>
      <c r="F34" s="805"/>
      <c r="G34" s="805"/>
      <c r="H34" s="24">
        <v>0</v>
      </c>
      <c r="I34" s="25">
        <v>0</v>
      </c>
      <c r="J34" s="26">
        <v>0</v>
      </c>
      <c r="K34" s="36"/>
      <c r="M34" s="792"/>
      <c r="N34" s="792"/>
      <c r="O34" s="792"/>
    </row>
    <row r="35" spans="1:15" x14ac:dyDescent="0.2">
      <c r="A35" s="85" t="s">
        <v>260</v>
      </c>
      <c r="C35" s="20"/>
      <c r="D35" s="805"/>
      <c r="E35" s="805"/>
      <c r="F35" s="805"/>
      <c r="G35" s="805"/>
      <c r="H35" s="24">
        <v>0</v>
      </c>
      <c r="I35" s="25">
        <v>0</v>
      </c>
      <c r="J35" s="26">
        <v>0</v>
      </c>
      <c r="K35" s="36"/>
      <c r="M35" s="792"/>
      <c r="N35" s="792"/>
      <c r="O35" s="792"/>
    </row>
    <row r="36" spans="1:15" x14ac:dyDescent="0.2">
      <c r="A36" s="85" t="s">
        <v>367</v>
      </c>
      <c r="C36" s="20"/>
      <c r="D36" s="805"/>
      <c r="E36" s="805"/>
      <c r="F36" s="805"/>
      <c r="G36" s="805"/>
      <c r="H36" s="24">
        <v>0</v>
      </c>
      <c r="I36" s="25">
        <v>0</v>
      </c>
      <c r="J36" s="26">
        <v>0</v>
      </c>
      <c r="K36" s="36"/>
      <c r="M36" s="792"/>
      <c r="N36" s="792"/>
      <c r="O36" s="792"/>
    </row>
    <row r="37" spans="1:15" x14ac:dyDescent="0.2">
      <c r="A37" s="85" t="s">
        <v>277</v>
      </c>
      <c r="C37" s="20"/>
      <c r="D37" s="805"/>
      <c r="E37" s="805"/>
      <c r="F37" s="805"/>
      <c r="G37" s="805"/>
      <c r="H37" s="24">
        <v>0</v>
      </c>
      <c r="I37" s="25">
        <v>0</v>
      </c>
      <c r="J37" s="26">
        <v>0</v>
      </c>
      <c r="K37" s="36"/>
      <c r="M37" s="792"/>
      <c r="N37" s="792"/>
      <c r="O37" s="792"/>
    </row>
    <row r="38" spans="1:15" x14ac:dyDescent="0.2">
      <c r="A38" s="85" t="s">
        <v>279</v>
      </c>
      <c r="B38" s="453"/>
      <c r="C38" s="20"/>
      <c r="D38" s="805"/>
      <c r="E38" s="805"/>
      <c r="F38" s="805"/>
      <c r="G38" s="805"/>
      <c r="H38" s="24">
        <v>0</v>
      </c>
      <c r="I38" s="25">
        <v>0</v>
      </c>
      <c r="J38" s="26">
        <v>0</v>
      </c>
      <c r="K38" s="36"/>
      <c r="M38" s="792"/>
      <c r="N38" s="792"/>
      <c r="O38" s="792"/>
    </row>
    <row r="39" spans="1:15" x14ac:dyDescent="0.2">
      <c r="A39" s="85" t="s">
        <v>278</v>
      </c>
      <c r="B39" s="454"/>
      <c r="C39" s="20"/>
      <c r="D39" s="805"/>
      <c r="E39" s="805"/>
      <c r="F39" s="805"/>
      <c r="G39" s="805"/>
      <c r="H39" s="24">
        <v>0</v>
      </c>
      <c r="I39" s="25">
        <v>0</v>
      </c>
      <c r="J39" s="26">
        <v>0</v>
      </c>
      <c r="K39" s="36"/>
      <c r="M39" s="792"/>
      <c r="N39" s="792"/>
      <c r="O39" s="792"/>
    </row>
    <row r="40" spans="1:15" ht="13.5" thickBot="1" x14ac:dyDescent="0.25">
      <c r="A40" s="22"/>
      <c r="C40" s="20"/>
      <c r="D40" s="805"/>
      <c r="E40" s="805"/>
      <c r="F40" s="805"/>
      <c r="G40" s="805"/>
      <c r="H40" s="327">
        <f t="shared" ref="H40:J40" si="13">SUM(H34:H39)</f>
        <v>0</v>
      </c>
      <c r="I40" s="92">
        <f t="shared" si="13"/>
        <v>0</v>
      </c>
      <c r="J40" s="328">
        <f t="shared" si="13"/>
        <v>0</v>
      </c>
      <c r="K40" s="36"/>
      <c r="M40" s="792"/>
      <c r="N40" s="792"/>
      <c r="O40" s="792"/>
    </row>
    <row r="41" spans="1:15" ht="13.5" thickTop="1" x14ac:dyDescent="0.2">
      <c r="A41" s="22"/>
      <c r="C41" s="20"/>
      <c r="D41" s="805"/>
      <c r="E41" s="805"/>
      <c r="F41" s="805"/>
      <c r="G41" s="805"/>
      <c r="H41" s="329"/>
      <c r="I41" s="94"/>
      <c r="J41" s="330"/>
      <c r="K41" s="36"/>
      <c r="M41" s="792"/>
      <c r="N41" s="792"/>
      <c r="O41" s="792"/>
    </row>
    <row r="42" spans="1:15" x14ac:dyDescent="0.2">
      <c r="A42" s="38" t="s">
        <v>5</v>
      </c>
      <c r="C42" s="20"/>
      <c r="D42" s="805"/>
      <c r="E42" s="805"/>
      <c r="F42" s="805"/>
      <c r="G42" s="805"/>
      <c r="H42" s="23"/>
      <c r="I42" s="20"/>
      <c r="J42" s="729"/>
      <c r="K42" s="793"/>
      <c r="M42" s="793"/>
      <c r="N42" s="793"/>
      <c r="O42" s="793"/>
    </row>
    <row r="43" spans="1:15" x14ac:dyDescent="0.2">
      <c r="A43" s="85" t="s">
        <v>42</v>
      </c>
      <c r="C43" s="20"/>
      <c r="D43" s="805"/>
      <c r="E43" s="805"/>
      <c r="F43" s="805"/>
      <c r="G43" s="805"/>
      <c r="H43" s="24">
        <v>0</v>
      </c>
      <c r="I43" s="25">
        <v>0</v>
      </c>
      <c r="J43" s="26">
        <v>0</v>
      </c>
      <c r="K43" s="36"/>
      <c r="M43" s="793"/>
      <c r="N43" s="793"/>
      <c r="O43" s="793"/>
    </row>
    <row r="44" spans="1:15" x14ac:dyDescent="0.2">
      <c r="A44" s="85" t="s">
        <v>260</v>
      </c>
      <c r="B44" s="454"/>
      <c r="C44" s="20"/>
      <c r="D44" s="805"/>
      <c r="E44" s="805"/>
      <c r="F44" s="805"/>
      <c r="G44" s="805"/>
      <c r="H44" s="24">
        <v>0</v>
      </c>
      <c r="I44" s="25">
        <v>0</v>
      </c>
      <c r="J44" s="26">
        <v>0</v>
      </c>
      <c r="K44" s="36"/>
      <c r="M44" s="793"/>
      <c r="N44" s="793"/>
      <c r="O44" s="793"/>
    </row>
    <row r="45" spans="1:15" x14ac:dyDescent="0.2">
      <c r="A45" s="85" t="s">
        <v>367</v>
      </c>
      <c r="C45" s="20"/>
      <c r="D45" s="805"/>
      <c r="E45" s="805"/>
      <c r="F45" s="805"/>
      <c r="G45" s="805"/>
      <c r="H45" s="24">
        <v>0</v>
      </c>
      <c r="I45" s="25">
        <v>0</v>
      </c>
      <c r="J45" s="26">
        <v>0</v>
      </c>
      <c r="K45" s="36"/>
      <c r="M45" s="793"/>
      <c r="N45" s="793"/>
      <c r="O45" s="793"/>
    </row>
    <row r="46" spans="1:15" x14ac:dyDescent="0.2">
      <c r="A46" s="85" t="s">
        <v>277</v>
      </c>
      <c r="C46" s="20"/>
      <c r="D46" s="805"/>
      <c r="E46" s="805"/>
      <c r="F46" s="805"/>
      <c r="G46" s="805"/>
      <c r="H46" s="24">
        <v>0</v>
      </c>
      <c r="I46" s="25">
        <v>0</v>
      </c>
      <c r="J46" s="26">
        <v>0</v>
      </c>
      <c r="K46" s="36"/>
      <c r="M46" s="793"/>
      <c r="N46" s="793"/>
      <c r="O46" s="793"/>
    </row>
    <row r="47" spans="1:15" x14ac:dyDescent="0.2">
      <c r="A47" s="85" t="s">
        <v>279</v>
      </c>
      <c r="B47" s="91"/>
      <c r="C47" s="20"/>
      <c r="D47" s="805"/>
      <c r="E47" s="805"/>
      <c r="F47" s="805"/>
      <c r="G47" s="805"/>
      <c r="H47" s="24">
        <v>0</v>
      </c>
      <c r="I47" s="25">
        <v>0</v>
      </c>
      <c r="J47" s="26">
        <v>0</v>
      </c>
      <c r="K47" s="36"/>
      <c r="M47" s="793"/>
      <c r="N47" s="793"/>
      <c r="O47" s="793"/>
    </row>
    <row r="48" spans="1:15" x14ac:dyDescent="0.2">
      <c r="A48" s="85" t="s">
        <v>278</v>
      </c>
      <c r="C48" s="20"/>
      <c r="D48" s="805"/>
      <c r="E48" s="805"/>
      <c r="F48" s="805"/>
      <c r="G48" s="805"/>
      <c r="H48" s="27">
        <v>0</v>
      </c>
      <c r="I48" s="28">
        <v>0</v>
      </c>
      <c r="J48" s="29">
        <v>0</v>
      </c>
      <c r="K48" s="36"/>
      <c r="M48" s="793"/>
      <c r="N48" s="793"/>
      <c r="O48" s="793"/>
    </row>
    <row r="49" spans="1:15" s="1" customFormat="1" ht="13.5" thickBot="1" x14ac:dyDescent="0.25">
      <c r="A49" s="14"/>
      <c r="B49" s="91"/>
      <c r="C49" s="2"/>
      <c r="D49" s="793"/>
      <c r="E49" s="793"/>
      <c r="F49" s="793"/>
      <c r="G49" s="793"/>
      <c r="H49" s="327">
        <f t="shared" ref="H49:J49" si="14">SUM(H43:H48)</f>
        <v>0</v>
      </c>
      <c r="I49" s="92">
        <f t="shared" si="14"/>
        <v>0</v>
      </c>
      <c r="J49" s="328">
        <f t="shared" si="14"/>
        <v>0</v>
      </c>
      <c r="K49" s="15"/>
      <c r="L49" s="793"/>
      <c r="M49" s="792"/>
      <c r="N49" s="792"/>
      <c r="O49" s="792"/>
    </row>
    <row r="50" spans="1:15" s="1" customFormat="1" ht="13.5" thickTop="1" x14ac:dyDescent="0.2">
      <c r="A50" s="14"/>
      <c r="B50" s="91"/>
      <c r="C50" s="2"/>
      <c r="D50" s="793"/>
      <c r="E50" s="793"/>
      <c r="F50" s="793"/>
      <c r="G50" s="793"/>
      <c r="H50" s="15"/>
      <c r="I50" s="15"/>
      <c r="J50" s="15"/>
      <c r="K50" s="15"/>
      <c r="L50" s="793"/>
      <c r="M50" s="792"/>
      <c r="N50" s="792"/>
      <c r="O50" s="792"/>
    </row>
    <row r="51" spans="1:15" s="1" customFormat="1" x14ac:dyDescent="0.2">
      <c r="A51" s="14"/>
      <c r="B51" s="85"/>
      <c r="C51" s="2"/>
      <c r="D51" s="793"/>
      <c r="E51" s="793"/>
      <c r="F51" s="793"/>
      <c r="G51" s="793"/>
      <c r="H51" s="15"/>
      <c r="I51" s="15"/>
      <c r="J51" s="15"/>
      <c r="K51" s="15"/>
      <c r="L51" s="793"/>
      <c r="M51" s="792"/>
      <c r="N51" s="792"/>
      <c r="O51" s="792"/>
    </row>
    <row r="52" spans="1:15" s="1" customFormat="1" x14ac:dyDescent="0.2">
      <c r="A52" s="3"/>
      <c r="B52" s="85"/>
      <c r="C52" s="2"/>
      <c r="D52" s="793"/>
      <c r="E52" s="793"/>
      <c r="F52" s="793"/>
      <c r="G52" s="793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793"/>
      <c r="M52" s="792"/>
      <c r="N52" s="792"/>
      <c r="O52" s="792"/>
    </row>
    <row r="53" spans="1:15" s="1" customFormat="1" x14ac:dyDescent="0.2">
      <c r="A53" s="43" t="s">
        <v>1</v>
      </c>
      <c r="B53" s="455"/>
      <c r="C53" s="2"/>
      <c r="D53" s="793"/>
      <c r="E53" s="793"/>
      <c r="F53" s="793"/>
      <c r="G53" s="793"/>
      <c r="H53" s="749" t="str">
        <f t="shared" ref="H53:J53" si="16">H$2</f>
        <v>Nominal $</v>
      </c>
      <c r="I53" s="110" t="str">
        <f t="shared" si="16"/>
        <v>Nominal $</v>
      </c>
      <c r="J53" s="750" t="str">
        <f t="shared" si="16"/>
        <v>Real 2014 $</v>
      </c>
      <c r="K53" s="884"/>
      <c r="L53" s="793"/>
      <c r="M53" s="792"/>
      <c r="N53" s="792"/>
      <c r="O53" s="792"/>
    </row>
    <row r="54" spans="1:15" s="1" customFormat="1" x14ac:dyDescent="0.2">
      <c r="A54" s="3"/>
      <c r="B54" s="91"/>
      <c r="C54" s="2"/>
      <c r="D54" s="793"/>
      <c r="E54" s="793"/>
      <c r="F54" s="793"/>
      <c r="G54" s="793"/>
      <c r="H54" s="749" t="str">
        <f t="shared" ref="H54:J54" si="17">H$3</f>
        <v>Actual</v>
      </c>
      <c r="I54" s="110" t="str">
        <f t="shared" si="17"/>
        <v>Forecast</v>
      </c>
      <c r="J54" s="750" t="str">
        <f t="shared" si="17"/>
        <v>Forecast</v>
      </c>
      <c r="K54" s="884"/>
      <c r="L54" s="793"/>
      <c r="M54" s="792"/>
      <c r="N54" s="792"/>
      <c r="O54" s="792"/>
    </row>
    <row r="55" spans="1:15" s="1" customFormat="1" ht="13.5" thickBot="1" x14ac:dyDescent="0.25">
      <c r="A55" s="3" t="s">
        <v>396</v>
      </c>
      <c r="B55" s="85"/>
      <c r="C55" s="2"/>
      <c r="D55" s="793"/>
      <c r="E55" s="793"/>
      <c r="F55" s="793"/>
      <c r="G55" s="793"/>
      <c r="H55" s="16">
        <v>32545055</v>
      </c>
      <c r="I55" s="17">
        <v>39999999.999999993</v>
      </c>
      <c r="J55" s="18">
        <v>39035815.360593356</v>
      </c>
      <c r="K55" s="119"/>
      <c r="L55" s="793"/>
      <c r="M55" s="792"/>
      <c r="N55" s="792"/>
      <c r="O55" s="792"/>
    </row>
    <row r="56" spans="1:15" s="1" customFormat="1" ht="13.5" thickTop="1" x14ac:dyDescent="0.2">
      <c r="A56" s="3"/>
      <c r="B56" s="453"/>
      <c r="C56" s="793"/>
      <c r="D56" s="793"/>
      <c r="E56" s="793"/>
      <c r="F56" s="787"/>
      <c r="G56" s="787"/>
      <c r="H56" s="787"/>
      <c r="I56" s="787"/>
      <c r="J56" s="787"/>
      <c r="K56" s="787"/>
      <c r="L56" s="793"/>
      <c r="M56" s="792"/>
      <c r="N56" s="792"/>
      <c r="O56" s="792"/>
    </row>
    <row r="57" spans="1:15" s="1" customFormat="1" x14ac:dyDescent="0.2">
      <c r="A57" s="785"/>
      <c r="B57" s="449"/>
      <c r="C57" s="793"/>
      <c r="D57" s="793"/>
      <c r="E57" s="793"/>
      <c r="F57" s="787"/>
      <c r="G57" s="787"/>
      <c r="H57" s="787"/>
      <c r="I57" s="795"/>
      <c r="J57" s="795"/>
      <c r="K57" s="787"/>
      <c r="L57" s="793"/>
      <c r="M57" s="792"/>
      <c r="N57" s="792"/>
      <c r="O57" s="792"/>
    </row>
    <row r="58" spans="1:15" s="1" customFormat="1" x14ac:dyDescent="0.2">
      <c r="A58" s="60" t="s">
        <v>63</v>
      </c>
      <c r="B58" s="450"/>
      <c r="D58" s="785"/>
      <c r="E58" s="785"/>
      <c r="F58" s="787"/>
      <c r="G58" s="78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7"/>
      <c r="L58" s="787"/>
      <c r="M58" s="792"/>
      <c r="N58" s="792"/>
      <c r="O58" s="792"/>
    </row>
    <row r="59" spans="1:15" s="1" customFormat="1" x14ac:dyDescent="0.2">
      <c r="B59" s="88"/>
      <c r="D59" s="785"/>
      <c r="E59" s="785"/>
      <c r="F59" s="787"/>
      <c r="G59" s="787"/>
      <c r="H59" s="582" t="str">
        <f>H$2</f>
        <v>Nominal $</v>
      </c>
      <c r="K59" s="787"/>
      <c r="L59" s="793"/>
      <c r="M59" s="792"/>
      <c r="N59" s="792"/>
      <c r="O59" s="792"/>
    </row>
    <row r="60" spans="1:15" s="1" customFormat="1" ht="13.5" thickBot="1" x14ac:dyDescent="0.25">
      <c r="A60" s="78" t="s">
        <v>63</v>
      </c>
      <c r="B60" s="449"/>
      <c r="D60" s="785"/>
      <c r="E60" s="785"/>
      <c r="F60" s="787"/>
      <c r="G60" s="787"/>
      <c r="H60" s="583">
        <v>101332753</v>
      </c>
      <c r="K60" s="787"/>
      <c r="L60" s="785"/>
      <c r="M60" s="792"/>
      <c r="N60" s="792"/>
      <c r="O60" s="792"/>
    </row>
    <row r="61" spans="1:15" s="1" customFormat="1" ht="13.5" thickTop="1" x14ac:dyDescent="0.2">
      <c r="A61" s="30"/>
      <c r="B61" s="450"/>
      <c r="D61" s="785"/>
      <c r="E61" s="785"/>
      <c r="F61" s="787"/>
      <c r="G61" s="787"/>
      <c r="K61" s="787"/>
      <c r="L61" s="785"/>
      <c r="M61" s="792"/>
      <c r="N61" s="792"/>
      <c r="O61" s="792"/>
    </row>
    <row r="62" spans="1:15" s="1" customFormat="1" x14ac:dyDescent="0.2">
      <c r="A62" s="30"/>
      <c r="B62" s="450"/>
      <c r="D62" s="785"/>
      <c r="E62" s="785"/>
      <c r="F62" s="787"/>
      <c r="G62" s="787"/>
      <c r="K62" s="787"/>
      <c r="L62" s="785"/>
      <c r="M62" s="792"/>
      <c r="N62" s="792"/>
      <c r="O62" s="792"/>
    </row>
    <row r="63" spans="1:15" s="1" customFormat="1" x14ac:dyDescent="0.2">
      <c r="A63" s="30"/>
      <c r="B63" s="88"/>
      <c r="C63" s="2"/>
      <c r="D63" s="793"/>
      <c r="E63" s="793"/>
      <c r="F63" s="787"/>
      <c r="G63" s="787"/>
      <c r="K63" s="787"/>
      <c r="L63" s="785"/>
      <c r="M63" s="792"/>
      <c r="N63" s="792"/>
      <c r="O63" s="792"/>
    </row>
    <row r="64" spans="1:15" s="1" customFormat="1" x14ac:dyDescent="0.2">
      <c r="A64" s="30"/>
      <c r="B64" s="88"/>
      <c r="C64" s="2"/>
      <c r="D64" s="792"/>
      <c r="E64" s="792"/>
      <c r="F64" s="787"/>
      <c r="G64" s="787"/>
      <c r="H64" s="19"/>
      <c r="I64" s="19"/>
      <c r="J64" s="19"/>
      <c r="K64" s="787"/>
      <c r="L64" s="793"/>
      <c r="M64" s="792"/>
      <c r="N64" s="792"/>
      <c r="O64" s="792"/>
    </row>
    <row r="65" spans="1:17" x14ac:dyDescent="0.2">
      <c r="A65" s="60" t="s">
        <v>286</v>
      </c>
      <c r="B65" s="88"/>
      <c r="I65" s="974" t="s">
        <v>384</v>
      </c>
      <c r="J65" s="975"/>
      <c r="K65" s="32"/>
      <c r="L65" s="793"/>
      <c r="N65" s="793"/>
      <c r="O65" s="793"/>
      <c r="P65" s="974" t="s">
        <v>23</v>
      </c>
      <c r="Q65" s="976"/>
    </row>
    <row r="66" spans="1:17" x14ac:dyDescent="0.2">
      <c r="L66" s="793"/>
      <c r="N66" s="793"/>
      <c r="O66" s="793"/>
    </row>
    <row r="67" spans="1:17" x14ac:dyDescent="0.2">
      <c r="F67" s="793"/>
      <c r="G67" s="793"/>
      <c r="H67" s="793"/>
      <c r="I67" s="754">
        <f>I$1</f>
        <v>2014</v>
      </c>
      <c r="J67" s="754">
        <f>J$1</f>
        <v>2015</v>
      </c>
      <c r="K67" s="56"/>
      <c r="L67" s="793"/>
      <c r="M67" s="792"/>
      <c r="N67" s="793"/>
      <c r="O67" s="793"/>
      <c r="P67" s="4">
        <f>P$1</f>
        <v>2014</v>
      </c>
      <c r="Q67" s="6">
        <f>Q$1</f>
        <v>2015</v>
      </c>
    </row>
    <row r="68" spans="1:17" x14ac:dyDescent="0.2">
      <c r="A68" s="59"/>
      <c r="F68" s="793"/>
      <c r="G68" s="793"/>
      <c r="H68" s="793"/>
      <c r="I68" s="810" t="s">
        <v>20</v>
      </c>
      <c r="J68" s="890" t="s">
        <v>21</v>
      </c>
      <c r="K68" s="884"/>
      <c r="L68" s="793"/>
      <c r="M68" s="792"/>
      <c r="N68" s="793"/>
      <c r="O68" s="793"/>
      <c r="P68" s="755" t="str">
        <f>P3</f>
        <v>Forecast</v>
      </c>
      <c r="Q68" s="735" t="str">
        <f>Q3</f>
        <v>Forecast</v>
      </c>
    </row>
    <row r="69" spans="1:17" x14ac:dyDescent="0.2">
      <c r="B69" s="1"/>
      <c r="F69" s="793"/>
      <c r="G69" s="793"/>
      <c r="H69" s="793"/>
      <c r="I69" s="891" t="s">
        <v>22</v>
      </c>
      <c r="J69" s="891" t="s">
        <v>22</v>
      </c>
      <c r="K69" s="884"/>
      <c r="L69" s="793"/>
      <c r="M69" s="792"/>
      <c r="N69" s="793"/>
      <c r="O69" s="793"/>
      <c r="P69" s="718"/>
      <c r="Q69" s="739"/>
    </row>
    <row r="70" spans="1:17" x14ac:dyDescent="0.2">
      <c r="B70" s="91"/>
      <c r="F70" s="793"/>
      <c r="G70" s="793"/>
      <c r="H70" s="793"/>
      <c r="I70" s="39"/>
      <c r="J70" s="40"/>
      <c r="K70" s="793"/>
      <c r="L70" s="793"/>
      <c r="M70" s="792"/>
      <c r="N70" s="793"/>
      <c r="O70" s="793"/>
      <c r="P70" s="39"/>
      <c r="Q70" s="729"/>
    </row>
    <row r="71" spans="1:17" x14ac:dyDescent="0.2">
      <c r="A71" s="90" t="s">
        <v>24</v>
      </c>
      <c r="B71" s="91"/>
      <c r="F71" s="793"/>
      <c r="G71" s="793"/>
      <c r="H71" s="793"/>
      <c r="I71" s="340" t="s">
        <v>25</v>
      </c>
      <c r="J71" s="123"/>
      <c r="K71" s="120"/>
      <c r="L71" s="793"/>
      <c r="M71" s="792"/>
      <c r="N71" s="793"/>
      <c r="O71" s="793"/>
      <c r="P71" s="23"/>
      <c r="Q71" s="729"/>
    </row>
    <row r="72" spans="1:17" x14ac:dyDescent="0.2">
      <c r="A72" s="84" t="s">
        <v>26</v>
      </c>
      <c r="B72" s="55"/>
      <c r="F72" s="793"/>
      <c r="G72" s="793"/>
      <c r="H72" s="793"/>
      <c r="I72" s="746">
        <f>'Data 2009-15 (Real $2008)'!I72</f>
        <v>0</v>
      </c>
      <c r="J72" s="333"/>
      <c r="K72" s="121"/>
      <c r="L72" s="793"/>
      <c r="M72" s="792"/>
      <c r="N72" s="793"/>
      <c r="O72" s="793"/>
      <c r="P72" s="79"/>
      <c r="Q72" s="75"/>
    </row>
    <row r="73" spans="1:17" x14ac:dyDescent="0.2">
      <c r="A73" s="84" t="s">
        <v>27</v>
      </c>
      <c r="B73" s="451"/>
      <c r="F73" s="793"/>
      <c r="G73" s="793"/>
      <c r="H73" s="793"/>
      <c r="I73" s="746">
        <f>'Data 2009-15 (Real $2008)'!I73</f>
        <v>0</v>
      </c>
      <c r="J73" s="333"/>
      <c r="K73" s="121"/>
      <c r="L73" s="793"/>
      <c r="M73" s="792"/>
      <c r="N73" s="793"/>
      <c r="O73" s="793"/>
      <c r="P73" s="79"/>
      <c r="Q73" s="75"/>
    </row>
    <row r="74" spans="1:17" x14ac:dyDescent="0.2">
      <c r="A74" s="565" t="s">
        <v>370</v>
      </c>
      <c r="B74" s="2"/>
      <c r="F74" s="793"/>
      <c r="G74" s="793"/>
      <c r="H74" s="793"/>
      <c r="I74" s="746">
        <f>'Data 2009-15 (Real $2008)'!I74</f>
        <v>0</v>
      </c>
      <c r="J74" s="333"/>
      <c r="K74" s="121"/>
      <c r="L74" s="793"/>
      <c r="M74" s="792"/>
      <c r="N74" s="793"/>
      <c r="O74" s="793"/>
      <c r="P74" s="79"/>
      <c r="Q74" s="75"/>
    </row>
    <row r="75" spans="1:17" x14ac:dyDescent="0.2">
      <c r="A75" s="565" t="s">
        <v>371</v>
      </c>
      <c r="F75" s="793"/>
      <c r="G75" s="793"/>
      <c r="H75" s="793"/>
      <c r="I75" s="746">
        <f>'Data 2009-15 (Real $2008)'!I75</f>
        <v>0</v>
      </c>
      <c r="J75" s="333"/>
      <c r="K75" s="121"/>
      <c r="L75" s="793"/>
      <c r="M75" s="792"/>
      <c r="N75" s="793"/>
      <c r="O75" s="793"/>
      <c r="P75" s="79"/>
      <c r="Q75" s="75"/>
    </row>
    <row r="76" spans="1:17" x14ac:dyDescent="0.2">
      <c r="A76" s="565" t="s">
        <v>372</v>
      </c>
      <c r="F76" s="793"/>
      <c r="G76" s="793"/>
      <c r="H76" s="793"/>
      <c r="I76" s="746">
        <f>'Data 2009-15 (Real $2008)'!I76</f>
        <v>0</v>
      </c>
      <c r="J76" s="333"/>
      <c r="K76" s="121"/>
      <c r="L76" s="793"/>
      <c r="M76" s="792"/>
      <c r="N76" s="793"/>
      <c r="O76" s="793"/>
      <c r="P76" s="79"/>
      <c r="Q76" s="75"/>
    </row>
    <row r="77" spans="1:17" x14ac:dyDescent="0.2">
      <c r="A77" s="565" t="s">
        <v>373</v>
      </c>
      <c r="B77" s="2"/>
      <c r="F77" s="793"/>
      <c r="G77" s="793"/>
      <c r="H77" s="793"/>
      <c r="I77" s="746">
        <f>'Data 2009-15 (Real $2008)'!I77</f>
        <v>0</v>
      </c>
      <c r="J77" s="333"/>
      <c r="K77" s="121"/>
      <c r="L77" s="793"/>
      <c r="M77" s="792"/>
      <c r="N77" s="793"/>
      <c r="O77" s="793"/>
      <c r="P77" s="79"/>
      <c r="Q77" s="75"/>
    </row>
    <row r="78" spans="1:17" x14ac:dyDescent="0.2">
      <c r="A78" s="565" t="s">
        <v>374</v>
      </c>
      <c r="B78" s="88"/>
      <c r="F78" s="793"/>
      <c r="G78" s="793"/>
      <c r="H78" s="793"/>
      <c r="I78" s="746">
        <f>'Data 2009-15 (Real $2008)'!I78</f>
        <v>0</v>
      </c>
      <c r="J78" s="333"/>
      <c r="K78" s="121"/>
      <c r="L78" s="793"/>
      <c r="M78" s="792"/>
      <c r="N78" s="793"/>
      <c r="O78" s="793"/>
      <c r="P78" s="79"/>
      <c r="Q78" s="75"/>
    </row>
    <row r="79" spans="1:17" x14ac:dyDescent="0.2">
      <c r="A79" s="84"/>
      <c r="F79" s="793"/>
      <c r="G79" s="793"/>
      <c r="H79" s="793"/>
      <c r="I79" s="341"/>
      <c r="J79" s="335"/>
      <c r="K79" s="793"/>
      <c r="L79" s="793"/>
      <c r="M79" s="792"/>
      <c r="N79" s="793"/>
      <c r="O79" s="793"/>
      <c r="P79" s="23"/>
      <c r="Q79" s="729"/>
    </row>
    <row r="80" spans="1:17" x14ac:dyDescent="0.2">
      <c r="A80" s="84"/>
      <c r="F80" s="793"/>
      <c r="G80" s="793"/>
      <c r="H80" s="793"/>
      <c r="I80" s="341"/>
      <c r="J80" s="335"/>
      <c r="K80" s="793"/>
      <c r="L80" s="793"/>
      <c r="M80" s="792"/>
      <c r="N80" s="793"/>
      <c r="O80" s="793"/>
      <c r="P80" s="23"/>
      <c r="Q80" s="729"/>
    </row>
    <row r="81" spans="1:17" x14ac:dyDescent="0.2">
      <c r="A81" s="90" t="s">
        <v>24</v>
      </c>
      <c r="B81" s="320"/>
      <c r="F81" s="793"/>
      <c r="G81" s="793"/>
      <c r="H81" s="793"/>
      <c r="I81" s="521" t="s">
        <v>28</v>
      </c>
      <c r="J81" s="336"/>
      <c r="K81" s="120"/>
      <c r="L81" s="793"/>
      <c r="M81" s="792"/>
      <c r="N81" s="793"/>
      <c r="O81" s="793"/>
      <c r="P81" s="23"/>
      <c r="Q81" s="729"/>
    </row>
    <row r="82" spans="1:17" x14ac:dyDescent="0.2">
      <c r="A82" s="84" t="s">
        <v>26</v>
      </c>
      <c r="B82" s="320"/>
      <c r="F82" s="793"/>
      <c r="G82" s="793"/>
      <c r="H82" s="793"/>
      <c r="I82" s="746">
        <f>'Data 2009-15 (Real $2008)'!I82</f>
        <v>0</v>
      </c>
      <c r="J82" s="333"/>
      <c r="K82" s="121"/>
      <c r="L82" s="793"/>
      <c r="M82" s="792"/>
      <c r="N82" s="793"/>
      <c r="O82" s="793"/>
      <c r="P82" s="79"/>
      <c r="Q82" s="75"/>
    </row>
    <row r="83" spans="1:17" x14ac:dyDescent="0.2">
      <c r="A83" s="84" t="s">
        <v>27</v>
      </c>
      <c r="B83" s="433"/>
      <c r="F83" s="793"/>
      <c r="G83" s="793"/>
      <c r="H83" s="793"/>
      <c r="I83" s="746">
        <f>'Data 2009-15 (Real $2008)'!I83</f>
        <v>0</v>
      </c>
      <c r="J83" s="333"/>
      <c r="K83" s="121"/>
      <c r="L83" s="793"/>
      <c r="M83" s="792"/>
      <c r="N83" s="793"/>
      <c r="O83" s="793"/>
      <c r="P83" s="79"/>
      <c r="Q83" s="75"/>
    </row>
    <row r="84" spans="1:17" x14ac:dyDescent="0.2">
      <c r="A84" s="565" t="s">
        <v>370</v>
      </c>
      <c r="F84" s="793"/>
      <c r="G84" s="793"/>
      <c r="H84" s="793"/>
      <c r="I84" s="746">
        <f>'Data 2009-15 (Real $2008)'!I84</f>
        <v>0</v>
      </c>
      <c r="J84" s="333"/>
      <c r="K84" s="121"/>
      <c r="L84" s="793"/>
      <c r="M84" s="792"/>
      <c r="N84" s="793"/>
      <c r="O84" s="793"/>
      <c r="P84" s="79"/>
      <c r="Q84" s="75"/>
    </row>
    <row r="85" spans="1:17" x14ac:dyDescent="0.2">
      <c r="A85" s="565" t="s">
        <v>371</v>
      </c>
      <c r="F85" s="793"/>
      <c r="G85" s="793"/>
      <c r="H85" s="793"/>
      <c r="I85" s="746">
        <f>'Data 2009-15 (Real $2008)'!I85</f>
        <v>0</v>
      </c>
      <c r="J85" s="333"/>
      <c r="K85" s="121"/>
      <c r="L85" s="793"/>
      <c r="M85" s="792"/>
      <c r="N85" s="793"/>
      <c r="O85" s="793"/>
      <c r="P85" s="79"/>
      <c r="Q85" s="75"/>
    </row>
    <row r="86" spans="1:17" x14ac:dyDescent="0.2">
      <c r="A86" s="565" t="s">
        <v>372</v>
      </c>
      <c r="F86" s="793"/>
      <c r="G86" s="793"/>
      <c r="H86" s="793"/>
      <c r="I86" s="746">
        <f>'Data 2009-15 (Real $2008)'!I86</f>
        <v>0</v>
      </c>
      <c r="J86" s="333"/>
      <c r="K86" s="121"/>
      <c r="L86" s="793"/>
      <c r="M86" s="792"/>
      <c r="N86" s="793"/>
      <c r="O86" s="793"/>
      <c r="P86" s="79"/>
      <c r="Q86" s="75"/>
    </row>
    <row r="87" spans="1:17" x14ac:dyDescent="0.2">
      <c r="A87" s="565" t="s">
        <v>373</v>
      </c>
      <c r="F87" s="793"/>
      <c r="G87" s="793"/>
      <c r="H87" s="793"/>
      <c r="I87" s="746">
        <f>'Data 2009-15 (Real $2008)'!I87</f>
        <v>0</v>
      </c>
      <c r="J87" s="333"/>
      <c r="K87" s="121"/>
      <c r="L87" s="793"/>
      <c r="M87" s="792"/>
      <c r="N87" s="793"/>
      <c r="O87" s="793"/>
      <c r="P87" s="79"/>
      <c r="Q87" s="75"/>
    </row>
    <row r="88" spans="1:17" x14ac:dyDescent="0.2">
      <c r="A88" s="565" t="s">
        <v>374</v>
      </c>
      <c r="B88" s="108"/>
      <c r="F88" s="793"/>
      <c r="G88" s="793"/>
      <c r="H88" s="793"/>
      <c r="I88" s="746">
        <f>'Data 2009-15 (Real $2008)'!I88</f>
        <v>0</v>
      </c>
      <c r="J88" s="333"/>
      <c r="K88" s="121"/>
      <c r="L88" s="793"/>
      <c r="M88" s="792"/>
      <c r="N88" s="793"/>
      <c r="O88" s="793"/>
      <c r="P88" s="79"/>
      <c r="Q88" s="75"/>
    </row>
    <row r="89" spans="1:17" x14ac:dyDescent="0.2">
      <c r="A89" s="84"/>
      <c r="B89" s="88"/>
      <c r="F89" s="793"/>
      <c r="G89" s="793"/>
      <c r="H89" s="793"/>
      <c r="I89" s="341"/>
      <c r="J89" s="335"/>
      <c r="K89" s="793"/>
      <c r="L89" s="793"/>
      <c r="M89" s="792"/>
      <c r="N89" s="793"/>
      <c r="O89" s="793"/>
      <c r="P89" s="23"/>
      <c r="Q89" s="729"/>
    </row>
    <row r="90" spans="1:17" x14ac:dyDescent="0.2">
      <c r="A90" s="84"/>
      <c r="B90" s="93"/>
      <c r="F90" s="793"/>
      <c r="G90" s="793"/>
      <c r="H90" s="793"/>
      <c r="I90" s="341"/>
      <c r="J90" s="335"/>
      <c r="K90" s="793"/>
      <c r="L90" s="793"/>
      <c r="M90" s="792"/>
      <c r="N90" s="793"/>
      <c r="O90" s="793"/>
      <c r="P90" s="23"/>
      <c r="Q90" s="729"/>
    </row>
    <row r="91" spans="1:17" x14ac:dyDescent="0.2">
      <c r="A91" s="90" t="s">
        <v>29</v>
      </c>
      <c r="B91" s="93"/>
      <c r="F91" s="793"/>
      <c r="G91" s="793"/>
      <c r="H91" s="793"/>
      <c r="I91" s="340" t="s">
        <v>25</v>
      </c>
      <c r="J91" s="336"/>
      <c r="K91" s="120"/>
      <c r="L91" s="793"/>
      <c r="M91" s="792"/>
      <c r="N91" s="793"/>
      <c r="O91" s="793"/>
      <c r="P91" s="23"/>
      <c r="Q91" s="729"/>
    </row>
    <row r="92" spans="1:17" x14ac:dyDescent="0.2">
      <c r="A92" s="84" t="s">
        <v>30</v>
      </c>
      <c r="B92" s="91"/>
      <c r="F92" s="793"/>
      <c r="G92" s="793"/>
      <c r="H92" s="793"/>
      <c r="I92" s="746">
        <f>'Data 2009-15 (Real $2008)'!I92</f>
        <v>0</v>
      </c>
      <c r="J92" s="333"/>
      <c r="K92" s="121"/>
      <c r="L92" s="793"/>
      <c r="M92" s="792"/>
      <c r="N92" s="793"/>
      <c r="O92" s="793"/>
      <c r="P92" s="79"/>
      <c r="Q92" s="75"/>
    </row>
    <row r="93" spans="1:17" x14ac:dyDescent="0.2">
      <c r="A93" s="84" t="s">
        <v>31</v>
      </c>
      <c r="B93" s="86"/>
      <c r="F93" s="793"/>
      <c r="G93" s="793"/>
      <c r="H93" s="793"/>
      <c r="I93" s="746">
        <f>'Data 2009-15 (Real $2008)'!I93</f>
        <v>0</v>
      </c>
      <c r="J93" s="333"/>
      <c r="K93" s="121"/>
      <c r="L93" s="793"/>
      <c r="M93" s="792"/>
      <c r="N93" s="793"/>
      <c r="O93" s="793"/>
      <c r="P93" s="79"/>
      <c r="Q93" s="75"/>
    </row>
    <row r="94" spans="1:17" x14ac:dyDescent="0.2">
      <c r="A94" s="84" t="s">
        <v>32</v>
      </c>
      <c r="B94" s="91"/>
      <c r="F94" s="793"/>
      <c r="G94" s="793"/>
      <c r="H94" s="793"/>
      <c r="I94" s="746">
        <f>'Data 2009-15 (Real $2008)'!I94</f>
        <v>0</v>
      </c>
      <c r="J94" s="333"/>
      <c r="K94" s="121"/>
      <c r="L94" s="793"/>
      <c r="M94" s="792"/>
      <c r="N94" s="793"/>
      <c r="O94" s="793"/>
      <c r="P94" s="79"/>
      <c r="Q94" s="75"/>
    </row>
    <row r="95" spans="1:17" x14ac:dyDescent="0.2">
      <c r="A95" s="84" t="s">
        <v>33</v>
      </c>
      <c r="B95" s="93"/>
      <c r="F95" s="793"/>
      <c r="G95" s="793"/>
      <c r="H95" s="793"/>
      <c r="I95" s="746">
        <f>'Data 2009-15 (Real $2008)'!I95</f>
        <v>0</v>
      </c>
      <c r="J95" s="333"/>
      <c r="K95" s="121"/>
      <c r="L95" s="793"/>
      <c r="M95" s="792"/>
      <c r="N95" s="793"/>
      <c r="O95" s="793"/>
      <c r="P95" s="79"/>
      <c r="Q95" s="75"/>
    </row>
    <row r="96" spans="1:17" x14ac:dyDescent="0.2">
      <c r="A96" s="84" t="s">
        <v>34</v>
      </c>
      <c r="B96" s="93"/>
      <c r="F96" s="793"/>
      <c r="G96" s="793"/>
      <c r="H96" s="793"/>
      <c r="I96" s="746">
        <f>'Data 2009-15 (Real $2008)'!I96</f>
        <v>0</v>
      </c>
      <c r="J96" s="333"/>
      <c r="K96" s="121"/>
      <c r="L96" s="793"/>
      <c r="M96" s="792"/>
      <c r="N96" s="793"/>
      <c r="O96" s="793"/>
      <c r="P96" s="79"/>
      <c r="Q96" s="75"/>
    </row>
    <row r="97" spans="1:17" x14ac:dyDescent="0.2">
      <c r="A97" s="84" t="s">
        <v>35</v>
      </c>
      <c r="B97" s="93"/>
      <c r="F97" s="793"/>
      <c r="G97" s="793"/>
      <c r="H97" s="793"/>
      <c r="I97" s="746">
        <f>'Data 2009-15 (Real $2008)'!I97</f>
        <v>0</v>
      </c>
      <c r="J97" s="333"/>
      <c r="K97" s="121"/>
      <c r="L97" s="793"/>
      <c r="M97" s="792"/>
      <c r="N97" s="793"/>
      <c r="O97" s="793"/>
      <c r="P97" s="79"/>
      <c r="Q97" s="75"/>
    </row>
    <row r="98" spans="1:17" x14ac:dyDescent="0.2">
      <c r="A98" s="565" t="s">
        <v>399</v>
      </c>
      <c r="B98" s="93"/>
      <c r="F98" s="793"/>
      <c r="G98" s="793"/>
      <c r="H98" s="793"/>
      <c r="I98" s="746">
        <f>'Data 2009-15 (Real $2008)'!I98</f>
        <v>160.21</v>
      </c>
      <c r="J98" s="333">
        <v>205.54</v>
      </c>
      <c r="K98" s="121"/>
      <c r="L98" s="793"/>
      <c r="M98" s="792"/>
      <c r="N98" s="793"/>
      <c r="O98" s="793"/>
      <c r="P98" s="79">
        <v>398557.46675785119</v>
      </c>
      <c r="Q98" s="75">
        <v>406120.02995804162</v>
      </c>
    </row>
    <row r="99" spans="1:17" x14ac:dyDescent="0.2">
      <c r="A99" s="565" t="s">
        <v>400</v>
      </c>
      <c r="B99" s="93"/>
      <c r="F99" s="793"/>
      <c r="G99" s="793"/>
      <c r="H99" s="793"/>
      <c r="I99" s="746">
        <f>'Data 2009-15 (Real $2008)'!I99</f>
        <v>184.1</v>
      </c>
      <c r="J99" s="333">
        <v>236.19</v>
      </c>
      <c r="K99" s="121"/>
      <c r="L99" s="793"/>
      <c r="M99" s="792"/>
      <c r="N99" s="793"/>
      <c r="O99" s="793"/>
      <c r="P99" s="79">
        <v>156548.59239537409</v>
      </c>
      <c r="Q99" s="75">
        <v>157702.89891689076</v>
      </c>
    </row>
    <row r="100" spans="1:17" x14ac:dyDescent="0.2">
      <c r="A100" s="565" t="s">
        <v>401</v>
      </c>
      <c r="B100" s="93"/>
      <c r="F100" s="793"/>
      <c r="G100" s="793"/>
      <c r="H100" s="793"/>
      <c r="I100" s="746">
        <f>'Data 2009-15 (Real $2008)'!I100</f>
        <v>222.42</v>
      </c>
      <c r="J100" s="333">
        <v>285.36</v>
      </c>
      <c r="K100" s="121"/>
      <c r="L100" s="793"/>
      <c r="M100" s="792"/>
      <c r="N100" s="793"/>
      <c r="O100" s="793"/>
      <c r="P100" s="79">
        <v>84284.130234145021</v>
      </c>
      <c r="Q100" s="75">
        <v>85357.055867229894</v>
      </c>
    </row>
    <row r="101" spans="1:17" x14ac:dyDescent="0.2">
      <c r="A101" s="565" t="s">
        <v>402</v>
      </c>
      <c r="B101" s="93"/>
      <c r="F101" s="793"/>
      <c r="G101" s="793"/>
      <c r="H101" s="793"/>
      <c r="I101" s="746">
        <f>'Data 2009-15 (Real $2008)'!I101</f>
        <v>246.73</v>
      </c>
      <c r="J101" s="333">
        <v>316.54000000000002</v>
      </c>
      <c r="K101" s="121"/>
      <c r="L101" s="793"/>
      <c r="M101" s="792"/>
      <c r="N101" s="793"/>
      <c r="O101" s="793"/>
      <c r="P101" s="79">
        <v>42292.871638879471</v>
      </c>
      <c r="Q101" s="75">
        <v>42316.309334747828</v>
      </c>
    </row>
    <row r="102" spans="1:17" x14ac:dyDescent="0.2">
      <c r="A102" s="565" t="s">
        <v>403</v>
      </c>
      <c r="B102" s="93"/>
      <c r="F102" s="793"/>
      <c r="G102" s="793"/>
      <c r="H102" s="793"/>
      <c r="I102" s="746">
        <f>'Data 2009-15 (Real $2008)'!I102</f>
        <v>317.7</v>
      </c>
      <c r="J102" s="333">
        <v>407.45000000000005</v>
      </c>
      <c r="K102" s="121"/>
      <c r="L102" s="793"/>
      <c r="M102" s="792"/>
      <c r="N102" s="793"/>
      <c r="O102" s="793"/>
      <c r="P102" s="79">
        <v>3826.2809487502545</v>
      </c>
      <c r="Q102" s="75">
        <v>3864.6927280900645</v>
      </c>
    </row>
    <row r="103" spans="1:17" x14ac:dyDescent="0.2">
      <c r="A103" s="84"/>
      <c r="B103" s="93"/>
      <c r="F103" s="793"/>
      <c r="G103" s="793"/>
      <c r="H103" s="793"/>
      <c r="I103" s="341"/>
      <c r="J103" s="335"/>
      <c r="K103" s="793"/>
      <c r="L103" s="793"/>
      <c r="M103" s="792"/>
      <c r="N103" s="793"/>
      <c r="O103" s="793"/>
      <c r="P103" s="23"/>
      <c r="Q103" s="729"/>
    </row>
    <row r="104" spans="1:17" x14ac:dyDescent="0.2">
      <c r="A104" s="84"/>
      <c r="B104" s="93"/>
      <c r="F104" s="793"/>
      <c r="G104" s="793"/>
      <c r="H104" s="793"/>
      <c r="I104" s="341"/>
      <c r="J104" s="335"/>
      <c r="K104" s="793"/>
      <c r="L104" s="793"/>
      <c r="M104" s="792"/>
      <c r="N104" s="793"/>
      <c r="O104" s="793"/>
      <c r="P104" s="23"/>
      <c r="Q104" s="729"/>
    </row>
    <row r="105" spans="1:17" x14ac:dyDescent="0.2">
      <c r="A105" s="90" t="s">
        <v>29</v>
      </c>
      <c r="F105" s="793"/>
      <c r="G105" s="793"/>
      <c r="H105" s="793"/>
      <c r="I105" s="521" t="s">
        <v>28</v>
      </c>
      <c r="J105" s="336"/>
      <c r="K105" s="120"/>
      <c r="L105" s="793"/>
      <c r="M105" s="792"/>
      <c r="N105" s="793"/>
      <c r="O105" s="793"/>
      <c r="P105" s="23"/>
      <c r="Q105" s="729"/>
    </row>
    <row r="106" spans="1:17" x14ac:dyDescent="0.2">
      <c r="A106" s="84" t="s">
        <v>30</v>
      </c>
      <c r="B106" s="93"/>
      <c r="F106" s="793"/>
      <c r="G106" s="793"/>
      <c r="H106" s="793"/>
      <c r="I106" s="746">
        <f>'Data 2009-15 (Real $2008)'!I106</f>
        <v>0</v>
      </c>
      <c r="J106" s="333"/>
      <c r="K106" s="121"/>
      <c r="L106" s="793"/>
      <c r="M106" s="792"/>
      <c r="N106" s="793"/>
      <c r="O106" s="793"/>
      <c r="P106" s="79"/>
      <c r="Q106" s="75"/>
    </row>
    <row r="107" spans="1:17" x14ac:dyDescent="0.2">
      <c r="A107" s="84" t="s">
        <v>31</v>
      </c>
      <c r="B107" s="93"/>
      <c r="F107" s="793"/>
      <c r="G107" s="793"/>
      <c r="H107" s="793"/>
      <c r="I107" s="746">
        <f>'Data 2009-15 (Real $2008)'!I107</f>
        <v>0</v>
      </c>
      <c r="J107" s="333"/>
      <c r="K107" s="121"/>
      <c r="L107" s="793"/>
      <c r="M107" s="792"/>
      <c r="N107" s="793"/>
      <c r="O107" s="793"/>
      <c r="P107" s="79"/>
      <c r="Q107" s="75"/>
    </row>
    <row r="108" spans="1:17" x14ac:dyDescent="0.2">
      <c r="A108" s="84" t="s">
        <v>32</v>
      </c>
      <c r="B108" s="93"/>
      <c r="F108" s="793"/>
      <c r="G108" s="793"/>
      <c r="H108" s="793"/>
      <c r="I108" s="746">
        <f>'Data 2009-15 (Real $2008)'!I108</f>
        <v>0</v>
      </c>
      <c r="J108" s="333"/>
      <c r="K108" s="121"/>
      <c r="L108" s="793"/>
      <c r="M108" s="792"/>
      <c r="N108" s="793"/>
      <c r="O108" s="793"/>
      <c r="P108" s="79"/>
      <c r="Q108" s="75"/>
    </row>
    <row r="109" spans="1:17" x14ac:dyDescent="0.2">
      <c r="A109" s="84" t="s">
        <v>33</v>
      </c>
      <c r="B109" s="93"/>
      <c r="F109" s="793"/>
      <c r="G109" s="793"/>
      <c r="H109" s="793"/>
      <c r="I109" s="746">
        <f>'Data 2009-15 (Real $2008)'!I109</f>
        <v>0</v>
      </c>
      <c r="J109" s="333"/>
      <c r="K109" s="121"/>
      <c r="L109" s="793"/>
      <c r="M109" s="792"/>
      <c r="N109" s="793"/>
      <c r="O109" s="793"/>
      <c r="P109" s="79"/>
      <c r="Q109" s="75"/>
    </row>
    <row r="110" spans="1:17" x14ac:dyDescent="0.2">
      <c r="A110" s="84" t="s">
        <v>34</v>
      </c>
      <c r="B110" s="93"/>
      <c r="F110" s="793"/>
      <c r="G110" s="793"/>
      <c r="H110" s="793"/>
      <c r="I110" s="746">
        <f>'Data 2009-15 (Real $2008)'!I110</f>
        <v>0</v>
      </c>
      <c r="J110" s="333"/>
      <c r="K110" s="121"/>
      <c r="L110" s="793"/>
      <c r="M110" s="792"/>
      <c r="N110" s="793"/>
      <c r="O110" s="793"/>
      <c r="P110" s="79"/>
      <c r="Q110" s="75"/>
    </row>
    <row r="111" spans="1:17" x14ac:dyDescent="0.2">
      <c r="A111" s="84" t="s">
        <v>35</v>
      </c>
      <c r="B111" s="91"/>
      <c r="F111" s="793"/>
      <c r="G111" s="793"/>
      <c r="H111" s="793"/>
      <c r="I111" s="746">
        <f>'Data 2009-15 (Real $2008)'!I111</f>
        <v>0</v>
      </c>
      <c r="J111" s="333"/>
      <c r="K111" s="121"/>
      <c r="L111" s="793"/>
      <c r="M111" s="792"/>
      <c r="N111" s="793"/>
      <c r="O111" s="793"/>
      <c r="P111" s="79"/>
      <c r="Q111" s="75"/>
    </row>
    <row r="112" spans="1:17" x14ac:dyDescent="0.2">
      <c r="A112" s="565" t="s">
        <v>370</v>
      </c>
      <c r="B112" s="91"/>
      <c r="F112" s="793"/>
      <c r="G112" s="793"/>
      <c r="H112" s="793"/>
      <c r="I112" s="746">
        <f>'Data 2009-15 (Real $2008)'!I112</f>
        <v>0</v>
      </c>
      <c r="J112" s="333"/>
      <c r="K112" s="121"/>
      <c r="L112" s="793"/>
      <c r="M112" s="792"/>
      <c r="N112" s="793"/>
      <c r="O112" s="793"/>
      <c r="P112" s="79"/>
      <c r="Q112" s="75"/>
    </row>
    <row r="113" spans="1:17" x14ac:dyDescent="0.2">
      <c r="A113" s="565" t="s">
        <v>371</v>
      </c>
      <c r="B113" s="91"/>
      <c r="F113" s="793"/>
      <c r="G113" s="793"/>
      <c r="H113" s="793"/>
      <c r="I113" s="746">
        <f>'Data 2009-15 (Real $2008)'!I113</f>
        <v>0</v>
      </c>
      <c r="J113" s="333"/>
      <c r="K113" s="121"/>
      <c r="L113" s="793"/>
      <c r="M113" s="792"/>
      <c r="N113" s="793"/>
      <c r="O113" s="793"/>
      <c r="P113" s="79"/>
      <c r="Q113" s="75"/>
    </row>
    <row r="114" spans="1:17" x14ac:dyDescent="0.2">
      <c r="A114" s="565" t="s">
        <v>372</v>
      </c>
      <c r="B114" s="91"/>
      <c r="F114" s="793"/>
      <c r="G114" s="793"/>
      <c r="H114" s="793"/>
      <c r="I114" s="746">
        <f>'Data 2009-15 (Real $2008)'!I114</f>
        <v>0</v>
      </c>
      <c r="J114" s="333"/>
      <c r="K114" s="121"/>
      <c r="L114" s="793"/>
      <c r="M114" s="792"/>
      <c r="N114" s="793"/>
      <c r="O114" s="793"/>
      <c r="P114" s="79"/>
      <c r="Q114" s="75"/>
    </row>
    <row r="115" spans="1:17" x14ac:dyDescent="0.2">
      <c r="A115" s="565" t="s">
        <v>373</v>
      </c>
      <c r="F115" s="793"/>
      <c r="G115" s="793"/>
      <c r="H115" s="793"/>
      <c r="I115" s="746">
        <f>'Data 2009-15 (Real $2008)'!I115</f>
        <v>0</v>
      </c>
      <c r="J115" s="333"/>
      <c r="K115" s="121"/>
      <c r="L115" s="793"/>
      <c r="M115" s="792"/>
      <c r="N115" s="793"/>
      <c r="O115" s="793"/>
      <c r="P115" s="79"/>
      <c r="Q115" s="75"/>
    </row>
    <row r="116" spans="1:17" x14ac:dyDescent="0.2">
      <c r="A116" s="565" t="s">
        <v>374</v>
      </c>
      <c r="B116" s="60"/>
      <c r="F116" s="793"/>
      <c r="G116" s="793"/>
      <c r="H116" s="793"/>
      <c r="I116" s="756">
        <f>'Data 2009-15 (Real $2008)'!I116</f>
        <v>0</v>
      </c>
      <c r="J116" s="337"/>
      <c r="K116" s="121"/>
      <c r="L116" s="793"/>
      <c r="M116" s="792"/>
      <c r="N116" s="793"/>
      <c r="O116" s="793"/>
      <c r="P116" s="80"/>
      <c r="Q116" s="81"/>
    </row>
    <row r="117" spans="1:17" x14ac:dyDescent="0.2">
      <c r="B117" s="60"/>
      <c r="F117" s="793"/>
      <c r="G117" s="793"/>
      <c r="H117" s="793"/>
      <c r="L117" s="793"/>
    </row>
    <row r="119" spans="1:17" s="792" customFormat="1" ht="13.5" thickBot="1" x14ac:dyDescent="0.25">
      <c r="A119" s="806"/>
      <c r="B119" s="881"/>
      <c r="C119" s="806"/>
      <c r="D119" s="806"/>
      <c r="E119" s="806"/>
      <c r="F119" s="806"/>
      <c r="G119" s="806"/>
      <c r="H119" s="806"/>
      <c r="I119" s="806"/>
      <c r="J119" s="806"/>
      <c r="K119" s="882"/>
      <c r="L119" s="806"/>
      <c r="M119" s="806"/>
      <c r="N119" s="806"/>
      <c r="O119" s="806"/>
      <c r="P119" s="806"/>
      <c r="Q119" s="806"/>
    </row>
    <row r="120" spans="1:17" s="792" customFormat="1" x14ac:dyDescent="0.2">
      <c r="B120" s="835"/>
      <c r="K120" s="785"/>
      <c r="L120" s="805"/>
      <c r="M120" s="805"/>
      <c r="N120" s="805"/>
      <c r="O120" s="805"/>
    </row>
    <row r="121" spans="1:17" s="792" customFormat="1" x14ac:dyDescent="0.2">
      <c r="B121" s="835"/>
      <c r="K121" s="785"/>
      <c r="L121" s="805"/>
      <c r="M121" s="805"/>
      <c r="N121" s="805"/>
      <c r="O121" s="805"/>
    </row>
    <row r="122" spans="1:17" s="792" customFormat="1" x14ac:dyDescent="0.2">
      <c r="B122" s="835"/>
      <c r="K122" s="785"/>
      <c r="L122" s="805"/>
      <c r="M122" s="805"/>
      <c r="N122" s="805"/>
      <c r="O122" s="805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ColWidth="9.140625" defaultRowHeight="12.75" x14ac:dyDescent="0.2"/>
  <cols>
    <col min="1" max="1" width="58.5703125" style="461" customWidth="1"/>
    <col min="2" max="2" width="11.42578125" style="465" customWidth="1"/>
    <col min="3" max="3" width="18.85546875" style="461" customWidth="1"/>
    <col min="4" max="4" width="13.140625" style="461" customWidth="1"/>
    <col min="5" max="5" width="12.42578125" style="461" customWidth="1"/>
    <col min="6" max="6" width="13.28515625" style="461" customWidth="1"/>
    <col min="7" max="7" width="10.5703125" style="461" customWidth="1"/>
    <col min="8" max="8" width="12" style="461" customWidth="1"/>
    <col min="9" max="9" width="13.42578125" style="461" customWidth="1"/>
    <col min="10" max="10" width="11.42578125" style="461" customWidth="1"/>
    <col min="11" max="11" width="9.140625" style="461"/>
    <col min="12" max="12" width="13" style="461" customWidth="1"/>
    <col min="13" max="16384" width="9.140625" style="461"/>
  </cols>
  <sheetData>
    <row r="1" spans="1:11" x14ac:dyDescent="0.2">
      <c r="A1" s="584" t="str">
        <f>'IMRO Decision 2006-10'!A1</f>
        <v>SP AusNet</v>
      </c>
      <c r="B1" s="585" t="s">
        <v>0</v>
      </c>
      <c r="C1" s="586" t="str">
        <f>IF(SUM(C201)&lt;0.001,"Ok","Error")</f>
        <v>Ok</v>
      </c>
      <c r="D1" s="783">
        <f>C201</f>
        <v>0</v>
      </c>
      <c r="E1" s="587"/>
      <c r="F1" s="587"/>
      <c r="G1" s="587"/>
      <c r="H1" s="587"/>
      <c r="I1" s="587"/>
      <c r="J1" s="587"/>
      <c r="K1" s="587"/>
    </row>
    <row r="2" spans="1:11" s="465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12" t="s">
        <v>405</v>
      </c>
      <c r="B3" s="590"/>
    </row>
    <row r="4" spans="1:11" s="465" customFormat="1" x14ac:dyDescent="0.2">
      <c r="A4" s="591"/>
      <c r="B4" s="591"/>
    </row>
    <row r="5" spans="1:11" ht="15.75" x14ac:dyDescent="0.25">
      <c r="A5" s="977" t="s">
        <v>40</v>
      </c>
      <c r="B5" s="978"/>
      <c r="C5" s="978"/>
      <c r="D5" s="979"/>
      <c r="E5" s="979"/>
      <c r="F5" s="980"/>
    </row>
    <row r="6" spans="1:11" s="465" customFormat="1" x14ac:dyDescent="0.2">
      <c r="A6" s="592" t="s">
        <v>74</v>
      </c>
      <c r="B6" s="593"/>
    </row>
    <row r="7" spans="1:11" s="465" customFormat="1" x14ac:dyDescent="0.2">
      <c r="A7" s="453"/>
      <c r="B7" s="453"/>
    </row>
    <row r="8" spans="1:11" x14ac:dyDescent="0.2">
      <c r="C8" s="33" t="s">
        <v>7</v>
      </c>
      <c r="D8" s="813">
        <v>2006</v>
      </c>
      <c r="E8" s="77">
        <v>2007</v>
      </c>
      <c r="F8" s="814">
        <v>2008</v>
      </c>
    </row>
    <row r="9" spans="1:11" ht="12.75" customHeight="1" x14ac:dyDescent="0.2">
      <c r="A9" s="596" t="s">
        <v>37</v>
      </c>
      <c r="B9" s="596"/>
      <c r="C9" s="34" t="s">
        <v>8</v>
      </c>
      <c r="D9" s="981" t="s">
        <v>41</v>
      </c>
      <c r="E9" s="982"/>
      <c r="F9" s="983"/>
    </row>
    <row r="10" spans="1:11" x14ac:dyDescent="0.2">
      <c r="A10" s="461" t="str">
        <f>A$161</f>
        <v>Accumulation Meters</v>
      </c>
      <c r="C10" s="815">
        <f>C161</f>
        <v>35</v>
      </c>
      <c r="D10" s="816">
        <v>3884866</v>
      </c>
      <c r="E10" s="817">
        <v>3731713.7004690147</v>
      </c>
      <c r="F10" s="818">
        <v>4655660.0456358176</v>
      </c>
      <c r="G10" s="597"/>
    </row>
    <row r="11" spans="1:11" x14ac:dyDescent="0.2">
      <c r="A11" s="461" t="str">
        <f>A$162</f>
        <v>Manually read interval meters</v>
      </c>
      <c r="C11" s="819">
        <f>C162</f>
        <v>10</v>
      </c>
      <c r="D11" s="757">
        <v>1152440</v>
      </c>
      <c r="E11" s="758">
        <v>3068765.1960286894</v>
      </c>
      <c r="F11" s="759">
        <v>4079284.046640974</v>
      </c>
      <c r="G11" s="597"/>
    </row>
    <row r="12" spans="1:11" x14ac:dyDescent="0.2">
      <c r="A12" s="461" t="str">
        <f>A$163</f>
        <v>Metering Data Services (IT)</v>
      </c>
      <c r="C12" s="819">
        <f>C163</f>
        <v>5</v>
      </c>
      <c r="D12" s="757">
        <v>2265768</v>
      </c>
      <c r="E12" s="758">
        <v>63679.999999997999</v>
      </c>
      <c r="F12" s="759">
        <v>111640.67900000009</v>
      </c>
      <c r="G12" s="597"/>
    </row>
    <row r="13" spans="1:11" x14ac:dyDescent="0.2">
      <c r="A13" s="461" t="str">
        <f>A$164</f>
        <v>Metering Data Services (Other)</v>
      </c>
      <c r="C13" s="820">
        <f>C164</f>
        <v>5</v>
      </c>
      <c r="D13" s="821">
        <v>222281</v>
      </c>
      <c r="E13" s="822">
        <v>114613.28107590035</v>
      </c>
      <c r="F13" s="823">
        <v>0</v>
      </c>
      <c r="G13" s="597"/>
    </row>
    <row r="14" spans="1:11" ht="13.5" thickBot="1" x14ac:dyDescent="0.25">
      <c r="A14" s="598" t="s">
        <v>45</v>
      </c>
      <c r="B14" s="598"/>
      <c r="C14" s="824"/>
      <c r="D14" s="825">
        <f>SUM(D10:D13)</f>
        <v>7525355</v>
      </c>
      <c r="E14" s="826">
        <f>SUM(E10:E13)</f>
        <v>6978772.1775736026</v>
      </c>
      <c r="F14" s="827">
        <f>SUM(F10:F13)</f>
        <v>8846584.7712767906</v>
      </c>
      <c r="G14" s="597"/>
    </row>
    <row r="15" spans="1:11" ht="13.5" thickTop="1" x14ac:dyDescent="0.2">
      <c r="C15" s="824"/>
      <c r="D15" s="824"/>
      <c r="E15" s="824"/>
      <c r="F15" s="824"/>
    </row>
    <row r="16" spans="1:11" x14ac:dyDescent="0.2">
      <c r="C16" s="824"/>
      <c r="D16" s="824"/>
      <c r="E16" s="824"/>
      <c r="F16" s="824"/>
    </row>
    <row r="17" spans="1:6" x14ac:dyDescent="0.2">
      <c r="A17" s="462"/>
      <c r="B17" s="600"/>
      <c r="C17" s="308" t="s">
        <v>276</v>
      </c>
      <c r="D17" s="77">
        <v>2006</v>
      </c>
      <c r="E17" s="828">
        <v>2007</v>
      </c>
      <c r="F17" s="814">
        <v>2008</v>
      </c>
    </row>
    <row r="18" spans="1:6" x14ac:dyDescent="0.2">
      <c r="A18" s="601" t="s">
        <v>47</v>
      </c>
      <c r="B18" s="602"/>
      <c r="C18" s="321" t="s">
        <v>48</v>
      </c>
      <c r="D18" s="987" t="s">
        <v>22</v>
      </c>
      <c r="E18" s="982"/>
      <c r="F18" s="983"/>
    </row>
    <row r="19" spans="1:6" x14ac:dyDescent="0.2">
      <c r="A19" s="461" t="str">
        <f>A$176</f>
        <v>Standard metering (Group 1) (Unit cost &lt; $1,000)</v>
      </c>
      <c r="C19" s="829">
        <f>C176</f>
        <v>0.375</v>
      </c>
      <c r="D19" s="830">
        <f>SUM(D10:D11)-D20</f>
        <v>5037306</v>
      </c>
      <c r="E19" s="830">
        <f>SUM(E10:E11)-E20</f>
        <v>6800478.8964977041</v>
      </c>
      <c r="F19" s="831">
        <f>SUM(F10:F11)-F20</f>
        <v>8734944.0922767911</v>
      </c>
    </row>
    <row r="20" spans="1:6" x14ac:dyDescent="0.2">
      <c r="A20" s="461" t="str">
        <f>A$177</f>
        <v>Standard metering (Group 2) (Unit cost =&gt; $1,000)</v>
      </c>
      <c r="C20" s="829">
        <f>C177</f>
        <v>0.06</v>
      </c>
      <c r="D20" s="757">
        <v>0</v>
      </c>
      <c r="E20" s="758">
        <v>0</v>
      </c>
      <c r="F20" s="759">
        <v>0</v>
      </c>
    </row>
    <row r="21" spans="1:6" x14ac:dyDescent="0.2">
      <c r="A21" s="461" t="str">
        <f>A$178</f>
        <v>IT</v>
      </c>
      <c r="B21" s="600"/>
      <c r="C21" s="829">
        <f>C178</f>
        <v>0.4</v>
      </c>
      <c r="D21" s="830">
        <f t="shared" ref="D21:F22" si="0">D12</f>
        <v>2265768</v>
      </c>
      <c r="E21" s="830">
        <f t="shared" si="0"/>
        <v>63679.999999997999</v>
      </c>
      <c r="F21" s="831">
        <f t="shared" si="0"/>
        <v>111640.67900000009</v>
      </c>
    </row>
    <row r="22" spans="1:6" x14ac:dyDescent="0.2">
      <c r="A22" s="597" t="str">
        <f>A$179</f>
        <v>Other</v>
      </c>
      <c r="B22" s="600"/>
      <c r="C22" s="832">
        <f>C179</f>
        <v>0.1764705882352941</v>
      </c>
      <c r="D22" s="830">
        <f t="shared" si="0"/>
        <v>222281</v>
      </c>
      <c r="E22" s="830">
        <f t="shared" si="0"/>
        <v>114613.28107590035</v>
      </c>
      <c r="F22" s="831">
        <f t="shared" si="0"/>
        <v>0</v>
      </c>
    </row>
    <row r="23" spans="1:6" ht="13.5" thickBot="1" x14ac:dyDescent="0.25">
      <c r="A23" s="598" t="s">
        <v>45</v>
      </c>
      <c r="B23" s="598"/>
      <c r="C23" s="824"/>
      <c r="D23" s="825">
        <f>SUM(D19:D22)</f>
        <v>7525355</v>
      </c>
      <c r="E23" s="826">
        <f>SUM(E19:E22)</f>
        <v>6978772.1775736026</v>
      </c>
      <c r="F23" s="827">
        <f>SUM(F19:F22)</f>
        <v>8846584.7712767906</v>
      </c>
    </row>
    <row r="24" spans="1:6" ht="13.5" thickTop="1" x14ac:dyDescent="0.2">
      <c r="C24" s="824"/>
      <c r="D24" s="824"/>
      <c r="E24" s="824"/>
      <c r="F24" s="824"/>
    </row>
    <row r="25" spans="1:6" x14ac:dyDescent="0.2">
      <c r="C25" s="824"/>
      <c r="D25" s="824"/>
      <c r="E25" s="824"/>
      <c r="F25" s="824"/>
    </row>
    <row r="26" spans="1:6" x14ac:dyDescent="0.2">
      <c r="C26" s="824"/>
      <c r="D26" s="813">
        <v>2006</v>
      </c>
      <c r="E26" s="77">
        <v>2007</v>
      </c>
      <c r="F26" s="814">
        <v>2008</v>
      </c>
    </row>
    <row r="27" spans="1:6" ht="12.75" customHeight="1" x14ac:dyDescent="0.2">
      <c r="A27" s="89" t="s">
        <v>259</v>
      </c>
      <c r="B27" s="453"/>
      <c r="C27" s="824"/>
      <c r="D27" s="984" t="s">
        <v>22</v>
      </c>
      <c r="E27" s="985"/>
      <c r="F27" s="986" t="s">
        <v>46</v>
      </c>
    </row>
    <row r="28" spans="1:6" x14ac:dyDescent="0.2">
      <c r="A28" s="461" t="s">
        <v>125</v>
      </c>
      <c r="C28" s="824"/>
      <c r="D28" s="816">
        <v>0</v>
      </c>
      <c r="E28" s="817">
        <v>0</v>
      </c>
      <c r="F28" s="818">
        <v>0</v>
      </c>
    </row>
    <row r="29" spans="1:6" x14ac:dyDescent="0.2">
      <c r="A29" s="461" t="s">
        <v>5</v>
      </c>
      <c r="C29" s="824"/>
      <c r="D29" s="821">
        <v>0</v>
      </c>
      <c r="E29" s="822">
        <v>0</v>
      </c>
      <c r="F29" s="823">
        <v>0</v>
      </c>
    </row>
    <row r="30" spans="1:6" x14ac:dyDescent="0.2">
      <c r="C30" s="824"/>
      <c r="D30" s="824"/>
      <c r="E30" s="824"/>
      <c r="F30" s="824"/>
    </row>
    <row r="31" spans="1:6" x14ac:dyDescent="0.2">
      <c r="C31" s="824"/>
      <c r="D31" s="824"/>
      <c r="E31" s="824"/>
      <c r="F31" s="824"/>
    </row>
    <row r="32" spans="1:6" x14ac:dyDescent="0.2">
      <c r="A32" s="604" t="s">
        <v>274</v>
      </c>
      <c r="B32" s="605"/>
      <c r="C32" s="824"/>
      <c r="D32" s="824"/>
      <c r="E32" s="824"/>
      <c r="F32" s="824"/>
    </row>
    <row r="33" spans="1:6" x14ac:dyDescent="0.2">
      <c r="A33" s="465" t="s">
        <v>287</v>
      </c>
      <c r="C33" s="833" t="s">
        <v>280</v>
      </c>
      <c r="D33" s="824"/>
      <c r="E33" s="824"/>
      <c r="F33" s="824"/>
    </row>
    <row r="34" spans="1:6" x14ac:dyDescent="0.2">
      <c r="A34" s="461" t="s">
        <v>288</v>
      </c>
      <c r="C34" s="834">
        <v>2013</v>
      </c>
      <c r="D34" s="824"/>
      <c r="E34" s="824"/>
      <c r="F34" s="824"/>
    </row>
    <row r="35" spans="1:6" x14ac:dyDescent="0.2">
      <c r="C35" s="824"/>
      <c r="D35" s="824"/>
      <c r="E35" s="824"/>
      <c r="F35" s="824"/>
    </row>
    <row r="36" spans="1:6" x14ac:dyDescent="0.2">
      <c r="C36" s="824"/>
      <c r="D36" s="824"/>
      <c r="E36" s="824"/>
      <c r="F36" s="824"/>
    </row>
    <row r="37" spans="1:6" x14ac:dyDescent="0.2">
      <c r="C37" s="824"/>
      <c r="D37" s="813">
        <v>2006</v>
      </c>
      <c r="E37" s="828">
        <v>2007</v>
      </c>
      <c r="F37" s="814">
        <v>2008</v>
      </c>
    </row>
    <row r="38" spans="1:6" ht="12.75" customHeight="1" x14ac:dyDescent="0.2">
      <c r="A38" s="89" t="s">
        <v>257</v>
      </c>
      <c r="B38" s="453"/>
      <c r="C38" s="824"/>
      <c r="D38" s="981" t="s">
        <v>73</v>
      </c>
      <c r="E38" s="982"/>
      <c r="F38" s="983"/>
    </row>
    <row r="39" spans="1:6" s="465" customFormat="1" ht="12.75" customHeight="1" x14ac:dyDescent="0.2">
      <c r="A39" s="606" t="s">
        <v>158</v>
      </c>
      <c r="B39" s="607"/>
      <c r="C39" s="835"/>
      <c r="D39" s="836"/>
      <c r="E39" s="837"/>
      <c r="F39" s="838"/>
    </row>
    <row r="40" spans="1:6" x14ac:dyDescent="0.2">
      <c r="A40" s="461" t="s">
        <v>159</v>
      </c>
      <c r="C40" s="839" t="s">
        <v>269</v>
      </c>
      <c r="D40" s="757">
        <v>196765.7254</v>
      </c>
      <c r="E40" s="758">
        <v>517644.13400000002</v>
      </c>
      <c r="F40" s="759">
        <v>490545.0344</v>
      </c>
    </row>
    <row r="41" spans="1:6" x14ac:dyDescent="0.2">
      <c r="A41" s="461" t="s">
        <v>90</v>
      </c>
      <c r="C41" s="839" t="s">
        <v>268</v>
      </c>
      <c r="D41" s="757">
        <v>0</v>
      </c>
      <c r="E41" s="758">
        <v>0</v>
      </c>
      <c r="F41" s="759">
        <v>0</v>
      </c>
    </row>
    <row r="42" spans="1:6" x14ac:dyDescent="0.2">
      <c r="A42" s="461" t="s">
        <v>45</v>
      </c>
      <c r="C42" s="824"/>
      <c r="D42" s="840">
        <f>SUM(D40:D41)</f>
        <v>196765.7254</v>
      </c>
      <c r="E42" s="841">
        <f>SUM(E40:E41)</f>
        <v>517644.13400000002</v>
      </c>
      <c r="F42" s="842">
        <f>SUM(F40:F41)</f>
        <v>490545.0344</v>
      </c>
    </row>
    <row r="43" spans="1:6" x14ac:dyDescent="0.2">
      <c r="C43" s="824"/>
      <c r="D43" s="843"/>
      <c r="E43" s="830"/>
      <c r="F43" s="831"/>
    </row>
    <row r="44" spans="1:6" x14ac:dyDescent="0.2">
      <c r="A44" s="606" t="s">
        <v>160</v>
      </c>
      <c r="B44" s="607"/>
      <c r="C44" s="824"/>
      <c r="D44" s="843"/>
      <c r="E44" s="830"/>
      <c r="F44" s="831"/>
    </row>
    <row r="45" spans="1:6" x14ac:dyDescent="0.2">
      <c r="A45" s="461" t="s">
        <v>24</v>
      </c>
      <c r="C45" s="839" t="s">
        <v>269</v>
      </c>
      <c r="D45" s="757">
        <v>8374116.0488559995</v>
      </c>
      <c r="E45" s="758">
        <v>7403752.3311585048</v>
      </c>
      <c r="F45" s="759">
        <v>9000552.3345711287</v>
      </c>
    </row>
    <row r="46" spans="1:6" x14ac:dyDescent="0.2">
      <c r="A46" s="461" t="s">
        <v>262</v>
      </c>
      <c r="C46" s="839" t="s">
        <v>269</v>
      </c>
      <c r="D46" s="757">
        <v>180441.21576354679</v>
      </c>
      <c r="E46" s="758">
        <v>143458.41723118219</v>
      </c>
      <c r="F46" s="759">
        <v>205691.66480831188</v>
      </c>
    </row>
    <row r="47" spans="1:6" x14ac:dyDescent="0.2">
      <c r="A47" s="610" t="s">
        <v>54</v>
      </c>
      <c r="B47" s="600"/>
      <c r="C47" s="839" t="s">
        <v>268</v>
      </c>
      <c r="D47" s="757">
        <v>2049635.5721609329</v>
      </c>
      <c r="E47" s="758">
        <v>2907290.7879588599</v>
      </c>
      <c r="F47" s="759">
        <v>3094360.020275455</v>
      </c>
    </row>
    <row r="48" spans="1:6" x14ac:dyDescent="0.2">
      <c r="A48" s="461" t="s">
        <v>45</v>
      </c>
      <c r="C48" s="824"/>
      <c r="D48" s="840">
        <f>SUM(D45:D47)</f>
        <v>10604192.836780479</v>
      </c>
      <c r="E48" s="841">
        <f>SUM(E45:E47)</f>
        <v>10454501.536348548</v>
      </c>
      <c r="F48" s="842">
        <f>SUM(F45:F47)</f>
        <v>12300604.019654896</v>
      </c>
    </row>
    <row r="49" spans="1:6" x14ac:dyDescent="0.2">
      <c r="A49" s="462"/>
      <c r="B49" s="600"/>
      <c r="C49" s="824"/>
      <c r="D49" s="844"/>
      <c r="E49" s="845"/>
      <c r="F49" s="846"/>
    </row>
    <row r="50" spans="1:6" ht="13.5" thickBot="1" x14ac:dyDescent="0.25">
      <c r="A50" s="610" t="s">
        <v>258</v>
      </c>
      <c r="B50" s="600"/>
      <c r="C50" s="847"/>
      <c r="D50" s="825">
        <f>SUM(D42,D48)</f>
        <v>10800958.56218048</v>
      </c>
      <c r="E50" s="826">
        <f>SUM(E42,E48)</f>
        <v>10972145.670348547</v>
      </c>
      <c r="F50" s="848">
        <f>SUM(F42,F48)</f>
        <v>12791149.054054895</v>
      </c>
    </row>
    <row r="51" spans="1:6" ht="13.5" thickTop="1" x14ac:dyDescent="0.2">
      <c r="C51" s="824"/>
      <c r="D51" s="824"/>
      <c r="E51" s="824"/>
      <c r="F51" s="824"/>
    </row>
    <row r="52" spans="1:6" x14ac:dyDescent="0.2">
      <c r="C52" s="824"/>
      <c r="D52" s="824"/>
      <c r="E52" s="824"/>
      <c r="F52" s="824"/>
    </row>
    <row r="53" spans="1:6" ht="13.5" thickBot="1" x14ac:dyDescent="0.25">
      <c r="A53" s="611" t="s">
        <v>270</v>
      </c>
      <c r="B53" s="612"/>
      <c r="C53" s="824"/>
      <c r="D53" s="826">
        <f>SUM(D40,D45:D46)</f>
        <v>8751322.9900195468</v>
      </c>
      <c r="E53" s="826">
        <f>SUM(E40,E45:E46)</f>
        <v>8064854.882389687</v>
      </c>
      <c r="F53" s="826">
        <f>SUM(F40,F45:F46)</f>
        <v>9696789.0337794404</v>
      </c>
    </row>
    <row r="54" spans="1:6" ht="13.5" thickTop="1" x14ac:dyDescent="0.2">
      <c r="A54" s="462"/>
      <c r="B54" s="600"/>
      <c r="C54" s="824"/>
      <c r="D54" s="824"/>
      <c r="E54" s="824"/>
      <c r="F54" s="824"/>
    </row>
    <row r="55" spans="1:6" x14ac:dyDescent="0.2">
      <c r="C55" s="847"/>
      <c r="D55" s="824"/>
      <c r="E55" s="824"/>
      <c r="F55" s="824"/>
    </row>
    <row r="56" spans="1:6" x14ac:dyDescent="0.2">
      <c r="A56" s="89" t="s">
        <v>271</v>
      </c>
      <c r="B56" s="453"/>
      <c r="C56" s="847"/>
      <c r="D56" s="813">
        <v>2006</v>
      </c>
      <c r="E56" s="77">
        <v>2007</v>
      </c>
      <c r="F56" s="814">
        <v>2008</v>
      </c>
    </row>
    <row r="57" spans="1:6" x14ac:dyDescent="0.2">
      <c r="A57" s="613"/>
      <c r="B57" s="614"/>
      <c r="C57" s="847"/>
      <c r="D57" s="981" t="s">
        <v>355</v>
      </c>
      <c r="E57" s="982"/>
      <c r="F57" s="983"/>
    </row>
    <row r="58" spans="1:6" x14ac:dyDescent="0.2">
      <c r="A58" s="615" t="s">
        <v>52</v>
      </c>
      <c r="B58" s="616"/>
      <c r="C58" s="847"/>
      <c r="D58" s="849"/>
      <c r="E58" s="850"/>
      <c r="F58" s="831"/>
    </row>
    <row r="59" spans="1:6" x14ac:dyDescent="0.2">
      <c r="A59" s="618" t="s">
        <v>55</v>
      </c>
      <c r="B59" s="598"/>
      <c r="C59" s="847"/>
      <c r="D59" s="757">
        <v>747003</v>
      </c>
      <c r="E59" s="758">
        <v>754801</v>
      </c>
      <c r="F59" s="759">
        <v>766965</v>
      </c>
    </row>
    <row r="60" spans="1:6" x14ac:dyDescent="0.2">
      <c r="A60" s="613"/>
      <c r="B60" s="614"/>
      <c r="C60" s="847"/>
      <c r="D60" s="849"/>
      <c r="E60" s="850"/>
      <c r="F60" s="831"/>
    </row>
    <row r="61" spans="1:6" x14ac:dyDescent="0.2">
      <c r="A61" s="615" t="s">
        <v>24</v>
      </c>
      <c r="B61" s="616"/>
      <c r="C61" s="824"/>
      <c r="D61" s="851"/>
      <c r="E61" s="847"/>
      <c r="F61" s="852"/>
    </row>
    <row r="62" spans="1:6" x14ac:dyDescent="0.2">
      <c r="A62" s="618" t="s">
        <v>263</v>
      </c>
      <c r="B62" s="598"/>
      <c r="C62" s="824"/>
      <c r="D62" s="851"/>
      <c r="E62" s="847"/>
      <c r="F62" s="852"/>
    </row>
    <row r="63" spans="1:6" x14ac:dyDescent="0.2">
      <c r="A63" s="618" t="s">
        <v>56</v>
      </c>
      <c r="B63" s="598"/>
      <c r="C63" s="824"/>
      <c r="D63" s="757">
        <v>6764.148180531156</v>
      </c>
      <c r="E63" s="758">
        <v>6872.3695841620784</v>
      </c>
      <c r="F63" s="759">
        <v>7136.2499837070427</v>
      </c>
    </row>
    <row r="64" spans="1:6" x14ac:dyDescent="0.2">
      <c r="A64" s="618" t="s">
        <v>57</v>
      </c>
      <c r="B64" s="598"/>
      <c r="C64" s="824"/>
      <c r="D64" s="757">
        <v>716482.85181946878</v>
      </c>
      <c r="E64" s="758">
        <v>719578.63041583798</v>
      </c>
      <c r="F64" s="759">
        <v>725810.75001629291</v>
      </c>
    </row>
    <row r="65" spans="1:6" x14ac:dyDescent="0.2">
      <c r="A65" s="618" t="s">
        <v>58</v>
      </c>
      <c r="B65" s="598"/>
      <c r="C65" s="824"/>
      <c r="D65" s="757">
        <v>222.17735320948188</v>
      </c>
      <c r="E65" s="758">
        <v>268.19658546962552</v>
      </c>
      <c r="F65" s="759">
        <v>331.21215032703071</v>
      </c>
    </row>
    <row r="66" spans="1:6" x14ac:dyDescent="0.2">
      <c r="A66" s="618" t="s">
        <v>59</v>
      </c>
      <c r="B66" s="598"/>
      <c r="C66" s="824"/>
      <c r="D66" s="757">
        <v>23533.822646790519</v>
      </c>
      <c r="E66" s="758">
        <v>28081.803414530375</v>
      </c>
      <c r="F66" s="759">
        <v>33686.787849672968</v>
      </c>
    </row>
    <row r="67" spans="1:6" x14ac:dyDescent="0.2">
      <c r="C67" s="824"/>
      <c r="D67" s="851"/>
      <c r="E67" s="847"/>
      <c r="F67" s="852"/>
    </row>
    <row r="68" spans="1:6" x14ac:dyDescent="0.2">
      <c r="A68" s="615" t="s">
        <v>53</v>
      </c>
      <c r="B68" s="616"/>
      <c r="C68" s="847"/>
      <c r="D68" s="849"/>
      <c r="E68" s="850"/>
      <c r="F68" s="831"/>
    </row>
    <row r="69" spans="1:6" x14ac:dyDescent="0.2">
      <c r="A69" s="618" t="s">
        <v>60</v>
      </c>
      <c r="B69" s="598"/>
      <c r="C69" s="847"/>
      <c r="D69" s="757">
        <v>4947</v>
      </c>
      <c r="E69" s="758">
        <v>3729</v>
      </c>
      <c r="F69" s="759">
        <v>5172</v>
      </c>
    </row>
    <row r="70" spans="1:6" collapsed="1" x14ac:dyDescent="0.2">
      <c r="A70" s="618"/>
      <c r="B70" s="598"/>
      <c r="C70" s="847"/>
      <c r="D70" s="853"/>
      <c r="E70" s="854"/>
      <c r="F70" s="855"/>
    </row>
    <row r="71" spans="1:6" x14ac:dyDescent="0.2">
      <c r="A71" s="618"/>
      <c r="B71" s="598"/>
      <c r="C71" s="847"/>
      <c r="D71" s="850"/>
      <c r="E71" s="850"/>
      <c r="F71" s="830"/>
    </row>
    <row r="72" spans="1:6" x14ac:dyDescent="0.2">
      <c r="A72" s="618"/>
      <c r="B72" s="598"/>
      <c r="C72" s="847"/>
      <c r="D72" s="850"/>
      <c r="E72" s="850"/>
      <c r="F72" s="830"/>
    </row>
    <row r="73" spans="1:6" x14ac:dyDescent="0.2">
      <c r="A73" s="596" t="s">
        <v>61</v>
      </c>
      <c r="B73" s="596"/>
      <c r="C73" s="847"/>
      <c r="D73" s="813">
        <v>2006</v>
      </c>
      <c r="E73" s="77">
        <v>2007</v>
      </c>
      <c r="F73" s="814">
        <v>2008</v>
      </c>
    </row>
    <row r="74" spans="1:6" x14ac:dyDescent="0.2">
      <c r="A74" s="618"/>
      <c r="B74" s="598"/>
      <c r="C74" s="847"/>
      <c r="D74" s="981" t="s">
        <v>62</v>
      </c>
      <c r="E74" s="982"/>
      <c r="F74" s="983"/>
    </row>
    <row r="75" spans="1:6" ht="13.5" thickBot="1" x14ac:dyDescent="0.25">
      <c r="A75" s="618" t="s">
        <v>63</v>
      </c>
      <c r="B75" s="598"/>
      <c r="C75" s="847"/>
      <c r="D75" s="760">
        <v>18927872.469999999</v>
      </c>
      <c r="E75" s="761">
        <v>24234061.212000001</v>
      </c>
      <c r="F75" s="762">
        <v>29871505.958270401</v>
      </c>
    </row>
    <row r="76" spans="1:6" ht="13.5" thickTop="1" x14ac:dyDescent="0.2"/>
    <row r="79" spans="1:6" ht="15.75" x14ac:dyDescent="0.25">
      <c r="A79" s="977" t="s">
        <v>64</v>
      </c>
      <c r="B79" s="978"/>
      <c r="C79" s="978"/>
      <c r="D79" s="979"/>
      <c r="E79" s="979"/>
      <c r="F79" s="980"/>
    </row>
    <row r="80" spans="1:6" x14ac:dyDescent="0.2">
      <c r="A80" s="610"/>
      <c r="B80" s="600"/>
      <c r="C80" s="600"/>
      <c r="D80" s="462"/>
      <c r="E80" s="462"/>
      <c r="F80" s="462"/>
    </row>
    <row r="81" spans="1:6" x14ac:dyDescent="0.2">
      <c r="A81" s="610"/>
      <c r="B81" s="600"/>
      <c r="C81" s="600"/>
      <c r="D81" s="619">
        <v>2006</v>
      </c>
      <c r="E81" s="620">
        <v>2007</v>
      </c>
      <c r="F81" s="621">
        <v>2008</v>
      </c>
    </row>
    <row r="82" spans="1:6" x14ac:dyDescent="0.2">
      <c r="A82" s="604" t="s">
        <v>37</v>
      </c>
      <c r="B82" s="605"/>
      <c r="C82" s="33" t="s">
        <v>7</v>
      </c>
      <c r="D82" s="981" t="s">
        <v>41</v>
      </c>
      <c r="E82" s="982"/>
      <c r="F82" s="983"/>
    </row>
    <row r="83" spans="1:6" x14ac:dyDescent="0.2">
      <c r="A83" s="622"/>
      <c r="B83" s="623"/>
      <c r="C83" s="99" t="s">
        <v>8</v>
      </c>
      <c r="D83" s="851"/>
      <c r="E83" s="847"/>
      <c r="F83" s="852"/>
    </row>
    <row r="84" spans="1:6" x14ac:dyDescent="0.2">
      <c r="A84" s="625" t="str">
        <f>'Data 2009-15 (Real $2008)'!A$154</f>
        <v>Remotely read interval meters &amp; transformers</v>
      </c>
      <c r="B84" s="626"/>
      <c r="C84" s="856">
        <f>'Data 2009-15 (Real $2008)'!C154</f>
        <v>15</v>
      </c>
      <c r="D84" s="757">
        <v>0</v>
      </c>
      <c r="E84" s="758">
        <v>0</v>
      </c>
      <c r="F84" s="759">
        <v>0</v>
      </c>
    </row>
    <row r="85" spans="1:6" x14ac:dyDescent="0.2">
      <c r="A85" s="461" t="s">
        <v>277</v>
      </c>
      <c r="C85" s="856">
        <f>'Data 2009-15 (Real $2008)'!C155</f>
        <v>7</v>
      </c>
      <c r="D85" s="757">
        <v>0</v>
      </c>
      <c r="E85" s="758">
        <v>3778690.47</v>
      </c>
      <c r="F85" s="759">
        <v>10033258.379999999</v>
      </c>
    </row>
    <row r="86" spans="1:6" x14ac:dyDescent="0.2">
      <c r="A86" s="461" t="s">
        <v>279</v>
      </c>
      <c r="C86" s="856">
        <f>'Data 2009-15 (Real $2008)'!C156</f>
        <v>7</v>
      </c>
      <c r="D86" s="757">
        <v>0</v>
      </c>
      <c r="E86" s="758">
        <v>0</v>
      </c>
      <c r="F86" s="759">
        <v>0</v>
      </c>
    </row>
    <row r="87" spans="1:6" x14ac:dyDescent="0.2">
      <c r="A87" s="625" t="s">
        <v>278</v>
      </c>
      <c r="B87" s="626"/>
      <c r="C87" s="857">
        <f>'Data 2009-15 (Real $2008)'!C157</f>
        <v>7</v>
      </c>
      <c r="D87" s="757">
        <v>0</v>
      </c>
      <c r="E87" s="758">
        <v>0</v>
      </c>
      <c r="F87" s="759">
        <v>0</v>
      </c>
    </row>
    <row r="88" spans="1:6" x14ac:dyDescent="0.2">
      <c r="A88" s="598" t="s">
        <v>45</v>
      </c>
      <c r="B88" s="598"/>
      <c r="C88" s="793"/>
      <c r="D88" s="858">
        <f>SUM(D84:D87)</f>
        <v>0</v>
      </c>
      <c r="E88" s="859">
        <f>SUM(E84:E87)</f>
        <v>3778690.47</v>
      </c>
      <c r="F88" s="860">
        <f>SUM(F84:F87)</f>
        <v>10033258.379999999</v>
      </c>
    </row>
    <row r="89" spans="1:6" x14ac:dyDescent="0.2">
      <c r="C89" s="824"/>
      <c r="D89" s="861"/>
      <c r="E89" s="861"/>
      <c r="F89" s="861"/>
    </row>
    <row r="90" spans="1:6" x14ac:dyDescent="0.2">
      <c r="C90" s="824"/>
      <c r="D90" s="861"/>
      <c r="E90" s="861"/>
      <c r="F90" s="861"/>
    </row>
    <row r="91" spans="1:6" x14ac:dyDescent="0.2">
      <c r="A91" s="628"/>
      <c r="B91" s="628"/>
      <c r="C91" s="793"/>
      <c r="D91" s="862">
        <v>2006</v>
      </c>
      <c r="E91" s="863">
        <v>2007</v>
      </c>
      <c r="F91" s="864">
        <v>2008</v>
      </c>
    </row>
    <row r="92" spans="1:6" x14ac:dyDescent="0.2">
      <c r="A92" s="628"/>
      <c r="B92" s="628"/>
      <c r="C92" s="308" t="s">
        <v>276</v>
      </c>
      <c r="D92" s="981" t="s">
        <v>41</v>
      </c>
      <c r="E92" s="982"/>
      <c r="F92" s="983"/>
    </row>
    <row r="93" spans="1:6" x14ac:dyDescent="0.2">
      <c r="A93" s="601" t="s">
        <v>47</v>
      </c>
      <c r="B93" s="602"/>
      <c r="C93" s="321" t="s">
        <v>48</v>
      </c>
      <c r="D93" s="861"/>
      <c r="E93" s="861"/>
      <c r="F93" s="865"/>
    </row>
    <row r="94" spans="1:6" x14ac:dyDescent="0.2">
      <c r="A94" s="461" t="str">
        <f>'Data 2009-15 (Real $2008)'!A$162</f>
        <v>Meters and transformers (Group 1) (Unit cost &lt; $1,000)</v>
      </c>
      <c r="C94" s="866">
        <f>'Data 2009-15 (Real $2008)'!C162</f>
        <v>0.375</v>
      </c>
      <c r="D94" s="867">
        <f>D84-D95</f>
        <v>0</v>
      </c>
      <c r="E94" s="787">
        <f>E84-E95</f>
        <v>0</v>
      </c>
      <c r="F94" s="868">
        <f>F84-F95</f>
        <v>0</v>
      </c>
    </row>
    <row r="95" spans="1:6" x14ac:dyDescent="0.2">
      <c r="A95" s="461" t="str">
        <f>'Data 2009-15 (Real $2008)'!A$163</f>
        <v>Meters and transformers (Group 2) (Unit cost =&gt; $1,000)</v>
      </c>
      <c r="C95" s="869">
        <f>'Data 2009-15 (Real $2008)'!C163</f>
        <v>0.06</v>
      </c>
      <c r="D95" s="757">
        <v>0</v>
      </c>
      <c r="E95" s="758">
        <v>0</v>
      </c>
      <c r="F95" s="759">
        <v>0</v>
      </c>
    </row>
    <row r="96" spans="1:6" x14ac:dyDescent="0.2">
      <c r="A96" s="461" t="str">
        <f>'Data 2009-15 (Real $2008)'!A$164</f>
        <v>IT</v>
      </c>
      <c r="C96" s="869">
        <f>'Data 2009-15 (Real $2008)'!C164</f>
        <v>0.4</v>
      </c>
      <c r="D96" s="867">
        <f t="shared" ref="D96:F98" si="1">D85</f>
        <v>0</v>
      </c>
      <c r="E96" s="787">
        <f t="shared" si="1"/>
        <v>3778690.47</v>
      </c>
      <c r="F96" s="868">
        <f t="shared" si="1"/>
        <v>10033258.379999999</v>
      </c>
    </row>
    <row r="97" spans="1:6" x14ac:dyDescent="0.2">
      <c r="A97" s="461" t="str">
        <f>'Data 2009-15 (Real $2008)'!A$165</f>
        <v>Communications</v>
      </c>
      <c r="C97" s="869">
        <f>'Data 2009-15 (Real $2008)'!C165</f>
        <v>0.21428571428571427</v>
      </c>
      <c r="D97" s="867">
        <f t="shared" si="1"/>
        <v>0</v>
      </c>
      <c r="E97" s="787">
        <f t="shared" si="1"/>
        <v>0</v>
      </c>
      <c r="F97" s="868">
        <f t="shared" si="1"/>
        <v>0</v>
      </c>
    </row>
    <row r="98" spans="1:6" x14ac:dyDescent="0.2">
      <c r="A98" s="597" t="str">
        <f>'Data 2009-15 (Real $2008)'!A$166</f>
        <v>Other</v>
      </c>
      <c r="B98" s="629"/>
      <c r="C98" s="870">
        <f>'Data 2009-15 (Real $2008)'!C166</f>
        <v>0.1764705882352941</v>
      </c>
      <c r="D98" s="867">
        <f t="shared" si="1"/>
        <v>0</v>
      </c>
      <c r="E98" s="787">
        <f t="shared" si="1"/>
        <v>0</v>
      </c>
      <c r="F98" s="868">
        <f t="shared" si="1"/>
        <v>0</v>
      </c>
    </row>
    <row r="99" spans="1:6" ht="13.5" thickBot="1" x14ac:dyDescent="0.25">
      <c r="A99" s="598" t="s">
        <v>45</v>
      </c>
      <c r="B99" s="598"/>
      <c r="C99" s="793"/>
      <c r="D99" s="871">
        <f>SUM(D93:D98)</f>
        <v>0</v>
      </c>
      <c r="E99" s="872">
        <f>SUM(E93:E98)</f>
        <v>3778690.47</v>
      </c>
      <c r="F99" s="873">
        <f>SUM(F93:F98)</f>
        <v>10033258.379999999</v>
      </c>
    </row>
    <row r="100" spans="1:6" ht="13.5" thickTop="1" x14ac:dyDescent="0.2">
      <c r="A100" s="630"/>
      <c r="B100" s="593"/>
      <c r="C100" s="847"/>
      <c r="D100" s="861"/>
      <c r="E100" s="861"/>
      <c r="F100" s="861"/>
    </row>
    <row r="101" spans="1:6" x14ac:dyDescent="0.2">
      <c r="A101" s="630"/>
      <c r="B101" s="593"/>
      <c r="C101" s="847"/>
      <c r="D101" s="861"/>
      <c r="E101" s="861"/>
      <c r="F101" s="861"/>
    </row>
    <row r="102" spans="1:6" x14ac:dyDescent="0.2">
      <c r="A102" s="610"/>
      <c r="B102" s="600"/>
      <c r="C102" s="847"/>
      <c r="D102" s="862">
        <v>2006</v>
      </c>
      <c r="E102" s="863">
        <v>2007</v>
      </c>
      <c r="F102" s="864">
        <v>2008</v>
      </c>
    </row>
    <row r="103" spans="1:6" x14ac:dyDescent="0.2">
      <c r="A103" s="596" t="s">
        <v>1</v>
      </c>
      <c r="B103" s="596"/>
      <c r="C103" s="847"/>
      <c r="D103" s="981" t="s">
        <v>73</v>
      </c>
      <c r="E103" s="982"/>
      <c r="F103" s="983"/>
    </row>
    <row r="104" spans="1:6" x14ac:dyDescent="0.2">
      <c r="A104" s="610"/>
      <c r="B104" s="600"/>
      <c r="C104" s="847"/>
      <c r="D104" s="851"/>
      <c r="E104" s="847"/>
      <c r="F104" s="852"/>
    </row>
    <row r="105" spans="1:6" x14ac:dyDescent="0.2">
      <c r="A105" s="630" t="s">
        <v>65</v>
      </c>
      <c r="B105" s="593"/>
      <c r="C105" s="847"/>
      <c r="D105" s="757">
        <v>0</v>
      </c>
      <c r="E105" s="758">
        <v>0</v>
      </c>
      <c r="F105" s="759">
        <v>0</v>
      </c>
    </row>
    <row r="106" spans="1:6" x14ac:dyDescent="0.2">
      <c r="A106" s="630" t="s">
        <v>66</v>
      </c>
      <c r="B106" s="593"/>
      <c r="C106" s="874"/>
      <c r="D106" s="757">
        <v>0</v>
      </c>
      <c r="E106" s="758">
        <v>1559372</v>
      </c>
      <c r="F106" s="759">
        <v>77435.960000000006</v>
      </c>
    </row>
    <row r="107" spans="1:6" x14ac:dyDescent="0.2">
      <c r="A107" s="630" t="s">
        <v>67</v>
      </c>
      <c r="B107" s="593"/>
      <c r="C107" s="874"/>
      <c r="D107" s="757">
        <v>329755.78999999998</v>
      </c>
      <c r="E107" s="758">
        <v>468319.97</v>
      </c>
      <c r="F107" s="759">
        <v>1418069.36</v>
      </c>
    </row>
    <row r="108" spans="1:6" x14ac:dyDescent="0.2">
      <c r="A108" s="630" t="s">
        <v>68</v>
      </c>
      <c r="B108" s="593"/>
      <c r="C108" s="874"/>
      <c r="D108" s="757">
        <v>0</v>
      </c>
      <c r="E108" s="758">
        <v>0</v>
      </c>
      <c r="F108" s="759">
        <v>0</v>
      </c>
    </row>
    <row r="109" spans="1:6" x14ac:dyDescent="0.2">
      <c r="A109" s="630" t="s">
        <v>69</v>
      </c>
      <c r="B109" s="593"/>
      <c r="C109" s="874"/>
      <c r="D109" s="757">
        <v>697942.26</v>
      </c>
      <c r="E109" s="758">
        <v>775965.75</v>
      </c>
      <c r="F109" s="759">
        <v>4021295.64</v>
      </c>
    </row>
    <row r="110" spans="1:6" x14ac:dyDescent="0.2">
      <c r="A110" s="630" t="s">
        <v>70</v>
      </c>
      <c r="B110" s="593"/>
      <c r="C110" s="874"/>
      <c r="D110" s="757">
        <v>0</v>
      </c>
      <c r="E110" s="758">
        <v>0</v>
      </c>
      <c r="F110" s="759">
        <v>0</v>
      </c>
    </row>
    <row r="111" spans="1:6" x14ac:dyDescent="0.2">
      <c r="A111" s="630" t="s">
        <v>71</v>
      </c>
      <c r="B111" s="593"/>
      <c r="C111" s="874"/>
      <c r="D111" s="757">
        <v>0</v>
      </c>
      <c r="E111" s="758">
        <v>556621</v>
      </c>
      <c r="F111" s="759">
        <v>654359.875</v>
      </c>
    </row>
    <row r="112" spans="1:6" x14ac:dyDescent="0.2">
      <c r="A112" s="630" t="s">
        <v>72</v>
      </c>
      <c r="B112" s="593"/>
      <c r="C112" s="874"/>
      <c r="D112" s="757">
        <v>0</v>
      </c>
      <c r="E112" s="758">
        <v>0</v>
      </c>
      <c r="F112" s="759">
        <v>1837075.9995795637</v>
      </c>
    </row>
    <row r="113" spans="1:14" x14ac:dyDescent="0.2">
      <c r="A113" s="630" t="s">
        <v>272</v>
      </c>
      <c r="B113" s="593"/>
      <c r="C113" s="874"/>
      <c r="D113" s="757">
        <v>0</v>
      </c>
      <c r="E113" s="758">
        <v>0</v>
      </c>
      <c r="F113" s="759">
        <v>0</v>
      </c>
    </row>
    <row r="114" spans="1:14" x14ac:dyDescent="0.2">
      <c r="A114" s="630" t="s">
        <v>273</v>
      </c>
      <c r="B114" s="593"/>
      <c r="C114" s="847"/>
      <c r="D114" s="757">
        <v>0</v>
      </c>
      <c r="E114" s="758">
        <v>0</v>
      </c>
      <c r="F114" s="759">
        <v>0</v>
      </c>
    </row>
    <row r="115" spans="1:14" x14ac:dyDescent="0.2">
      <c r="A115" s="598" t="s">
        <v>45</v>
      </c>
      <c r="C115" s="874"/>
      <c r="D115" s="858">
        <f>SUM(D105:D114)</f>
        <v>1027698.05</v>
      </c>
      <c r="E115" s="859">
        <f>SUM(E105:E114)</f>
        <v>3360278.7199999997</v>
      </c>
      <c r="F115" s="860">
        <f>SUM(F105:F112)</f>
        <v>8008236.8345795637</v>
      </c>
    </row>
    <row r="116" spans="1:14" s="462" customFormat="1" x14ac:dyDescent="0.2">
      <c r="A116" s="593"/>
      <c r="B116" s="593"/>
      <c r="C116" s="600"/>
      <c r="D116" s="627"/>
      <c r="E116" s="627"/>
      <c r="F116" s="627"/>
    </row>
    <row r="117" spans="1:14" s="462" customFormat="1" x14ac:dyDescent="0.2">
      <c r="A117" s="593"/>
      <c r="B117" s="593"/>
      <c r="C117" s="600"/>
      <c r="D117" s="627"/>
      <c r="E117" s="627"/>
      <c r="F117" s="627"/>
    </row>
    <row r="118" spans="1:14" s="462" customFormat="1" ht="13.5" thickBot="1" x14ac:dyDescent="0.25">
      <c r="A118" s="593" t="s">
        <v>111</v>
      </c>
      <c r="B118" s="593"/>
      <c r="C118" s="600"/>
      <c r="D118" s="631">
        <f>SUM(D88,D115)</f>
        <v>1027698.05</v>
      </c>
      <c r="E118" s="631">
        <f>SUM(E88,E115)</f>
        <v>7138969.1899999995</v>
      </c>
      <c r="F118" s="631">
        <f>SUM(F88,F115)</f>
        <v>18041495.214579564</v>
      </c>
    </row>
    <row r="119" spans="1:14" s="462" customFormat="1" ht="13.5" thickTop="1" x14ac:dyDescent="0.2">
      <c r="A119" s="593"/>
      <c r="B119" s="593"/>
      <c r="C119" s="600"/>
      <c r="D119" s="627"/>
      <c r="E119" s="627"/>
      <c r="F119" s="627"/>
    </row>
    <row r="120" spans="1:14" s="462" customFormat="1" x14ac:dyDescent="0.2">
      <c r="A120" s="593"/>
      <c r="B120" s="593"/>
      <c r="C120" s="600"/>
      <c r="D120" s="627"/>
      <c r="E120" s="627"/>
      <c r="F120" s="627"/>
    </row>
    <row r="121" spans="1:14" ht="13.5" thickBot="1" x14ac:dyDescent="0.25">
      <c r="A121" s="632"/>
      <c r="B121" s="633"/>
      <c r="C121" s="632"/>
      <c r="D121" s="632"/>
      <c r="E121" s="632"/>
      <c r="F121" s="632"/>
      <c r="G121" s="632"/>
      <c r="H121" s="632"/>
      <c r="I121" s="632"/>
      <c r="J121" s="632"/>
      <c r="K121" s="632"/>
      <c r="L121" s="632"/>
      <c r="M121" s="632"/>
      <c r="N121" s="632"/>
    </row>
    <row r="124" spans="1:14" ht="15.75" x14ac:dyDescent="0.25">
      <c r="A124" s="634" t="s">
        <v>39</v>
      </c>
      <c r="B124" s="635"/>
    </row>
    <row r="126" spans="1:14" x14ac:dyDescent="0.2">
      <c r="A126" s="453" t="s">
        <v>78</v>
      </c>
      <c r="B126" s="453"/>
      <c r="C126" s="636"/>
    </row>
    <row r="127" spans="1:14" x14ac:dyDescent="0.2">
      <c r="A127" s="453"/>
      <c r="B127" s="453"/>
      <c r="C127" s="636"/>
    </row>
    <row r="128" spans="1:14" x14ac:dyDescent="0.2">
      <c r="A128" s="461" t="s">
        <v>79</v>
      </c>
      <c r="C128" s="637">
        <v>2.64E-2</v>
      </c>
    </row>
    <row r="129" spans="1:6" x14ac:dyDescent="0.2">
      <c r="A129" s="461" t="s">
        <v>80</v>
      </c>
      <c r="C129" s="638">
        <v>1.4250000000000001E-2</v>
      </c>
    </row>
    <row r="130" spans="1:6" x14ac:dyDescent="0.2">
      <c r="A130" s="461" t="s">
        <v>13</v>
      </c>
      <c r="C130" s="639">
        <v>0.06</v>
      </c>
    </row>
    <row r="131" spans="1:6" x14ac:dyDescent="0.2">
      <c r="A131" s="461" t="s">
        <v>14</v>
      </c>
      <c r="C131" s="640">
        <v>1</v>
      </c>
    </row>
    <row r="132" spans="1:6" x14ac:dyDescent="0.2">
      <c r="A132" s="461" t="s">
        <v>17</v>
      </c>
      <c r="C132" s="640">
        <v>0.5</v>
      </c>
    </row>
    <row r="133" spans="1:6" x14ac:dyDescent="0.2">
      <c r="A133" s="461" t="s">
        <v>15</v>
      </c>
      <c r="C133" s="641">
        <v>0.6</v>
      </c>
    </row>
    <row r="134" spans="1:6" x14ac:dyDescent="0.2">
      <c r="A134" s="461" t="s">
        <v>16</v>
      </c>
      <c r="C134" s="642">
        <v>2.5600000000000001E-2</v>
      </c>
    </row>
    <row r="135" spans="1:6" x14ac:dyDescent="0.2">
      <c r="C135" s="643"/>
    </row>
    <row r="136" spans="1:6" x14ac:dyDescent="0.2">
      <c r="A136" s="461" t="s">
        <v>81</v>
      </c>
      <c r="C136" s="644">
        <f>C128+C131*C130</f>
        <v>8.6400000000000005E-2</v>
      </c>
    </row>
    <row r="137" spans="1:6" x14ac:dyDescent="0.2">
      <c r="A137" s="461" t="s">
        <v>82</v>
      </c>
      <c r="C137" s="312">
        <f>(1+C136)*(1+C134)-1</f>
        <v>0.11421184000000006</v>
      </c>
    </row>
    <row r="138" spans="1:6" x14ac:dyDescent="0.2">
      <c r="A138" s="461" t="s">
        <v>83</v>
      </c>
      <c r="C138" s="645">
        <f>C128+C129</f>
        <v>4.0649999999999999E-2</v>
      </c>
    </row>
    <row r="139" spans="1:6" x14ac:dyDescent="0.2">
      <c r="A139" s="461" t="s">
        <v>84</v>
      </c>
      <c r="C139" s="646">
        <f>(1+C138)*(1+C134)-1</f>
        <v>6.7290640000000179E-2</v>
      </c>
    </row>
    <row r="140" spans="1:6" x14ac:dyDescent="0.2">
      <c r="C140" s="608"/>
    </row>
    <row r="141" spans="1:6" x14ac:dyDescent="0.2">
      <c r="A141" s="461" t="s">
        <v>85</v>
      </c>
      <c r="C141" s="647">
        <f>ROUND((C136*(1-C133))+(C138*C133),3)</f>
        <v>5.8999999999999997E-2</v>
      </c>
    </row>
    <row r="144" spans="1:6" x14ac:dyDescent="0.2">
      <c r="A144" s="453" t="s">
        <v>256</v>
      </c>
      <c r="B144" s="453"/>
      <c r="C144" s="988" t="s">
        <v>36</v>
      </c>
      <c r="D144" s="989"/>
      <c r="F144" s="648" t="s">
        <v>75</v>
      </c>
    </row>
    <row r="145" spans="1:9" x14ac:dyDescent="0.2">
      <c r="A145" s="453"/>
      <c r="B145" s="453"/>
      <c r="C145" s="649">
        <v>37529</v>
      </c>
      <c r="D145" s="650">
        <v>138.5</v>
      </c>
      <c r="F145" s="651"/>
    </row>
    <row r="146" spans="1:9" x14ac:dyDescent="0.2">
      <c r="C146" s="652">
        <v>37894</v>
      </c>
      <c r="D146" s="653">
        <v>142.1</v>
      </c>
      <c r="F146" s="654">
        <f t="shared" ref="F146:F151" si="2">D146/D145-1</f>
        <v>2.5992779783393427E-2</v>
      </c>
    </row>
    <row r="147" spans="1:9" x14ac:dyDescent="0.2">
      <c r="C147" s="652">
        <v>38260</v>
      </c>
      <c r="D147" s="653">
        <v>145.4</v>
      </c>
      <c r="F147" s="654">
        <f t="shared" si="2"/>
        <v>2.3223082336382816E-2</v>
      </c>
      <c r="I147" s="655"/>
    </row>
    <row r="148" spans="1:9" x14ac:dyDescent="0.2">
      <c r="C148" s="652">
        <v>38625</v>
      </c>
      <c r="D148" s="653">
        <v>149.80000000000001</v>
      </c>
      <c r="F148" s="654">
        <f t="shared" si="2"/>
        <v>3.0261348005502064E-2</v>
      </c>
    </row>
    <row r="149" spans="1:9" x14ac:dyDescent="0.2">
      <c r="C149" s="652">
        <v>38990</v>
      </c>
      <c r="D149" s="653">
        <v>155.69999999999999</v>
      </c>
      <c r="F149" s="654">
        <f t="shared" si="2"/>
        <v>3.9385847797062556E-2</v>
      </c>
    </row>
    <row r="150" spans="1:9" x14ac:dyDescent="0.2">
      <c r="C150" s="652">
        <v>39355</v>
      </c>
      <c r="D150" s="653">
        <v>158.6</v>
      </c>
      <c r="F150" s="654">
        <f t="shared" si="2"/>
        <v>1.862556197816323E-2</v>
      </c>
    </row>
    <row r="151" spans="1:9" x14ac:dyDescent="0.2">
      <c r="C151" s="656">
        <v>39721</v>
      </c>
      <c r="D151" s="657">
        <v>166.5</v>
      </c>
      <c r="F151" s="654">
        <f t="shared" si="2"/>
        <v>4.9810844892812067E-2</v>
      </c>
    </row>
    <row r="152" spans="1:9" x14ac:dyDescent="0.2">
      <c r="A152" s="658"/>
      <c r="B152" s="658"/>
    </row>
    <row r="153" spans="1:9" x14ac:dyDescent="0.2">
      <c r="A153" s="658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8"/>
      <c r="B154" s="659"/>
      <c r="C154" s="659"/>
      <c r="D154" s="659"/>
      <c r="E154" s="659"/>
    </row>
    <row r="155" spans="1:9" x14ac:dyDescent="0.2">
      <c r="A155" s="660" t="s">
        <v>76</v>
      </c>
      <c r="B155" s="661">
        <f>F146</f>
        <v>2.5992779783393427E-2</v>
      </c>
      <c r="C155" s="661">
        <f>F147</f>
        <v>2.3223082336382816E-2</v>
      </c>
      <c r="D155" s="661">
        <f>F148</f>
        <v>3.0261348005502064E-2</v>
      </c>
      <c r="E155" s="661">
        <f>F149</f>
        <v>3.9385847797062556E-2</v>
      </c>
      <c r="F155" s="661">
        <f>F150</f>
        <v>1.862556197816323E-2</v>
      </c>
    </row>
    <row r="156" spans="1:9" x14ac:dyDescent="0.2">
      <c r="A156" s="461" t="s">
        <v>77</v>
      </c>
      <c r="B156" s="662">
        <f>C156*(1+C155)</f>
        <v>1.1161154116819139</v>
      </c>
      <c r="C156" s="663">
        <f>D156*(1+D155)</f>
        <v>1.090784044016506</v>
      </c>
      <c r="D156" s="663">
        <f>E156*(1+E155)</f>
        <v>1.0587449933244324</v>
      </c>
      <c r="E156" s="663">
        <f>F156*(1+F155)</f>
        <v>1.0186255619781632</v>
      </c>
      <c r="F156" s="663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2"/>
      <c r="B160" s="623"/>
      <c r="C160" s="624" t="s">
        <v>8</v>
      </c>
    </row>
    <row r="161" spans="1:3" x14ac:dyDescent="0.2">
      <c r="A161" s="465" t="s">
        <v>42</v>
      </c>
      <c r="C161" s="664">
        <f>'IMRO Decision 2006-10'!D190</f>
        <v>35</v>
      </c>
    </row>
    <row r="162" spans="1:3" x14ac:dyDescent="0.2">
      <c r="A162" s="461" t="s">
        <v>260</v>
      </c>
      <c r="C162" s="665">
        <f>'IMRO Decision 2006-10'!D191</f>
        <v>10</v>
      </c>
    </row>
    <row r="163" spans="1:3" x14ac:dyDescent="0.2">
      <c r="A163" s="465" t="s">
        <v>43</v>
      </c>
      <c r="C163" s="665">
        <f>'IMRO Decision 2006-10'!D192</f>
        <v>5</v>
      </c>
    </row>
    <row r="164" spans="1:3" x14ac:dyDescent="0.2">
      <c r="A164" s="465" t="s">
        <v>44</v>
      </c>
      <c r="C164" s="666">
        <f>'IMRO Decision 2006-10'!D193</f>
        <v>5</v>
      </c>
    </row>
    <row r="167" spans="1:3" x14ac:dyDescent="0.2">
      <c r="A167" s="604" t="s">
        <v>92</v>
      </c>
      <c r="B167" s="605"/>
      <c r="C167" s="667"/>
    </row>
    <row r="168" spans="1:3" x14ac:dyDescent="0.2">
      <c r="A168" s="605"/>
      <c r="B168" s="605"/>
      <c r="C168" s="667"/>
    </row>
    <row r="169" spans="1:3" x14ac:dyDescent="0.2">
      <c r="A169" s="667" t="s">
        <v>88</v>
      </c>
      <c r="B169" s="668"/>
      <c r="C169" s="669">
        <v>0.3</v>
      </c>
    </row>
    <row r="170" spans="1:3" x14ac:dyDescent="0.2">
      <c r="A170" s="668" t="s">
        <v>17</v>
      </c>
      <c r="B170" s="668"/>
      <c r="C170" s="670">
        <f>C132</f>
        <v>0.5</v>
      </c>
    </row>
    <row r="171" spans="1:3" x14ac:dyDescent="0.2">
      <c r="A171" s="667" t="s">
        <v>15</v>
      </c>
      <c r="B171" s="668"/>
      <c r="C171" s="671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0" t="s">
        <v>276</v>
      </c>
      <c r="B175" s="672"/>
    </row>
    <row r="176" spans="1:3" x14ac:dyDescent="0.2">
      <c r="A176" s="461" t="s">
        <v>357</v>
      </c>
      <c r="C176" s="673">
        <v>0.375</v>
      </c>
    </row>
    <row r="177" spans="1:8" x14ac:dyDescent="0.2">
      <c r="A177" s="461" t="s">
        <v>356</v>
      </c>
      <c r="C177" s="674">
        <v>0.06</v>
      </c>
    </row>
    <row r="178" spans="1:8" x14ac:dyDescent="0.2">
      <c r="A178" s="461" t="s">
        <v>277</v>
      </c>
      <c r="C178" s="674">
        <v>0.4</v>
      </c>
    </row>
    <row r="179" spans="1:8" x14ac:dyDescent="0.2">
      <c r="A179" s="597" t="s">
        <v>278</v>
      </c>
      <c r="B179" s="629"/>
      <c r="C179" s="675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5" t="s">
        <v>366</v>
      </c>
      <c r="D184" s="676">
        <f>'IMRO Decision 2006-10'!D41*10^6</f>
        <v>-1975583.969366113</v>
      </c>
      <c r="E184" s="676">
        <f>'IMRO Decision 2006-10'!E41*10^6</f>
        <v>-2483377.9553463948</v>
      </c>
      <c r="F184" s="676">
        <f>'IMRO Decision 2006-10'!F41*10^6</f>
        <v>-6580370.5243212422</v>
      </c>
      <c r="G184" s="676">
        <f>'IMRO Decision 2006-10'!G41*10^6</f>
        <v>-9984425.5362499729</v>
      </c>
      <c r="H184" s="676">
        <f>'IMRO Decision 2006-10'!H41*10^6</f>
        <v>-9720213.2625060007</v>
      </c>
    </row>
    <row r="185" spans="1:8" x14ac:dyDescent="0.2">
      <c r="A185" s="461" t="s">
        <v>147</v>
      </c>
      <c r="D185" s="677">
        <f>'IMRO Decision 2006-10'!D71</f>
        <v>1.0510983425414364</v>
      </c>
      <c r="E185" s="677">
        <f>'IMRO Decision 2006-10'!E71</f>
        <v>1.0780064601104973</v>
      </c>
      <c r="F185" s="677">
        <f>'IMRO Decision 2006-10'!F71</f>
        <v>1.1056034254893261</v>
      </c>
      <c r="G185" s="677">
        <f>'IMRO Decision 2006-10'!G71</f>
        <v>1.1339068731818529</v>
      </c>
      <c r="H185" s="677">
        <f>'IMRO Decision 2006-10'!H71</f>
        <v>1.1629348891353084</v>
      </c>
    </row>
    <row r="187" spans="1:8" x14ac:dyDescent="0.2">
      <c r="A187" s="89" t="s">
        <v>94</v>
      </c>
      <c r="B187" s="453"/>
    </row>
    <row r="188" spans="1:8" x14ac:dyDescent="0.2">
      <c r="A188" s="613" t="s">
        <v>98</v>
      </c>
      <c r="B188" s="614"/>
      <c r="D188" s="595">
        <v>2006</v>
      </c>
      <c r="E188" s="595">
        <v>2007</v>
      </c>
      <c r="F188" s="595">
        <v>2008</v>
      </c>
    </row>
    <row r="189" spans="1:8" x14ac:dyDescent="0.2">
      <c r="A189" s="615" t="s">
        <v>264</v>
      </c>
      <c r="B189" s="616"/>
      <c r="D189" s="678"/>
      <c r="E189" s="678"/>
      <c r="F189" s="678"/>
    </row>
    <row r="190" spans="1:8" x14ac:dyDescent="0.2">
      <c r="A190" s="618" t="s">
        <v>267</v>
      </c>
      <c r="B190" s="598"/>
      <c r="D190" s="629">
        <f>D205*D218</f>
        <v>1226000.0000000002</v>
      </c>
      <c r="E190" s="629">
        <f>E205*E218</f>
        <v>1245000.0000000005</v>
      </c>
      <c r="F190" s="629">
        <f>F205*F218</f>
        <v>1228000</v>
      </c>
    </row>
    <row r="191" spans="1:8" x14ac:dyDescent="0.2">
      <c r="A191" s="618" t="s">
        <v>266</v>
      </c>
      <c r="B191" s="598"/>
      <c r="D191" s="629">
        <f>((D208*12+D210)*D222+(D208*4+D210)*D223)+((D209*12+D211)*D224+(D209*4+D211)*D225)</f>
        <v>8217758.4121904792</v>
      </c>
      <c r="E191" s="629">
        <f>((E208*12+E210)*E222+(E208*4+E210)*E223)+((E209*12+E211)*E224+(E209*4+E211)*E225)</f>
        <v>8491098.615040686</v>
      </c>
      <c r="F191" s="629">
        <f>((F208*12+F210)*F222+(F208*4+F210)*F223)+((F209*12+F211)*F224+(F209*4+F211)*F225)</f>
        <v>8814369.2569719814</v>
      </c>
    </row>
    <row r="192" spans="1:8" x14ac:dyDescent="0.2">
      <c r="A192" s="461" t="s">
        <v>265</v>
      </c>
      <c r="D192" s="629">
        <f>D213*D228</f>
        <v>524074.84200810641</v>
      </c>
      <c r="E192" s="629">
        <f>E213*E228</f>
        <v>303586.41847367201</v>
      </c>
      <c r="F192" s="629">
        <f>F213*F228</f>
        <v>1867457.5643420727</v>
      </c>
    </row>
    <row r="193" spans="1:6" x14ac:dyDescent="0.2">
      <c r="A193" s="618" t="s">
        <v>104</v>
      </c>
      <c r="B193" s="598"/>
      <c r="D193" s="679">
        <f>SUM(D190:D192)</f>
        <v>9967833.2541985866</v>
      </c>
      <c r="E193" s="679">
        <f>SUM(E190:E192)</f>
        <v>10039685.033514358</v>
      </c>
      <c r="F193" s="679">
        <f>SUM(F190:F192)</f>
        <v>11909826.821314054</v>
      </c>
    </row>
    <row r="194" spans="1:6" x14ac:dyDescent="0.2">
      <c r="A194" s="618"/>
      <c r="B194" s="598"/>
      <c r="D194" s="597"/>
      <c r="E194" s="597"/>
      <c r="F194" s="597"/>
    </row>
    <row r="195" spans="1:6" x14ac:dyDescent="0.2">
      <c r="A195" s="615" t="s">
        <v>105</v>
      </c>
      <c r="B195" s="616"/>
      <c r="D195" s="597"/>
      <c r="E195" s="597"/>
      <c r="F195" s="597"/>
    </row>
    <row r="196" spans="1:6" x14ac:dyDescent="0.2">
      <c r="A196" s="461" t="s">
        <v>109</v>
      </c>
      <c r="D196" s="676">
        <f>'IMRO Decision 2006-10'!D105*10^3</f>
        <v>420000</v>
      </c>
      <c r="E196" s="676">
        <f>'IMRO Decision 2006-10'!E105*10^3</f>
        <v>420000</v>
      </c>
      <c r="F196" s="676">
        <f>'IMRO Decision 2006-10'!F105*10^3</f>
        <v>420000</v>
      </c>
    </row>
    <row r="197" spans="1:6" s="465" customFormat="1" x14ac:dyDescent="0.2">
      <c r="A197" s="618" t="s">
        <v>108</v>
      </c>
      <c r="B197" s="598"/>
      <c r="D197" s="676">
        <f>'IMRO Decision 2006-10'!D111*10^3</f>
        <v>6244406.5512591293</v>
      </c>
      <c r="E197" s="676">
        <f>'IMRO Decision 2006-10'!E111*10^3</f>
        <v>6365762.3580535455</v>
      </c>
      <c r="F197" s="676">
        <f>'IMRO Decision 2006-10'!F111*10^3</f>
        <v>6365762.3580535455</v>
      </c>
    </row>
    <row r="198" spans="1:6" s="465" customFormat="1" x14ac:dyDescent="0.2">
      <c r="A198" s="618" t="s">
        <v>106</v>
      </c>
      <c r="B198" s="598"/>
      <c r="D198" s="609">
        <f>SUM(D196:D197)</f>
        <v>6664406.5512591293</v>
      </c>
      <c r="E198" s="609">
        <f>SUM(E196:E197)</f>
        <v>6785762.3580535455</v>
      </c>
      <c r="F198" s="609">
        <f>SUM(F196:F197)</f>
        <v>6785762.3580535455</v>
      </c>
    </row>
    <row r="199" spans="1:6" s="465" customFormat="1" x14ac:dyDescent="0.2">
      <c r="A199" s="598"/>
      <c r="B199" s="598"/>
      <c r="D199" s="629"/>
      <c r="E199" s="629"/>
      <c r="F199" s="629"/>
    </row>
    <row r="200" spans="1:6" s="465" customFormat="1" ht="13.5" thickBot="1" x14ac:dyDescent="0.25">
      <c r="A200" s="618" t="s">
        <v>107</v>
      </c>
      <c r="B200" s="598"/>
      <c r="C200" s="461"/>
      <c r="D200" s="599">
        <f>SUM(D193,D198)</f>
        <v>16632239.805457715</v>
      </c>
      <c r="E200" s="599">
        <f>SUM(E193,E198)</f>
        <v>16825447.391567905</v>
      </c>
      <c r="F200" s="599">
        <f>SUM(F193,F198)</f>
        <v>18695589.179367598</v>
      </c>
    </row>
    <row r="201" spans="1:6" s="465" customFormat="1" ht="13.5" thickTop="1" x14ac:dyDescent="0.2">
      <c r="A201" s="680" t="s">
        <v>0</v>
      </c>
      <c r="B201" s="681"/>
      <c r="C201" s="682">
        <f>SUM(D201:F201)</f>
        <v>0</v>
      </c>
      <c r="D201" s="682">
        <f>IF(ABS('IMRO Decision 2006-10'!D114*10^3-D200)&lt;0.001,0,ABS('IMRO Decision 2006-10'!D114*10^3-D200))</f>
        <v>0</v>
      </c>
      <c r="E201" s="682">
        <f>IF(ABS('IMRO Decision 2006-10'!E114*10^3-E200)&lt;0.001,0,ABS('IMRO Decision 2006-10'!E114*10^3-E200))</f>
        <v>0</v>
      </c>
      <c r="F201" s="682">
        <f>IF(ABS('IMRO Decision 2006-10'!F114*10^3-F200)&lt;0.001,0,ABS('IMRO Decision 2006-10'!F114*10^3-F200))</f>
        <v>0</v>
      </c>
    </row>
    <row r="202" spans="1:6" s="465" customFormat="1" x14ac:dyDescent="0.2">
      <c r="A202" s="598"/>
      <c r="B202" s="598"/>
      <c r="D202" s="629"/>
      <c r="E202" s="629"/>
      <c r="F202" s="629"/>
    </row>
    <row r="203" spans="1:6" s="465" customFormat="1" x14ac:dyDescent="0.2">
      <c r="A203" s="598"/>
      <c r="B203" s="598"/>
      <c r="D203" s="629"/>
      <c r="E203" s="629"/>
      <c r="F203" s="629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8" t="s">
        <v>97</v>
      </c>
      <c r="B205" s="598"/>
      <c r="D205" s="683">
        <f>'IMRO Decision 2006-10'!D349</f>
        <v>1.640241300098602</v>
      </c>
      <c r="E205" s="683">
        <f>'IMRO Decision 2006-10'!E349</f>
        <v>1.6395822818441947</v>
      </c>
      <c r="F205" s="683">
        <f>'IMRO Decision 2006-10'!F349</f>
        <v>1.6405941226017764</v>
      </c>
    </row>
    <row r="206" spans="1:6" s="465" customFormat="1" x14ac:dyDescent="0.2">
      <c r="A206" s="618"/>
      <c r="B206" s="598"/>
      <c r="D206" s="684"/>
      <c r="E206" s="684"/>
      <c r="F206" s="684"/>
    </row>
    <row r="207" spans="1:6" x14ac:dyDescent="0.2">
      <c r="A207" s="615" t="s">
        <v>99</v>
      </c>
      <c r="B207" s="616"/>
      <c r="D207" s="684"/>
      <c r="E207" s="684"/>
      <c r="F207" s="684"/>
    </row>
    <row r="208" spans="1:6" x14ac:dyDescent="0.2">
      <c r="A208" s="618" t="s">
        <v>100</v>
      </c>
      <c r="B208" s="598"/>
      <c r="D208" s="683">
        <f>'IMRO Decision 2006-10'!D365</f>
        <v>1.5</v>
      </c>
      <c r="E208" s="683">
        <f>'IMRO Decision 2006-10'!E365</f>
        <v>1.5</v>
      </c>
      <c r="F208" s="683">
        <f>'IMRO Decision 2006-10'!F365</f>
        <v>1.5</v>
      </c>
    </row>
    <row r="209" spans="1:6" x14ac:dyDescent="0.2">
      <c r="A209" s="618" t="s">
        <v>101</v>
      </c>
      <c r="B209" s="598"/>
      <c r="D209" s="683">
        <f>'IMRO Decision 2006-10'!D366</f>
        <v>2.5</v>
      </c>
      <c r="E209" s="683">
        <f>'IMRO Decision 2006-10'!E366</f>
        <v>2.5</v>
      </c>
      <c r="F209" s="683">
        <f>'IMRO Decision 2006-10'!F366</f>
        <v>2.5</v>
      </c>
    </row>
    <row r="210" spans="1:6" x14ac:dyDescent="0.2">
      <c r="A210" s="618" t="s">
        <v>102</v>
      </c>
      <c r="B210" s="598"/>
      <c r="D210" s="683">
        <f>'IMRO Decision 2006-10'!D367</f>
        <v>4.5</v>
      </c>
      <c r="E210" s="683">
        <f>'IMRO Decision 2006-10'!E367</f>
        <v>4.5</v>
      </c>
      <c r="F210" s="683">
        <f>'IMRO Decision 2006-10'!F367</f>
        <v>4.5</v>
      </c>
    </row>
    <row r="211" spans="1:6" x14ac:dyDescent="0.2">
      <c r="A211" s="618" t="s">
        <v>103</v>
      </c>
      <c r="B211" s="598"/>
      <c r="D211" s="683">
        <f>'IMRO Decision 2006-10'!D368</f>
        <v>6.2</v>
      </c>
      <c r="E211" s="683">
        <f>'IMRO Decision 2006-10'!E368</f>
        <v>6.2</v>
      </c>
      <c r="F211" s="683">
        <f>'IMRO Decision 2006-10'!F368</f>
        <v>6.2</v>
      </c>
    </row>
    <row r="212" spans="1:6" x14ac:dyDescent="0.2">
      <c r="A212" s="618"/>
      <c r="B212" s="598"/>
      <c r="D212" s="684"/>
      <c r="E212" s="684"/>
      <c r="F212" s="684"/>
    </row>
    <row r="213" spans="1:6" x14ac:dyDescent="0.2">
      <c r="A213" s="618" t="s">
        <v>53</v>
      </c>
      <c r="B213" s="598"/>
      <c r="D213" s="683">
        <f>'IMRO Decision 2006-10'!D356</f>
        <v>34.6</v>
      </c>
      <c r="E213" s="683">
        <f>'IMRO Decision 2006-10'!E356</f>
        <v>35.110669999999999</v>
      </c>
      <c r="F213" s="683">
        <f>'IMRO Decision 2006-10'!F356</f>
        <v>35.632727940999999</v>
      </c>
    </row>
    <row r="216" spans="1:6" x14ac:dyDescent="0.2">
      <c r="A216" s="613" t="s">
        <v>95</v>
      </c>
      <c r="B216" s="614"/>
      <c r="C216" s="462"/>
      <c r="D216" s="595">
        <v>2006</v>
      </c>
      <c r="E216" s="595">
        <v>2007</v>
      </c>
      <c r="F216" s="595">
        <v>2008</v>
      </c>
    </row>
    <row r="217" spans="1:6" x14ac:dyDescent="0.2">
      <c r="A217" s="615" t="s">
        <v>52</v>
      </c>
      <c r="B217" s="616"/>
      <c r="C217" s="462"/>
      <c r="D217" s="617"/>
      <c r="E217" s="617"/>
      <c r="F217" s="603"/>
    </row>
    <row r="218" spans="1:6" x14ac:dyDescent="0.2">
      <c r="A218" s="618" t="s">
        <v>55</v>
      </c>
      <c r="B218" s="598"/>
      <c r="C218" s="462"/>
      <c r="D218" s="676">
        <f>'IMRO Decision 2006-10'!J349</f>
        <v>747451</v>
      </c>
      <c r="E218" s="676">
        <f>'IMRO Decision 2006-10'!K349</f>
        <v>759339.75</v>
      </c>
      <c r="F218" s="676">
        <f>'IMRO Decision 2006-10'!L349</f>
        <v>748509.32542202831</v>
      </c>
    </row>
    <row r="219" spans="1:6" x14ac:dyDescent="0.2">
      <c r="A219" s="613"/>
      <c r="B219" s="614"/>
      <c r="C219" s="462"/>
      <c r="D219" s="617"/>
      <c r="E219" s="617"/>
      <c r="F219" s="603"/>
    </row>
    <row r="220" spans="1:6" x14ac:dyDescent="0.2">
      <c r="A220" s="615" t="s">
        <v>24</v>
      </c>
      <c r="B220" s="616"/>
      <c r="D220" s="462"/>
      <c r="E220" s="462"/>
      <c r="F220" s="462"/>
    </row>
    <row r="221" spans="1:6" x14ac:dyDescent="0.2">
      <c r="A221" s="618" t="s">
        <v>263</v>
      </c>
      <c r="B221" s="598"/>
      <c r="D221" s="462"/>
      <c r="E221" s="462"/>
      <c r="F221" s="462"/>
    </row>
    <row r="222" spans="1:6" x14ac:dyDescent="0.2">
      <c r="A222" s="618" t="s">
        <v>56</v>
      </c>
      <c r="B222" s="598"/>
      <c r="D222" s="676">
        <f>'IMRO Decision 2006-10'!J370</f>
        <v>2840.5</v>
      </c>
      <c r="E222" s="676">
        <f>'IMRO Decision 2006-10'!K370</f>
        <v>0</v>
      </c>
      <c r="F222" s="676">
        <f>'IMRO Decision 2006-10'!L370</f>
        <v>0</v>
      </c>
    </row>
    <row r="223" spans="1:6" x14ac:dyDescent="0.2">
      <c r="A223" s="618" t="s">
        <v>57</v>
      </c>
      <c r="B223" s="598"/>
      <c r="D223" s="676">
        <f>'IMRO Decision 2006-10'!J371</f>
        <v>704157.15653132333</v>
      </c>
      <c r="E223" s="676">
        <f>'IMRO Decision 2006-10'!K371</f>
        <v>695525.52097347646</v>
      </c>
      <c r="F223" s="676">
        <f>'IMRO Decision 2006-10'!L371</f>
        <v>605602.09639550466</v>
      </c>
    </row>
    <row r="224" spans="1:6" x14ac:dyDescent="0.2">
      <c r="A224" s="618" t="s">
        <v>58</v>
      </c>
      <c r="B224" s="598"/>
      <c r="D224" s="676">
        <f>'IMRO Decision 2006-10'!J372</f>
        <v>5242.6427209510994</v>
      </c>
      <c r="E224" s="676">
        <f>'IMRO Decision 2006-10'!K372</f>
        <v>7714.5067294751007</v>
      </c>
      <c r="F224" s="676">
        <f>'IMRO Decision 2006-10'!L372</f>
        <v>7022.5067294751007</v>
      </c>
    </row>
    <row r="225" spans="1:14" x14ac:dyDescent="0.2">
      <c r="A225" s="618" t="s">
        <v>59</v>
      </c>
      <c r="B225" s="598"/>
      <c r="D225" s="676">
        <f>'IMRO Decision 2006-10'!J373</f>
        <v>35210.700747725568</v>
      </c>
      <c r="E225" s="676">
        <f>'IMRO Decision 2006-10'!K373</f>
        <v>56099.7222970484</v>
      </c>
      <c r="F225" s="676">
        <f>'IMRO Decision 2006-10'!L373</f>
        <v>135884.7222970484</v>
      </c>
    </row>
    <row r="226" spans="1:14" x14ac:dyDescent="0.2">
      <c r="D226" s="462"/>
      <c r="E226" s="462"/>
      <c r="F226" s="462"/>
    </row>
    <row r="227" spans="1:14" x14ac:dyDescent="0.2">
      <c r="A227" s="615" t="s">
        <v>53</v>
      </c>
      <c r="B227" s="616"/>
      <c r="C227" s="462"/>
      <c r="D227" s="617"/>
      <c r="E227" s="617"/>
      <c r="F227" s="603"/>
    </row>
    <row r="228" spans="1:14" x14ac:dyDescent="0.2">
      <c r="A228" s="618" t="s">
        <v>60</v>
      </c>
      <c r="B228" s="598"/>
      <c r="C228" s="462"/>
      <c r="D228" s="676">
        <f>SUM('IMRO Decision 2006-10'!J356,'IMRO Decision 2006-10'!J358:J362)</f>
        <v>15146.671734338335</v>
      </c>
      <c r="E228" s="676">
        <f>SUM('IMRO Decision 2006-10'!K356,'IMRO Decision 2006-10'!K358:K362)</f>
        <v>8646.5572566308765</v>
      </c>
      <c r="F228" s="676">
        <f>SUM('IMRO Decision 2006-10'!L356,'IMRO Decision 2006-10'!L358:L362)</f>
        <v>52408.492760761226</v>
      </c>
    </row>
    <row r="231" spans="1:14" ht="13.5" thickBot="1" x14ac:dyDescent="0.25">
      <c r="A231" s="632"/>
      <c r="B231" s="633"/>
      <c r="C231" s="632"/>
      <c r="D231" s="632"/>
      <c r="E231" s="632"/>
      <c r="F231" s="632"/>
      <c r="G231" s="632"/>
      <c r="H231" s="632"/>
      <c r="I231" s="632"/>
      <c r="J231" s="632"/>
      <c r="K231" s="632"/>
      <c r="L231" s="632"/>
      <c r="M231" s="632"/>
      <c r="N231" s="632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P15" sqref="P15"/>
    </sheetView>
  </sheetViews>
  <sheetFormatPr defaultColWidth="9.140625"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5" x14ac:dyDescent="0.25">
      <c r="A2" s="30"/>
      <c r="B2" s="95"/>
      <c r="C2" s="2"/>
      <c r="D2" s="65" t="s">
        <v>22</v>
      </c>
      <c r="E2" s="66" t="s">
        <v>22</v>
      </c>
      <c r="F2" s="66" t="s">
        <v>22</v>
      </c>
      <c r="G2" s="66" t="s">
        <v>22</v>
      </c>
      <c r="H2" s="66" t="s">
        <v>22</v>
      </c>
      <c r="I2" s="66" t="s">
        <v>22</v>
      </c>
      <c r="J2" s="67" t="s">
        <v>22</v>
      </c>
      <c r="K2" s="110"/>
    </row>
    <row r="3" spans="1:11" s="1" customFormat="1" ht="15.75" x14ac:dyDescent="0.25">
      <c r="A3" s="72" t="s">
        <v>416</v>
      </c>
      <c r="B3" s="452"/>
      <c r="C3" s="2"/>
      <c r="D3" s="62" t="s">
        <v>20</v>
      </c>
      <c r="E3" s="63" t="s">
        <v>20</v>
      </c>
      <c r="F3" s="63" t="s">
        <v>20</v>
      </c>
      <c r="G3" s="63" t="s">
        <v>20</v>
      </c>
      <c r="H3" s="63" t="s">
        <v>20</v>
      </c>
      <c r="I3" s="63" t="s">
        <v>20</v>
      </c>
      <c r="J3" s="64" t="s">
        <v>20</v>
      </c>
      <c r="K3" s="110"/>
    </row>
    <row r="4" spans="1:11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75" x14ac:dyDescent="0.25">
      <c r="A5" s="812" t="s">
        <v>405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">
      <c r="A8" s="43" t="s">
        <v>37</v>
      </c>
      <c r="B8" s="85"/>
      <c r="C8" s="747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">
      <c r="A9" s="7"/>
      <c r="B9" s="86"/>
      <c r="C9" s="748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28" t="str">
        <f t="shared" si="2"/>
        <v>Actual</v>
      </c>
      <c r="K9" s="110"/>
    </row>
    <row r="10" spans="1:11" s="1" customFormat="1" x14ac:dyDescent="0.2">
      <c r="A10" s="85" t="s">
        <v>42</v>
      </c>
      <c r="B10" s="85"/>
      <c r="C10" s="106" t="str">
        <f>'Data 2009-15 (Real $2008)'!C10</f>
        <v>Depreciated by end of  2013</v>
      </c>
      <c r="D10" s="757">
        <v>5642354.8024567701</v>
      </c>
      <c r="E10" s="758">
        <v>5666645.7940240987</v>
      </c>
      <c r="F10" s="758">
        <v>244000</v>
      </c>
      <c r="G10" s="758">
        <v>674105.83766478498</v>
      </c>
      <c r="H10" s="758"/>
      <c r="I10" s="758"/>
      <c r="J10" s="759"/>
      <c r="K10" s="119"/>
    </row>
    <row r="11" spans="1:11" s="1" customFormat="1" x14ac:dyDescent="0.2">
      <c r="A11" s="84" t="s">
        <v>260</v>
      </c>
      <c r="B11" s="85"/>
      <c r="C11" s="316" t="str">
        <f>'Data 2009-15 (Real $2008)'!C11</f>
        <v>Depreciated by end of  2013</v>
      </c>
      <c r="D11" s="757">
        <v>4388551.8229085337</v>
      </c>
      <c r="E11" s="758">
        <v>5905381.0176459458</v>
      </c>
      <c r="F11" s="758">
        <v>6000</v>
      </c>
      <c r="G11" s="758">
        <v>69558.012335216801</v>
      </c>
      <c r="H11" s="758"/>
      <c r="I11" s="758"/>
      <c r="J11" s="759"/>
      <c r="K11" s="119"/>
    </row>
    <row r="12" spans="1:11" s="1" customFormat="1" x14ac:dyDescent="0.2">
      <c r="A12" s="318" t="s">
        <v>367</v>
      </c>
      <c r="B12" s="85"/>
      <c r="C12" s="316">
        <f>'Data 2009-15 (Real $2008)'!C12</f>
        <v>15</v>
      </c>
      <c r="D12" s="757">
        <v>1217602.3400000001</v>
      </c>
      <c r="E12" s="758">
        <v>29691789.298330415</v>
      </c>
      <c r="F12" s="758">
        <v>80253000</v>
      </c>
      <c r="G12" s="758">
        <v>90618361.041847378</v>
      </c>
      <c r="H12" s="758"/>
      <c r="I12" s="758"/>
      <c r="J12" s="759"/>
      <c r="K12" s="19"/>
    </row>
    <row r="13" spans="1:11" s="1" customFormat="1" x14ac:dyDescent="0.2">
      <c r="A13" s="318" t="s">
        <v>277</v>
      </c>
      <c r="B13" s="85"/>
      <c r="C13" s="316">
        <f>'Data 2009-15 (Real $2008)'!C13</f>
        <v>7</v>
      </c>
      <c r="D13" s="757">
        <v>26456656.351864353</v>
      </c>
      <c r="E13" s="758">
        <v>38827401.623737559</v>
      </c>
      <c r="F13" s="758">
        <v>23232071.948036101</v>
      </c>
      <c r="G13" s="758">
        <v>24642546.559058473</v>
      </c>
      <c r="H13" s="758"/>
      <c r="I13" s="758"/>
      <c r="J13" s="759"/>
      <c r="K13" s="15"/>
    </row>
    <row r="14" spans="1:11" s="1" customFormat="1" x14ac:dyDescent="0.2">
      <c r="A14" s="318" t="s">
        <v>279</v>
      </c>
      <c r="B14" s="88"/>
      <c r="C14" s="316">
        <f>'Data 2009-15 (Real $2008)'!C14</f>
        <v>7</v>
      </c>
      <c r="D14" s="757">
        <v>888555.09</v>
      </c>
      <c r="E14" s="758">
        <v>8756866.3000000007</v>
      </c>
      <c r="F14" s="758">
        <v>8959364.2199999988</v>
      </c>
      <c r="G14" s="758">
        <v>24833830.630000003</v>
      </c>
      <c r="H14" s="758"/>
      <c r="I14" s="758"/>
      <c r="J14" s="759"/>
      <c r="K14" s="15"/>
    </row>
    <row r="15" spans="1:11" s="1" customFormat="1" x14ac:dyDescent="0.2">
      <c r="A15" s="318" t="s">
        <v>278</v>
      </c>
      <c r="B15" s="85"/>
      <c r="C15" s="107">
        <f>'Data 2009-15 (Real $2008)'!C15</f>
        <v>7</v>
      </c>
      <c r="D15" s="757">
        <v>0</v>
      </c>
      <c r="E15" s="758">
        <v>0</v>
      </c>
      <c r="F15" s="758">
        <v>0</v>
      </c>
      <c r="G15" s="758">
        <v>0</v>
      </c>
      <c r="H15" s="758"/>
      <c r="I15" s="758"/>
      <c r="J15" s="759"/>
      <c r="K15" s="15"/>
    </row>
    <row r="16" spans="1:11" s="1" customFormat="1" ht="13.5" thickBot="1" x14ac:dyDescent="0.25">
      <c r="A16" s="88" t="s">
        <v>45</v>
      </c>
      <c r="B16" s="85"/>
      <c r="C16" s="2"/>
      <c r="D16" s="11">
        <f t="shared" ref="D16:J16" si="3">SUM(D10:D15)</f>
        <v>38593720.407229662</v>
      </c>
      <c r="E16" s="12">
        <f t="shared" si="3"/>
        <v>88848084.033738017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">
      <c r="A20" s="320"/>
      <c r="B20" s="85"/>
      <c r="C20" s="308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">
      <c r="A21" s="74" t="s">
        <v>47</v>
      </c>
      <c r="B21" s="91"/>
      <c r="C21" s="321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28" t="str">
        <f t="shared" si="6"/>
        <v>Actual</v>
      </c>
      <c r="K21" s="15"/>
    </row>
    <row r="22" spans="1:11" s="1" customFormat="1" x14ac:dyDescent="0.2">
      <c r="A22" s="84" t="s">
        <v>368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91362024.891847387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4" t="s">
        <v>369</v>
      </c>
      <c r="B23" s="88"/>
      <c r="C23" s="323">
        <f>'Data 2009-15 (Real $2008)'!C23</f>
        <v>0.06</v>
      </c>
      <c r="D23" s="757">
        <v>0</v>
      </c>
      <c r="E23" s="758">
        <v>0</v>
      </c>
      <c r="F23" s="758">
        <v>0</v>
      </c>
      <c r="G23" s="758">
        <v>0</v>
      </c>
      <c r="H23" s="758"/>
      <c r="I23" s="758"/>
      <c r="J23" s="759"/>
      <c r="K23" s="15"/>
    </row>
    <row r="24" spans="1:11" s="1" customFormat="1" x14ac:dyDescent="0.2">
      <c r="A24" s="84" t="s">
        <v>277</v>
      </c>
      <c r="B24" s="85"/>
      <c r="C24" s="323">
        <f>'Data 2009-15 (Real $2008)'!C24</f>
        <v>0.4</v>
      </c>
      <c r="D24" s="325">
        <f t="shared" ref="D24:F26" si="8">D13</f>
        <v>26456656.351864353</v>
      </c>
      <c r="E24" s="19">
        <f t="shared" si="8"/>
        <v>38827401.623737559</v>
      </c>
      <c r="F24" s="19">
        <f t="shared" si="8"/>
        <v>23232071.948036101</v>
      </c>
      <c r="G24" s="19">
        <f t="shared" ref="G24:J26" si="9">G13</f>
        <v>24642546.559058473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4" t="s">
        <v>279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24833830.630000003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7" t="s">
        <v>278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8" t="s">
        <v>45</v>
      </c>
      <c r="B27" s="60"/>
      <c r="C27" s="2"/>
      <c r="D27" s="11">
        <f t="shared" ref="D27:J27" si="10">SUM(D21:D26)</f>
        <v>38593720.407229662</v>
      </c>
      <c r="E27" s="12">
        <f t="shared" si="10"/>
        <v>88848084.033738017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28" t="str">
        <f t="shared" si="13"/>
        <v>Actual</v>
      </c>
      <c r="K32" s="110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5" t="s">
        <v>42</v>
      </c>
      <c r="C34" s="20"/>
      <c r="D34" s="757">
        <v>0</v>
      </c>
      <c r="E34" s="758">
        <v>0</v>
      </c>
      <c r="F34" s="758">
        <v>0</v>
      </c>
      <c r="G34" s="758">
        <v>0</v>
      </c>
      <c r="H34" s="758"/>
      <c r="I34" s="758"/>
      <c r="J34" s="759"/>
      <c r="K34" s="36"/>
    </row>
    <row r="35" spans="1:11" x14ac:dyDescent="0.2">
      <c r="A35" s="85" t="s">
        <v>260</v>
      </c>
      <c r="C35" s="20"/>
      <c r="D35" s="757">
        <v>0</v>
      </c>
      <c r="E35" s="758">
        <v>0</v>
      </c>
      <c r="F35" s="758">
        <v>0</v>
      </c>
      <c r="G35" s="758">
        <v>0</v>
      </c>
      <c r="H35" s="758"/>
      <c r="I35" s="758"/>
      <c r="J35" s="759"/>
      <c r="K35" s="36"/>
    </row>
    <row r="36" spans="1:11" x14ac:dyDescent="0.2">
      <c r="A36" s="85" t="s">
        <v>367</v>
      </c>
      <c r="C36" s="20"/>
      <c r="D36" s="757">
        <v>0</v>
      </c>
      <c r="E36" s="758">
        <v>0</v>
      </c>
      <c r="F36" s="758">
        <v>0</v>
      </c>
      <c r="G36" s="758">
        <v>0</v>
      </c>
      <c r="H36" s="758"/>
      <c r="I36" s="758"/>
      <c r="J36" s="759"/>
      <c r="K36" s="36"/>
    </row>
    <row r="37" spans="1:11" x14ac:dyDescent="0.2">
      <c r="A37" s="85" t="s">
        <v>277</v>
      </c>
      <c r="C37" s="20"/>
      <c r="D37" s="757">
        <v>0</v>
      </c>
      <c r="E37" s="758">
        <v>0</v>
      </c>
      <c r="F37" s="758">
        <v>0</v>
      </c>
      <c r="G37" s="758">
        <v>0</v>
      </c>
      <c r="H37" s="758"/>
      <c r="I37" s="758"/>
      <c r="J37" s="759"/>
      <c r="K37" s="36"/>
    </row>
    <row r="38" spans="1:11" x14ac:dyDescent="0.2">
      <c r="A38" s="85" t="s">
        <v>279</v>
      </c>
      <c r="B38" s="453"/>
      <c r="C38" s="20"/>
      <c r="D38" s="757">
        <v>0</v>
      </c>
      <c r="E38" s="758">
        <v>0</v>
      </c>
      <c r="F38" s="758">
        <v>0</v>
      </c>
      <c r="G38" s="758">
        <v>0</v>
      </c>
      <c r="H38" s="758"/>
      <c r="I38" s="758"/>
      <c r="J38" s="759"/>
      <c r="K38" s="36"/>
    </row>
    <row r="39" spans="1:11" x14ac:dyDescent="0.2">
      <c r="A39" s="85" t="s">
        <v>278</v>
      </c>
      <c r="B39" s="454"/>
      <c r="C39" s="20"/>
      <c r="D39" s="757">
        <v>0</v>
      </c>
      <c r="E39" s="758">
        <v>0</v>
      </c>
      <c r="F39" s="758">
        <v>0</v>
      </c>
      <c r="G39" s="758">
        <v>0</v>
      </c>
      <c r="H39" s="758"/>
      <c r="I39" s="758"/>
      <c r="J39" s="759"/>
      <c r="K39" s="36"/>
    </row>
    <row r="40" spans="1:11" ht="13.5" thickBot="1" x14ac:dyDescent="0.25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</row>
    <row r="43" spans="1:11" x14ac:dyDescent="0.2">
      <c r="A43" s="85" t="s">
        <v>42</v>
      </c>
      <c r="C43" s="20"/>
      <c r="D43" s="757">
        <v>0</v>
      </c>
      <c r="E43" s="758">
        <v>0</v>
      </c>
      <c r="F43" s="758">
        <v>0</v>
      </c>
      <c r="G43" s="758">
        <v>0</v>
      </c>
      <c r="H43" s="758"/>
      <c r="I43" s="758"/>
      <c r="J43" s="759"/>
      <c r="K43" s="36"/>
    </row>
    <row r="44" spans="1:11" x14ac:dyDescent="0.2">
      <c r="A44" s="85" t="s">
        <v>260</v>
      </c>
      <c r="B44" s="454"/>
      <c r="C44" s="20"/>
      <c r="D44" s="757">
        <v>0</v>
      </c>
      <c r="E44" s="758">
        <v>0</v>
      </c>
      <c r="F44" s="758">
        <v>0</v>
      </c>
      <c r="G44" s="758">
        <v>0</v>
      </c>
      <c r="H44" s="758"/>
      <c r="I44" s="758"/>
      <c r="J44" s="759"/>
      <c r="K44" s="36"/>
    </row>
    <row r="45" spans="1:11" x14ac:dyDescent="0.2">
      <c r="A45" s="85" t="s">
        <v>367</v>
      </c>
      <c r="C45" s="20"/>
      <c r="D45" s="757">
        <v>0</v>
      </c>
      <c r="E45" s="758">
        <v>0</v>
      </c>
      <c r="F45" s="758">
        <v>0</v>
      </c>
      <c r="G45" s="758">
        <v>0</v>
      </c>
      <c r="H45" s="758"/>
      <c r="I45" s="758"/>
      <c r="J45" s="759"/>
      <c r="K45" s="36"/>
    </row>
    <row r="46" spans="1:11" x14ac:dyDescent="0.2">
      <c r="A46" s="85" t="s">
        <v>277</v>
      </c>
      <c r="C46" s="20"/>
      <c r="D46" s="757">
        <v>0</v>
      </c>
      <c r="E46" s="758">
        <v>0</v>
      </c>
      <c r="F46" s="758">
        <v>0</v>
      </c>
      <c r="G46" s="758">
        <v>0</v>
      </c>
      <c r="H46" s="758"/>
      <c r="I46" s="758"/>
      <c r="J46" s="759"/>
      <c r="K46" s="36"/>
    </row>
    <row r="47" spans="1:11" x14ac:dyDescent="0.2">
      <c r="A47" s="85" t="s">
        <v>279</v>
      </c>
      <c r="B47" s="91"/>
      <c r="C47" s="20"/>
      <c r="D47" s="757">
        <v>0</v>
      </c>
      <c r="E47" s="758">
        <v>0</v>
      </c>
      <c r="F47" s="758">
        <v>0</v>
      </c>
      <c r="G47" s="758">
        <v>0</v>
      </c>
      <c r="H47" s="758"/>
      <c r="I47" s="758"/>
      <c r="J47" s="759"/>
      <c r="K47" s="36"/>
    </row>
    <row r="48" spans="1:11" x14ac:dyDescent="0.2">
      <c r="A48" s="85" t="s">
        <v>278</v>
      </c>
      <c r="C48" s="20"/>
      <c r="D48" s="757">
        <v>0</v>
      </c>
      <c r="E48" s="758">
        <v>0</v>
      </c>
      <c r="F48" s="758">
        <v>0</v>
      </c>
      <c r="G48" s="758">
        <v>0</v>
      </c>
      <c r="H48" s="758"/>
      <c r="I48" s="758"/>
      <c r="J48" s="759"/>
      <c r="K48" s="36"/>
    </row>
    <row r="49" spans="1:11" s="1" customFormat="1" ht="13.5" thickBot="1" x14ac:dyDescent="0.25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8" t="str">
        <f t="shared" si="18"/>
        <v>Actual</v>
      </c>
      <c r="K54" s="110"/>
    </row>
    <row r="55" spans="1:11" s="1" customFormat="1" ht="13.5" thickBot="1" x14ac:dyDescent="0.25">
      <c r="A55" s="3" t="s">
        <v>2</v>
      </c>
      <c r="B55" s="85"/>
      <c r="C55" s="2"/>
      <c r="D55" s="760">
        <v>27133020.450744912</v>
      </c>
      <c r="E55" s="761">
        <v>39809474.16262313</v>
      </c>
      <c r="F55" s="761">
        <v>42811168.404355973</v>
      </c>
      <c r="G55" s="761">
        <v>40190981.149277501</v>
      </c>
      <c r="H55" s="761"/>
      <c r="I55" s="761"/>
      <c r="J55" s="762"/>
      <c r="K55" s="119"/>
    </row>
    <row r="56" spans="1:11" s="1" customFormat="1" ht="13.5" thickTop="1" x14ac:dyDescent="0.2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</row>
    <row r="60" spans="1:11" s="1" customFormat="1" ht="13.5" thickBot="1" x14ac:dyDescent="0.25">
      <c r="A60" s="78" t="s">
        <v>63</v>
      </c>
      <c r="B60" s="449"/>
      <c r="D60" s="763">
        <v>37927245.233500004</v>
      </c>
      <c r="E60" s="761">
        <v>65653893.745999992</v>
      </c>
      <c r="F60" s="761">
        <v>73478180.732400015</v>
      </c>
      <c r="G60" s="761">
        <v>83599356</v>
      </c>
      <c r="H60" s="761"/>
      <c r="I60" s="761"/>
      <c r="J60" s="762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8"/>
    </row>
    <row r="66" spans="2:2" x14ac:dyDescent="0.2">
      <c r="B66" s="88"/>
    </row>
    <row r="67" spans="2:2" x14ac:dyDescent="0.2">
      <c r="B67" s="450"/>
    </row>
    <row r="68" spans="2:2" x14ac:dyDescent="0.2">
      <c r="B68" s="88"/>
    </row>
    <row r="69" spans="2:2" x14ac:dyDescent="0.2">
      <c r="B69" s="88"/>
    </row>
    <row r="70" spans="2:2" x14ac:dyDescent="0.2">
      <c r="B70" s="88"/>
    </row>
    <row r="71" spans="2:2" x14ac:dyDescent="0.2">
      <c r="B71" s="88"/>
    </row>
    <row r="72" spans="2:2" x14ac:dyDescent="0.2">
      <c r="B72" s="88"/>
    </row>
    <row r="73" spans="2:2" x14ac:dyDescent="0.2">
      <c r="B73" s="88"/>
    </row>
    <row r="76" spans="2:2" x14ac:dyDescent="0.2">
      <c r="B76" s="449"/>
    </row>
    <row r="77" spans="2:2" x14ac:dyDescent="0.2">
      <c r="B77" s="450"/>
    </row>
    <row r="78" spans="2:2" x14ac:dyDescent="0.2">
      <c r="B78" s="88"/>
    </row>
    <row r="79" spans="2:2" x14ac:dyDescent="0.2">
      <c r="B79" s="449"/>
    </row>
    <row r="80" spans="2:2" x14ac:dyDescent="0.2">
      <c r="B80" s="450"/>
    </row>
    <row r="81" spans="2:2" x14ac:dyDescent="0.2">
      <c r="B81" s="88"/>
    </row>
    <row r="82" spans="2:2" x14ac:dyDescent="0.2">
      <c r="B82" s="88"/>
    </row>
    <row r="83" spans="2:2" x14ac:dyDescent="0.2">
      <c r="B83" s="88"/>
    </row>
    <row r="84" spans="2:2" x14ac:dyDescent="0.2">
      <c r="B84" s="88"/>
    </row>
    <row r="85" spans="2:2" x14ac:dyDescent="0.2">
      <c r="B85" s="88"/>
    </row>
    <row r="87" spans="2:2" x14ac:dyDescent="0.2">
      <c r="B87" s="450"/>
    </row>
    <row r="88" spans="2:2" x14ac:dyDescent="0.2">
      <c r="B88" s="88"/>
    </row>
    <row r="91" spans="2:2" x14ac:dyDescent="0.2">
      <c r="B91" s="91"/>
    </row>
    <row r="92" spans="2:2" x14ac:dyDescent="0.2">
      <c r="B92" s="91"/>
    </row>
    <row r="93" spans="2:2" x14ac:dyDescent="0.2">
      <c r="B93" s="91"/>
    </row>
  </sheetData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9.140625"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21"/>
      <c r="M2" s="21"/>
      <c r="N2" s="21"/>
      <c r="O2" s="731"/>
      <c r="P2" s="2"/>
      <c r="Q2" s="732"/>
    </row>
    <row r="3" spans="1:17" s="1" customFormat="1" ht="15.75" x14ac:dyDescent="0.25">
      <c r="A3" s="72" t="s">
        <v>392</v>
      </c>
      <c r="B3" s="452"/>
      <c r="C3" s="2"/>
      <c r="D3" s="702" t="s">
        <v>20</v>
      </c>
      <c r="E3" s="703" t="s">
        <v>20</v>
      </c>
      <c r="F3" s="703" t="s">
        <v>20</v>
      </c>
      <c r="G3" s="703" t="s">
        <v>20</v>
      </c>
      <c r="H3" s="703" t="s">
        <v>20</v>
      </c>
      <c r="I3" s="63" t="s">
        <v>18</v>
      </c>
      <c r="J3" s="64" t="s">
        <v>18</v>
      </c>
      <c r="K3" s="110"/>
      <c r="L3" s="21"/>
      <c r="M3" s="21"/>
      <c r="N3" s="21"/>
      <c r="O3" s="62" t="str">
        <f>H3</f>
        <v>Actual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7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2"/>
      <c r="M7" s="21"/>
      <c r="N7" s="21"/>
      <c r="O7" s="21"/>
    </row>
    <row r="8" spans="1:17" s="1" customFormat="1" x14ac:dyDescent="0.2">
      <c r="A8" s="43" t="s">
        <v>37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2"/>
      <c r="M8" s="21"/>
      <c r="N8" s="21"/>
      <c r="O8" s="21"/>
    </row>
    <row r="9" spans="1:17" s="1" customFormat="1" x14ac:dyDescent="0.2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Actual</v>
      </c>
      <c r="I9" s="53" t="str">
        <f t="shared" si="1"/>
        <v>Forecast</v>
      </c>
      <c r="J9" s="728" t="str">
        <f t="shared" si="1"/>
        <v>Forecast</v>
      </c>
      <c r="K9" s="110"/>
      <c r="L9" s="2"/>
      <c r="M9" s="21"/>
      <c r="N9" s="21"/>
      <c r="O9" s="21"/>
    </row>
    <row r="10" spans="1:17" s="1" customFormat="1" x14ac:dyDescent="0.2">
      <c r="A10" s="85" t="s">
        <v>42</v>
      </c>
      <c r="B10" s="85"/>
      <c r="C10" s="106" t="str">
        <f>"Depreciated by end of  "&amp;'Data 2006-08'!$C$34&amp;""</f>
        <v>Depreciated by end of  2013</v>
      </c>
      <c r="D10" s="764">
        <f>'Data 2009-12'!D10/D$145</f>
        <v>5374639.4694873495</v>
      </c>
      <c r="E10" s="765">
        <f>'Data 2009-12'!E10/E$145</f>
        <v>5330545.8062409386</v>
      </c>
      <c r="F10" s="765">
        <f>'Data 2009-12'!F10/F$145</f>
        <v>223302.94287362954</v>
      </c>
      <c r="G10" s="765">
        <f>'Data 2009-12'!G10/G$145</f>
        <v>595948.63909495482</v>
      </c>
      <c r="H10" s="765">
        <f>'DNSP Data Inputs 2013-15'!H10/$H$145</f>
        <v>0</v>
      </c>
      <c r="I10" s="765">
        <f>'DNSP Data Inputs 2013-15'!I10/$I$145</f>
        <v>0</v>
      </c>
      <c r="J10" s="766">
        <f>'DNSP Data Inputs 2013-15'!J10/$I$145</f>
        <v>0</v>
      </c>
      <c r="K10" s="119"/>
      <c r="L10" s="2"/>
      <c r="M10" s="21"/>
      <c r="N10" s="21"/>
      <c r="O10" s="21"/>
    </row>
    <row r="11" spans="1:17" s="1" customFormat="1" x14ac:dyDescent="0.2">
      <c r="A11" s="84" t="s">
        <v>260</v>
      </c>
      <c r="B11" s="85"/>
      <c r="C11" s="316" t="str">
        <f>"Depreciated by end of  "&amp;'Data 2006-08'!$C$34&amp;""</f>
        <v>Depreciated by end of  2013</v>
      </c>
      <c r="D11" s="774">
        <f>'Data 2009-12'!D11/D$145</f>
        <v>4180326.2409206815</v>
      </c>
      <c r="E11" s="775">
        <f>'Data 2009-12'!E11/E$145</f>
        <v>5555121.1708104815</v>
      </c>
      <c r="F11" s="775">
        <f>'Data 2009-12'!F11/F$145</f>
        <v>5491.0559723023653</v>
      </c>
      <c r="G11" s="775">
        <f>'Data 2009-12'!G11/G$145</f>
        <v>61493.315252872831</v>
      </c>
      <c r="H11" s="765">
        <f>'DNSP Data Inputs 2013-15'!H11/$H$145</f>
        <v>0</v>
      </c>
      <c r="I11" s="765">
        <f>'DNSP Data Inputs 2013-15'!I11/$I$145</f>
        <v>0</v>
      </c>
      <c r="J11" s="766">
        <f>'DNSP Data Inputs 2013-15'!J11/$I$145</f>
        <v>0</v>
      </c>
      <c r="K11" s="119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5"/>
      <c r="C12" s="316">
        <f>C154</f>
        <v>15</v>
      </c>
      <c r="D12" s="774">
        <f>'Data 2009-12'!D12/D$145</f>
        <v>1159830.216960961</v>
      </c>
      <c r="E12" s="775">
        <f>'Data 2009-12'!E12/E$145</f>
        <v>27930710.455013078</v>
      </c>
      <c r="F12" s="775">
        <f>'Data 2009-12'!F12/F$145</f>
        <v>73445619.157530293</v>
      </c>
      <c r="G12" s="775">
        <f>'Data 2009-12'!G12/G$145</f>
        <v>80111884.399314359</v>
      </c>
      <c r="H12" s="765">
        <f>'DNSP Data Inputs 2013-15'!H12/$H$145</f>
        <v>81918832.412679613</v>
      </c>
      <c r="I12" s="765">
        <f>'DNSP Data Inputs 2013-15'!I12/$I$145</f>
        <v>42440392.199691281</v>
      </c>
      <c r="J12" s="766">
        <f>'DNSP Data Inputs 2013-15'!J12/$I$145</f>
        <v>6377179.6875771275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5"/>
      <c r="C13" s="316">
        <f>C155</f>
        <v>7</v>
      </c>
      <c r="D13" s="774">
        <f>'Data 2009-12'!D13/D$145</f>
        <v>25201355.539974093</v>
      </c>
      <c r="E13" s="775">
        <f>'Data 2009-12'!E13/E$145</f>
        <v>36524471.515568078</v>
      </c>
      <c r="F13" s="775">
        <f>'Data 2009-12'!F13/F$145</f>
        <v>21261434.569870315</v>
      </c>
      <c r="G13" s="775">
        <f>'Data 2009-12'!G13/G$145</f>
        <v>21785439.711631406</v>
      </c>
      <c r="H13" s="765">
        <f>'DNSP Data Inputs 2013-15'!H13/$H$145</f>
        <v>7831804.5605887966</v>
      </c>
      <c r="I13" s="765">
        <f>'DNSP Data Inputs 2013-15'!I13/$I$145</f>
        <v>8460945.5929508787</v>
      </c>
      <c r="J13" s="766">
        <f>'DNSP Data Inputs 2013-15'!J13/$I$145</f>
        <v>1901883.7444260851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8"/>
      <c r="C14" s="316">
        <f>C156</f>
        <v>7</v>
      </c>
      <c r="D14" s="774">
        <f>'Data 2009-12'!D14/D$145</f>
        <v>846395.41906306311</v>
      </c>
      <c r="E14" s="775">
        <f>'Data 2009-12'!E14/E$145</f>
        <v>8237479.2122182706</v>
      </c>
      <c r="F14" s="775">
        <f>'Data 2009-12'!F14/F$145</f>
        <v>8199395.0680438532</v>
      </c>
      <c r="G14" s="775">
        <f>'Data 2009-12'!G14/G$145</f>
        <v>21954545.919275366</v>
      </c>
      <c r="H14" s="765">
        <f>'DNSP Data Inputs 2013-15'!H14/$H$145</f>
        <v>16309185.241853025</v>
      </c>
      <c r="I14" s="765">
        <f>'DNSP Data Inputs 2013-15'!I14/$I$145</f>
        <v>0</v>
      </c>
      <c r="J14" s="766">
        <f>'DNSP Data Inputs 2013-15'!J14/$I$145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5"/>
      <c r="C15" s="107">
        <f>C157</f>
        <v>7</v>
      </c>
      <c r="D15" s="774">
        <f>'Data 2009-12'!D15/D$145</f>
        <v>0</v>
      </c>
      <c r="E15" s="775">
        <f>'Data 2009-12'!E15/E$145</f>
        <v>0</v>
      </c>
      <c r="F15" s="775">
        <f>'Data 2009-12'!F15/F$145</f>
        <v>0</v>
      </c>
      <c r="G15" s="775">
        <f>'Data 2009-12'!G15/G$145</f>
        <v>0</v>
      </c>
      <c r="H15" s="765">
        <f>'DNSP Data Inputs 2013-15'!H15/$H$145</f>
        <v>0</v>
      </c>
      <c r="I15" s="765">
        <f>'DNSP Data Inputs 2013-15'!I15/$I$145</f>
        <v>0</v>
      </c>
      <c r="J15" s="766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8" t="s">
        <v>45</v>
      </c>
      <c r="B16" s="85"/>
      <c r="C16" s="2"/>
      <c r="D16" s="11">
        <f t="shared" ref="D16:J16" si="2">SUM(D10:D15)</f>
        <v>36762546.886406146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106059822.21512143</v>
      </c>
      <c r="I16" s="12">
        <f t="shared" si="2"/>
        <v>50901337.792642161</v>
      </c>
      <c r="J16" s="13">
        <f t="shared" si="2"/>
        <v>8279063.4320032131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5"/>
      <c r="C20" s="308" t="s">
        <v>276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4" t="s">
        <v>47</v>
      </c>
      <c r="B21" s="91"/>
      <c r="C21" s="321" t="s">
        <v>48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Actual</v>
      </c>
      <c r="I21" s="53" t="str">
        <f t="shared" si="4"/>
        <v>Forecast</v>
      </c>
      <c r="J21" s="728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81918832.412679613</v>
      </c>
      <c r="I22" s="19">
        <f t="shared" si="5"/>
        <v>42440392.199691281</v>
      </c>
      <c r="J22" s="326">
        <f t="shared" si="5"/>
        <v>6377179.6875771275</v>
      </c>
      <c r="K22" s="15"/>
      <c r="L22" s="2"/>
      <c r="M22" s="21"/>
      <c r="N22" s="21"/>
      <c r="O22" s="21"/>
    </row>
    <row r="23" spans="1:15" s="1" customFormat="1" x14ac:dyDescent="0.2">
      <c r="A23" s="84" t="str">
        <f>A$163</f>
        <v>Meters and transformers (Group 2) (Unit cost =&gt; $1,000)</v>
      </c>
      <c r="B23" s="88"/>
      <c r="C23" s="323">
        <f>C163</f>
        <v>0.06</v>
      </c>
      <c r="D23" s="774">
        <f>'Data 2009-12'!D23/D$145</f>
        <v>0</v>
      </c>
      <c r="E23" s="775">
        <f>'Data 2009-12'!E23/E$145</f>
        <v>0</v>
      </c>
      <c r="F23" s="775">
        <f>'Data 2009-12'!F23/F$145</f>
        <v>0</v>
      </c>
      <c r="G23" s="775">
        <f>'Data 2009-12'!G23/G$145</f>
        <v>0</v>
      </c>
      <c r="H23" s="765">
        <f>'DNSP Data Inputs 2013-15'!H23/$H$145</f>
        <v>0</v>
      </c>
      <c r="I23" s="765">
        <f>'DNSP Data Inputs 2013-15'!I23/$I$145</f>
        <v>0</v>
      </c>
      <c r="J23" s="766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25201355.539974093</v>
      </c>
      <c r="E24" s="19">
        <f t="shared" si="6"/>
        <v>36524471.515568078</v>
      </c>
      <c r="F24" s="19">
        <f t="shared" si="6"/>
        <v>21261434.569870315</v>
      </c>
      <c r="G24" s="19">
        <f t="shared" ref="G24:J26" si="7">G13</f>
        <v>21785439.711631406</v>
      </c>
      <c r="H24" s="19">
        <f t="shared" si="7"/>
        <v>7831804.5605887966</v>
      </c>
      <c r="I24" s="19">
        <f t="shared" si="7"/>
        <v>8460945.5929508787</v>
      </c>
      <c r="J24" s="326">
        <f t="shared" si="7"/>
        <v>1901883.7444260851</v>
      </c>
      <c r="K24" s="15"/>
      <c r="L24" s="2"/>
      <c r="M24" s="21"/>
      <c r="N24" s="21"/>
      <c r="O24" s="21"/>
    </row>
    <row r="25" spans="1:15" s="1" customFormat="1" x14ac:dyDescent="0.2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16309185.241853025</v>
      </c>
      <c r="I25" s="19">
        <f t="shared" si="7"/>
        <v>0</v>
      </c>
      <c r="J25" s="326">
        <f t="shared" si="7"/>
        <v>0</v>
      </c>
      <c r="K25" s="15"/>
      <c r="L25" s="2"/>
      <c r="M25" s="21"/>
      <c r="N25" s="21"/>
      <c r="O25" s="21"/>
    </row>
    <row r="26" spans="1:15" s="1" customFormat="1" x14ac:dyDescent="0.2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8" t="s">
        <v>45</v>
      </c>
      <c r="B27" s="60"/>
      <c r="C27" s="2"/>
      <c r="D27" s="11">
        <f t="shared" ref="D27:J27" si="8">SUM(D21:D26)</f>
        <v>36762546.886406146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106059822.21512143</v>
      </c>
      <c r="I27" s="12">
        <f t="shared" si="8"/>
        <v>50901337.792642161</v>
      </c>
      <c r="J27" s="13">
        <f t="shared" si="8"/>
        <v>8279063.4320032131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2"/>
      <c r="M30" s="21"/>
      <c r="N30" s="21"/>
      <c r="O30" s="21"/>
    </row>
    <row r="31" spans="1:15" x14ac:dyDescent="0.2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2"/>
      <c r="M31" s="21"/>
      <c r="N31" s="21"/>
      <c r="O31" s="21"/>
    </row>
    <row r="32" spans="1:15" x14ac:dyDescent="0.2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Actual</v>
      </c>
      <c r="I32" s="53" t="str">
        <f t="shared" si="10"/>
        <v>Forecast</v>
      </c>
      <c r="J32" s="728" t="str">
        <f t="shared" si="10"/>
        <v>Forecast</v>
      </c>
      <c r="K32" s="110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5" t="str">
        <f t="shared" ref="A34:A39" si="11">A10</f>
        <v>Accumulation Meters</v>
      </c>
      <c r="C34" s="20"/>
      <c r="D34" s="770">
        <f>'Data 2009-12'!D34/D$145</f>
        <v>0</v>
      </c>
      <c r="E34" s="771">
        <f>'Data 2009-12'!E34/E$145</f>
        <v>0</v>
      </c>
      <c r="F34" s="771">
        <f>'Data 2009-12'!F34/F$145</f>
        <v>0</v>
      </c>
      <c r="G34" s="771">
        <f>'Data 2009-12'!G34/G$145</f>
        <v>0</v>
      </c>
      <c r="H34" s="765">
        <f>'DNSP Data Inputs 2013-15'!H34/$H$145</f>
        <v>0</v>
      </c>
      <c r="I34" s="765">
        <f>'DNSP Data Inputs 2013-15'!I34/$I$145</f>
        <v>0</v>
      </c>
      <c r="J34" s="766">
        <f>'DNSP Data Inputs 2013-15'!J34/$I$145</f>
        <v>0</v>
      </c>
      <c r="K34" s="36"/>
      <c r="M34" s="21"/>
      <c r="N34" s="21"/>
      <c r="O34" s="21"/>
    </row>
    <row r="35" spans="1:15" x14ac:dyDescent="0.2">
      <c r="A35" s="85" t="str">
        <f t="shared" si="11"/>
        <v>Manually read interval meters</v>
      </c>
      <c r="C35" s="20"/>
      <c r="D35" s="770">
        <f>'Data 2009-12'!D35/D$145</f>
        <v>0</v>
      </c>
      <c r="E35" s="771">
        <f>'Data 2009-12'!E35/E$145</f>
        <v>0</v>
      </c>
      <c r="F35" s="771">
        <f>'Data 2009-12'!F35/F$145</f>
        <v>0</v>
      </c>
      <c r="G35" s="771">
        <f>'Data 2009-12'!G35/G$145</f>
        <v>0</v>
      </c>
      <c r="H35" s="765">
        <f>'DNSP Data Inputs 2013-15'!H35/$H$145</f>
        <v>0</v>
      </c>
      <c r="I35" s="765">
        <f>'DNSP Data Inputs 2013-15'!I35/$I$145</f>
        <v>0</v>
      </c>
      <c r="J35" s="766">
        <f>'DNSP Data Inputs 2013-15'!J35/$I$145</f>
        <v>0</v>
      </c>
      <c r="K35" s="36"/>
      <c r="M35" s="21"/>
      <c r="N35" s="21"/>
      <c r="O35" s="21"/>
    </row>
    <row r="36" spans="1:15" x14ac:dyDescent="0.2">
      <c r="A36" s="85" t="str">
        <f t="shared" si="11"/>
        <v>Remotely read interval meters &amp; transformers</v>
      </c>
      <c r="C36" s="20"/>
      <c r="D36" s="770">
        <f>'Data 2009-12'!D36/D$145</f>
        <v>0</v>
      </c>
      <c r="E36" s="771">
        <f>'Data 2009-12'!E36/E$145</f>
        <v>0</v>
      </c>
      <c r="F36" s="771">
        <f>'Data 2009-12'!F36/F$145</f>
        <v>0</v>
      </c>
      <c r="G36" s="771">
        <f>'Data 2009-12'!G36/G$145</f>
        <v>0</v>
      </c>
      <c r="H36" s="765">
        <f>'DNSP Data Inputs 2013-15'!H36/$H$145</f>
        <v>0</v>
      </c>
      <c r="I36" s="765">
        <f>'DNSP Data Inputs 2013-15'!I36/$I$145</f>
        <v>0</v>
      </c>
      <c r="J36" s="766">
        <f>'DNSP Data Inputs 2013-15'!J36/$I$145</f>
        <v>0</v>
      </c>
      <c r="K36" s="36"/>
      <c r="M36" s="21"/>
      <c r="N36" s="21"/>
      <c r="O36" s="21"/>
    </row>
    <row r="37" spans="1:15" x14ac:dyDescent="0.2">
      <c r="A37" s="85" t="str">
        <f t="shared" si="11"/>
        <v>IT</v>
      </c>
      <c r="C37" s="20"/>
      <c r="D37" s="770">
        <f>'Data 2009-12'!D37/D$145</f>
        <v>0</v>
      </c>
      <c r="E37" s="771">
        <f>'Data 2009-12'!E37/E$145</f>
        <v>0</v>
      </c>
      <c r="F37" s="771">
        <f>'Data 2009-12'!F37/F$145</f>
        <v>0</v>
      </c>
      <c r="G37" s="771">
        <f>'Data 2009-12'!G37/G$145</f>
        <v>0</v>
      </c>
      <c r="H37" s="765">
        <f>'DNSP Data Inputs 2013-15'!H37/$H$145</f>
        <v>0</v>
      </c>
      <c r="I37" s="765">
        <f>'DNSP Data Inputs 2013-15'!I37/$I$145</f>
        <v>0</v>
      </c>
      <c r="J37" s="766">
        <f>'DNSP Data Inputs 2013-15'!J37/$I$145</f>
        <v>0</v>
      </c>
      <c r="K37" s="36"/>
      <c r="M37" s="21"/>
      <c r="N37" s="21"/>
      <c r="O37" s="21"/>
    </row>
    <row r="38" spans="1:15" x14ac:dyDescent="0.2">
      <c r="A38" s="85" t="str">
        <f t="shared" si="11"/>
        <v>Communications</v>
      </c>
      <c r="B38" s="453"/>
      <c r="C38" s="20"/>
      <c r="D38" s="770">
        <f>'Data 2009-12'!D38/D$145</f>
        <v>0</v>
      </c>
      <c r="E38" s="771">
        <f>'Data 2009-12'!E38/E$145</f>
        <v>0</v>
      </c>
      <c r="F38" s="771">
        <f>'Data 2009-12'!F38/F$145</f>
        <v>0</v>
      </c>
      <c r="G38" s="771">
        <f>'Data 2009-12'!G38/G$145</f>
        <v>0</v>
      </c>
      <c r="H38" s="765">
        <f>'DNSP Data Inputs 2013-15'!H38/$H$145</f>
        <v>0</v>
      </c>
      <c r="I38" s="765">
        <f>'DNSP Data Inputs 2013-15'!I38/$I$145</f>
        <v>0</v>
      </c>
      <c r="J38" s="766">
        <f>'DNSP Data Inputs 2013-15'!J38/$I$145</f>
        <v>0</v>
      </c>
      <c r="K38" s="36"/>
      <c r="M38" s="21"/>
      <c r="N38" s="21"/>
      <c r="O38" s="21"/>
    </row>
    <row r="39" spans="1:15" x14ac:dyDescent="0.2">
      <c r="A39" s="85" t="str">
        <f t="shared" si="11"/>
        <v>Other</v>
      </c>
      <c r="B39" s="454"/>
      <c r="C39" s="20"/>
      <c r="D39" s="770">
        <f>'Data 2009-12'!D39/D$145</f>
        <v>0</v>
      </c>
      <c r="E39" s="771">
        <f>'Data 2009-12'!E39/E$145</f>
        <v>0</v>
      </c>
      <c r="F39" s="771">
        <f>'Data 2009-12'!F39/F$145</f>
        <v>0</v>
      </c>
      <c r="G39" s="771">
        <f>'Data 2009-12'!G39/G$145</f>
        <v>0</v>
      </c>
      <c r="H39" s="765">
        <f>'DNSP Data Inputs 2013-15'!H39/$H$145</f>
        <v>0</v>
      </c>
      <c r="I39" s="765">
        <f>'DNSP Data Inputs 2013-15'!I39/$I$145</f>
        <v>0</v>
      </c>
      <c r="J39" s="766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ref="G40" si="14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  <c r="M42" s="2"/>
      <c r="N42" s="2"/>
      <c r="O42" s="2"/>
    </row>
    <row r="43" spans="1:15" x14ac:dyDescent="0.2">
      <c r="A43" s="85" t="str">
        <f t="shared" ref="A43:A48" si="15">A10</f>
        <v>Accumulation Meters</v>
      </c>
      <c r="C43" s="20"/>
      <c r="D43" s="770">
        <f>'Data 2009-12'!D43/D$145</f>
        <v>0</v>
      </c>
      <c r="E43" s="771">
        <f>'Data 2009-12'!E43/E$145</f>
        <v>0</v>
      </c>
      <c r="F43" s="771">
        <f>'Data 2009-12'!F43/F$145</f>
        <v>0</v>
      </c>
      <c r="G43" s="771">
        <f>'Data 2009-12'!G43/G$145</f>
        <v>0</v>
      </c>
      <c r="H43" s="765">
        <f>'DNSP Data Inputs 2013-15'!H43/$H$145</f>
        <v>0</v>
      </c>
      <c r="I43" s="765">
        <f>'DNSP Data Inputs 2013-15'!I43/$I$145</f>
        <v>0</v>
      </c>
      <c r="J43" s="766">
        <f>'DNSP Data Inputs 2013-15'!J43/$I$145</f>
        <v>0</v>
      </c>
      <c r="K43" s="36"/>
      <c r="M43" s="2"/>
      <c r="N43" s="2"/>
      <c r="O43" s="2"/>
    </row>
    <row r="44" spans="1:15" x14ac:dyDescent="0.2">
      <c r="A44" s="85" t="str">
        <f t="shared" si="15"/>
        <v>Manually read interval meters</v>
      </c>
      <c r="B44" s="454"/>
      <c r="C44" s="20"/>
      <c r="D44" s="770">
        <f>'Data 2009-12'!D44/D$145</f>
        <v>0</v>
      </c>
      <c r="E44" s="771">
        <f>'Data 2009-12'!E44/E$145</f>
        <v>0</v>
      </c>
      <c r="F44" s="771">
        <f>'Data 2009-12'!F44/F$145</f>
        <v>0</v>
      </c>
      <c r="G44" s="771">
        <f>'Data 2009-12'!G44/G$145</f>
        <v>0</v>
      </c>
      <c r="H44" s="765">
        <f>'DNSP Data Inputs 2013-15'!H44/$H$145</f>
        <v>0</v>
      </c>
      <c r="I44" s="765">
        <f>'DNSP Data Inputs 2013-15'!I44/$I$145</f>
        <v>0</v>
      </c>
      <c r="J44" s="766">
        <f>'DNSP Data Inputs 2013-15'!J44/$I$145</f>
        <v>0</v>
      </c>
      <c r="K44" s="36"/>
      <c r="M44" s="2"/>
      <c r="N44" s="2"/>
      <c r="O44" s="2"/>
    </row>
    <row r="45" spans="1:15" x14ac:dyDescent="0.2">
      <c r="A45" s="85" t="str">
        <f t="shared" si="15"/>
        <v>Remotely read interval meters &amp; transformers</v>
      </c>
      <c r="C45" s="20"/>
      <c r="D45" s="770">
        <f>'Data 2009-12'!D45/D$145</f>
        <v>0</v>
      </c>
      <c r="E45" s="771">
        <f>'Data 2009-12'!E45/E$145</f>
        <v>0</v>
      </c>
      <c r="F45" s="771">
        <f>'Data 2009-12'!F45/F$145</f>
        <v>0</v>
      </c>
      <c r="G45" s="771">
        <f>'Data 2009-12'!G45/G$145</f>
        <v>0</v>
      </c>
      <c r="H45" s="765">
        <f>'DNSP Data Inputs 2013-15'!H45/$H$145</f>
        <v>0</v>
      </c>
      <c r="I45" s="765">
        <f>'DNSP Data Inputs 2013-15'!I45/$I$145</f>
        <v>0</v>
      </c>
      <c r="J45" s="766">
        <f>'DNSP Data Inputs 2013-15'!J45/$I$145</f>
        <v>0</v>
      </c>
      <c r="K45" s="36"/>
      <c r="M45" s="2"/>
      <c r="N45" s="2"/>
      <c r="O45" s="2"/>
    </row>
    <row r="46" spans="1:15" x14ac:dyDescent="0.2">
      <c r="A46" s="85" t="str">
        <f t="shared" si="15"/>
        <v>IT</v>
      </c>
      <c r="C46" s="20"/>
      <c r="D46" s="770">
        <f>'Data 2009-12'!D46/D$145</f>
        <v>0</v>
      </c>
      <c r="E46" s="771">
        <f>'Data 2009-12'!E46/E$145</f>
        <v>0</v>
      </c>
      <c r="F46" s="771">
        <f>'Data 2009-12'!F46/F$145</f>
        <v>0</v>
      </c>
      <c r="G46" s="771">
        <f>'Data 2009-12'!G46/G$145</f>
        <v>0</v>
      </c>
      <c r="H46" s="765">
        <f>'DNSP Data Inputs 2013-15'!H46/$H$145</f>
        <v>0</v>
      </c>
      <c r="I46" s="765">
        <f>'DNSP Data Inputs 2013-15'!I46/$I$145</f>
        <v>0</v>
      </c>
      <c r="J46" s="766">
        <f>'DNSP Data Inputs 2013-15'!J46/$I$145</f>
        <v>0</v>
      </c>
      <c r="K46" s="36"/>
      <c r="M46" s="2"/>
      <c r="N46" s="2"/>
      <c r="O46" s="2"/>
    </row>
    <row r="47" spans="1:15" x14ac:dyDescent="0.2">
      <c r="A47" s="85" t="str">
        <f t="shared" si="15"/>
        <v>Communications</v>
      </c>
      <c r="B47" s="91"/>
      <c r="C47" s="20"/>
      <c r="D47" s="770">
        <f>'Data 2009-12'!D47/D$145</f>
        <v>0</v>
      </c>
      <c r="E47" s="771">
        <f>'Data 2009-12'!E47/E$145</f>
        <v>0</v>
      </c>
      <c r="F47" s="771">
        <f>'Data 2009-12'!F47/F$145</f>
        <v>0</v>
      </c>
      <c r="G47" s="771">
        <f>'Data 2009-12'!G47/G$145</f>
        <v>0</v>
      </c>
      <c r="H47" s="765">
        <f>'DNSP Data Inputs 2013-15'!H47/$H$145</f>
        <v>0</v>
      </c>
      <c r="I47" s="765">
        <f>'DNSP Data Inputs 2013-15'!I47/$I$145</f>
        <v>0</v>
      </c>
      <c r="J47" s="766">
        <f>'DNSP Data Inputs 2013-15'!J47/$I$145</f>
        <v>0</v>
      </c>
      <c r="K47" s="36"/>
      <c r="M47" s="2"/>
      <c r="N47" s="2"/>
      <c r="O47" s="2"/>
    </row>
    <row r="48" spans="1:15" x14ac:dyDescent="0.2">
      <c r="A48" s="85" t="str">
        <f t="shared" si="15"/>
        <v>Other</v>
      </c>
      <c r="C48" s="20"/>
      <c r="D48" s="772">
        <f>'Data 2009-12'!D48/D$145</f>
        <v>0</v>
      </c>
      <c r="E48" s="773">
        <f>'Data 2009-12'!E48/E$145</f>
        <v>0</v>
      </c>
      <c r="F48" s="773">
        <f>'Data 2009-12'!F48/F$145</f>
        <v>0</v>
      </c>
      <c r="G48" s="773">
        <f>'Data 2009-12'!G48/G$145</f>
        <v>0</v>
      </c>
      <c r="H48" s="765">
        <f>'DNSP Data Inputs 2013-15'!H48/$H$145</f>
        <v>0</v>
      </c>
      <c r="I48" s="765">
        <f>'DNSP Data Inputs 2013-15'!I48/$I$145</f>
        <v>0</v>
      </c>
      <c r="J48" s="766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91"/>
      <c r="C49" s="2"/>
      <c r="D49" s="327">
        <f t="shared" ref="D49:J49" si="16">SUM(D43:D48)</f>
        <v>0</v>
      </c>
      <c r="E49" s="92">
        <f t="shared" si="16"/>
        <v>0</v>
      </c>
      <c r="F49" s="92">
        <f t="shared" si="16"/>
        <v>0</v>
      </c>
      <c r="G49" s="92">
        <f t="shared" si="16"/>
        <v>0</v>
      </c>
      <c r="H49" s="92">
        <f t="shared" si="16"/>
        <v>0</v>
      </c>
      <c r="I49" s="92">
        <f t="shared" si="16"/>
        <v>0</v>
      </c>
      <c r="J49" s="328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2"/>
      <c r="M52" s="21"/>
      <c r="N52" s="21"/>
      <c r="O52" s="21"/>
    </row>
    <row r="53" spans="1:15" s="1" customFormat="1" x14ac:dyDescent="0.2">
      <c r="A53" s="43" t="s">
        <v>1</v>
      </c>
      <c r="B53" s="455"/>
      <c r="C53" s="2"/>
      <c r="D53" s="49" t="str">
        <f t="shared" ref="D53:J53" si="17">D$2</f>
        <v>Real 2008 $</v>
      </c>
      <c r="E53" s="50" t="str">
        <f t="shared" si="17"/>
        <v>Real 2008 $</v>
      </c>
      <c r="F53" s="50" t="str">
        <f t="shared" si="17"/>
        <v>Real 2008 $</v>
      </c>
      <c r="G53" s="50" t="str">
        <f t="shared" si="17"/>
        <v>Real 2008 $</v>
      </c>
      <c r="H53" s="50" t="str">
        <f t="shared" si="17"/>
        <v>Real 2008 $</v>
      </c>
      <c r="I53" s="50" t="str">
        <f t="shared" si="17"/>
        <v>Real 2008 $</v>
      </c>
      <c r="J53" s="51" t="str">
        <f t="shared" si="17"/>
        <v>Real 2008 $</v>
      </c>
      <c r="K53" s="110"/>
      <c r="L53" s="2"/>
      <c r="M53" s="21"/>
      <c r="N53" s="21"/>
      <c r="O53" s="21"/>
    </row>
    <row r="54" spans="1:15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Forecast</v>
      </c>
      <c r="J54" s="728" t="str">
        <f t="shared" si="18"/>
        <v>Forecast</v>
      </c>
      <c r="K54" s="110"/>
      <c r="L54" s="2"/>
      <c r="M54" s="21"/>
      <c r="N54" s="21"/>
      <c r="O54" s="21"/>
    </row>
    <row r="55" spans="1:15" s="1" customFormat="1" ht="13.5" thickBot="1" x14ac:dyDescent="0.25">
      <c r="A55" s="3" t="s">
        <v>407</v>
      </c>
      <c r="B55" s="85"/>
      <c r="C55" s="2"/>
      <c r="D55" s="767">
        <f>'Data 2009-12'!D55/D$145</f>
        <v>25845627.888817675</v>
      </c>
      <c r="E55" s="768">
        <f>'Data 2009-12'!E55/E$145</f>
        <v>37448295.386666842</v>
      </c>
      <c r="F55" s="768">
        <f>'Data 2009-12'!F55/F$145</f>
        <v>39179753.657996863</v>
      </c>
      <c r="G55" s="768">
        <f>'Data 2009-12'!G55/G$145</f>
        <v>35531157.247911997</v>
      </c>
      <c r="H55" s="769">
        <f>'DNSP Data Inputs 2013-15'!H55/$H$145</f>
        <v>28206455.657441419</v>
      </c>
      <c r="I55" s="788">
        <f>'DNSP Data Inputs 2013-15'!I55/$I$145+I56</f>
        <v>34159415.683568202</v>
      </c>
      <c r="J55" s="789">
        <f>'DNSP Data Inputs 2013-15'!J55/$I$145+J56</f>
        <v>33330652.418743845</v>
      </c>
      <c r="K55" s="119"/>
      <c r="L55" s="2"/>
      <c r="M55" s="21"/>
      <c r="N55" s="21"/>
      <c r="O55" s="21"/>
    </row>
    <row r="56" spans="1:15" s="1" customFormat="1" ht="13.5" thickTop="1" x14ac:dyDescent="0.2">
      <c r="A56" s="3" t="s">
        <v>397</v>
      </c>
      <c r="B56" s="453"/>
      <c r="C56" s="793"/>
      <c r="D56" s="786"/>
      <c r="E56" s="786"/>
      <c r="F56" s="786"/>
      <c r="G56" s="786"/>
      <c r="H56" s="786"/>
      <c r="I56" s="787">
        <f>'AMI RAB 2009-15'!I12*10^3*$I$133*I57</f>
        <v>225190.48847344276</v>
      </c>
      <c r="J56" s="787">
        <f>'AMI RAB 2009-15'!J12*10^3*$I$133*J57</f>
        <v>214398.69073099078</v>
      </c>
      <c r="K56" s="19"/>
      <c r="L56" s="2"/>
      <c r="M56" s="21"/>
      <c r="N56" s="21"/>
      <c r="O56" s="21"/>
    </row>
    <row r="57" spans="1:15" s="1" customFormat="1" x14ac:dyDescent="0.2">
      <c r="A57" s="785" t="s">
        <v>398</v>
      </c>
      <c r="B57" s="449"/>
      <c r="C57" s="793"/>
      <c r="D57" s="786"/>
      <c r="E57" s="786"/>
      <c r="F57" s="786"/>
      <c r="G57" s="786"/>
      <c r="H57" s="786"/>
      <c r="I57" s="794">
        <v>1.08E-3</v>
      </c>
      <c r="J57" s="794">
        <v>1.08E-3</v>
      </c>
      <c r="K57" s="19"/>
      <c r="L57" s="2"/>
      <c r="M57" s="21"/>
      <c r="N57" s="21"/>
      <c r="O57" s="21"/>
    </row>
    <row r="58" spans="1:15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47">
        <f t="shared" si="19"/>
        <v>2011</v>
      </c>
      <c r="G58" s="47">
        <f t="shared" si="19"/>
        <v>2012</v>
      </c>
      <c r="H58" s="47">
        <f t="shared" si="19"/>
        <v>2013</v>
      </c>
      <c r="I58" s="47">
        <f t="shared" si="19"/>
        <v>2014</v>
      </c>
      <c r="J58" s="48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8" t="s">
        <v>63</v>
      </c>
      <c r="B60" s="449"/>
      <c r="D60" s="796">
        <f>'Data 2009-12'!D60</f>
        <v>37927245.233500004</v>
      </c>
      <c r="E60" s="883">
        <f>'Data 2009-12'!E60</f>
        <v>65653893.745999992</v>
      </c>
      <c r="F60" s="883">
        <f>'Data 2009-12'!F60</f>
        <v>73478180.732400015</v>
      </c>
      <c r="G60" s="883">
        <f>'Data 2009-12'!G60</f>
        <v>83599356</v>
      </c>
      <c r="H60" s="797">
        <f>'DNSP Data Inputs 2013-15'!H60</f>
        <v>101332753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0" t="s">
        <v>286</v>
      </c>
      <c r="B65" s="88"/>
      <c r="D65" s="20"/>
      <c r="E65" s="974" t="s">
        <v>384</v>
      </c>
      <c r="F65" s="991"/>
      <c r="G65" s="991"/>
      <c r="H65" s="991"/>
      <c r="I65" s="991"/>
      <c r="J65" s="975"/>
      <c r="K65" s="32"/>
      <c r="L65" s="2"/>
      <c r="O65" s="974" t="s">
        <v>23</v>
      </c>
      <c r="P65" s="992"/>
      <c r="Q65" s="976"/>
    </row>
    <row r="66" spans="1:17" x14ac:dyDescent="0.2">
      <c r="L66" s="2"/>
    </row>
    <row r="67" spans="1:17" x14ac:dyDescent="0.2">
      <c r="D67" s="56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6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D68" s="309"/>
      <c r="E68" s="733" t="s">
        <v>20</v>
      </c>
      <c r="F68" s="734" t="s">
        <v>20</v>
      </c>
      <c r="G68" s="734" t="s">
        <v>20</v>
      </c>
      <c r="H68" s="734" t="s">
        <v>20</v>
      </c>
      <c r="I68" s="734" t="s">
        <v>20</v>
      </c>
      <c r="J68" s="735" t="s">
        <v>21</v>
      </c>
      <c r="K68" s="110"/>
      <c r="L68" s="2"/>
      <c r="M68" s="2"/>
      <c r="N68" s="2"/>
      <c r="O68" s="690" t="str">
        <f>O$3</f>
        <v>Actual</v>
      </c>
      <c r="P68" s="736" t="str">
        <f>P$3</f>
        <v>Forecast</v>
      </c>
      <c r="Q68" s="737" t="str">
        <f>Q$3</f>
        <v>Forecast</v>
      </c>
    </row>
    <row r="69" spans="1:17" x14ac:dyDescent="0.2">
      <c r="B69" s="1"/>
      <c r="D69" s="309"/>
      <c r="E69" s="718" t="s">
        <v>22</v>
      </c>
      <c r="F69" s="713" t="s">
        <v>22</v>
      </c>
      <c r="G69" s="728" t="s">
        <v>22</v>
      </c>
      <c r="H69" s="728" t="s">
        <v>22</v>
      </c>
      <c r="I69" s="728" t="s">
        <v>22</v>
      </c>
      <c r="J69" s="728" t="s">
        <v>22</v>
      </c>
      <c r="K69" s="110"/>
      <c r="L69" s="2"/>
      <c r="M69" s="2"/>
      <c r="N69" s="2"/>
      <c r="O69" s="718"/>
      <c r="P69" s="738"/>
      <c r="Q69" s="739"/>
    </row>
    <row r="70" spans="1:17" x14ac:dyDescent="0.2">
      <c r="B70" s="91"/>
      <c r="D70" s="20"/>
      <c r="E70" s="39"/>
      <c r="F70" s="743"/>
      <c r="G70" s="743"/>
      <c r="H70" s="20"/>
      <c r="I70" s="20"/>
      <c r="J70" s="40"/>
      <c r="K70" s="2"/>
      <c r="L70" s="2"/>
      <c r="M70" s="2"/>
      <c r="N70" s="2"/>
      <c r="O70" s="39"/>
      <c r="P70" s="743"/>
      <c r="Q70" s="40"/>
    </row>
    <row r="71" spans="1:17" x14ac:dyDescent="0.2">
      <c r="A71" s="90" t="s">
        <v>24</v>
      </c>
      <c r="B71" s="91"/>
      <c r="D71" s="332"/>
      <c r="E71" s="340" t="s">
        <v>25</v>
      </c>
      <c r="F71" s="700"/>
      <c r="G71" s="700"/>
      <c r="H71" s="700"/>
      <c r="I71" s="700"/>
      <c r="J71" s="123"/>
      <c r="K71" s="120"/>
      <c r="L71" s="2"/>
      <c r="M71" s="2"/>
      <c r="N71" s="2"/>
      <c r="O71" s="23"/>
      <c r="P71" s="20"/>
      <c r="Q71" s="729"/>
    </row>
    <row r="72" spans="1:17" x14ac:dyDescent="0.2">
      <c r="A72" s="84" t="s">
        <v>26</v>
      </c>
      <c r="B72" s="55"/>
      <c r="D72" s="338"/>
      <c r="E72" s="715">
        <v>0</v>
      </c>
      <c r="F72" s="741">
        <v>0</v>
      </c>
      <c r="G72" s="741">
        <v>0</v>
      </c>
      <c r="H72" s="741">
        <v>0</v>
      </c>
      <c r="I72" s="741">
        <v>0</v>
      </c>
      <c r="J72" s="695">
        <f>'DNSP Data Inputs 2013-15'!J72</f>
        <v>0</v>
      </c>
      <c r="K72" s="121"/>
      <c r="L72" s="2"/>
      <c r="M72" s="2"/>
      <c r="N72" s="2"/>
      <c r="O72" s="691">
        <f>'DNSP Data Inputs 2013-15'!O72</f>
        <v>0</v>
      </c>
      <c r="P72" s="744">
        <f>'DNSP Data Inputs 2013-15'!P72</f>
        <v>0</v>
      </c>
      <c r="Q72" s="692">
        <f>'DNSP Data Inputs 2013-15'!Q72</f>
        <v>0</v>
      </c>
    </row>
    <row r="73" spans="1:17" x14ac:dyDescent="0.2">
      <c r="A73" s="84" t="s">
        <v>27</v>
      </c>
      <c r="B73" s="451"/>
      <c r="D73" s="338"/>
      <c r="E73" s="715">
        <v>0</v>
      </c>
      <c r="F73" s="741">
        <v>0</v>
      </c>
      <c r="G73" s="741">
        <v>0</v>
      </c>
      <c r="H73" s="741">
        <v>0</v>
      </c>
      <c r="I73" s="741">
        <v>0</v>
      </c>
      <c r="J73" s="695">
        <f>'DNSP Data Inputs 2013-15'!J73</f>
        <v>0</v>
      </c>
      <c r="K73" s="121"/>
      <c r="L73" s="2"/>
      <c r="M73" s="2"/>
      <c r="N73" s="2"/>
      <c r="O73" s="691">
        <f>'DNSP Data Inputs 2013-15'!O73</f>
        <v>0</v>
      </c>
      <c r="P73" s="744">
        <f>'DNSP Data Inputs 2013-15'!P73</f>
        <v>0</v>
      </c>
      <c r="Q73" s="692">
        <f>'DNSP Data Inputs 2013-15'!Q73</f>
        <v>0</v>
      </c>
    </row>
    <row r="74" spans="1:17" x14ac:dyDescent="0.2">
      <c r="A74" s="565" t="s">
        <v>370</v>
      </c>
      <c r="B74" s="2"/>
      <c r="D74" s="338"/>
      <c r="E74" s="715">
        <v>0</v>
      </c>
      <c r="F74" s="741">
        <v>0</v>
      </c>
      <c r="G74" s="741">
        <v>0</v>
      </c>
      <c r="H74" s="741">
        <v>0</v>
      </c>
      <c r="I74" s="741">
        <v>0</v>
      </c>
      <c r="J74" s="695">
        <f>'DNSP Data Inputs 2013-15'!J74</f>
        <v>0</v>
      </c>
      <c r="K74" s="121"/>
      <c r="L74" s="2"/>
      <c r="M74" s="2"/>
      <c r="N74" s="2"/>
      <c r="O74" s="691">
        <f>'DNSP Data Inputs 2013-15'!O74</f>
        <v>0</v>
      </c>
      <c r="P74" s="744">
        <f>'DNSP Data Inputs 2013-15'!P74</f>
        <v>0</v>
      </c>
      <c r="Q74" s="692">
        <f>'DNSP Data Inputs 2013-15'!Q74</f>
        <v>0</v>
      </c>
    </row>
    <row r="75" spans="1:17" x14ac:dyDescent="0.2">
      <c r="A75" s="565" t="s">
        <v>371</v>
      </c>
      <c r="D75" s="338"/>
      <c r="E75" s="715">
        <v>0</v>
      </c>
      <c r="F75" s="741">
        <v>0</v>
      </c>
      <c r="G75" s="741">
        <v>0</v>
      </c>
      <c r="H75" s="741">
        <v>0</v>
      </c>
      <c r="I75" s="741">
        <v>0</v>
      </c>
      <c r="J75" s="695">
        <f>'DNSP Data Inputs 2013-15'!J75</f>
        <v>0</v>
      </c>
      <c r="K75" s="121"/>
      <c r="L75" s="2"/>
      <c r="M75" s="2"/>
      <c r="N75" s="2"/>
      <c r="O75" s="691">
        <f>'DNSP Data Inputs 2013-15'!O75</f>
        <v>0</v>
      </c>
      <c r="P75" s="744">
        <f>'DNSP Data Inputs 2013-15'!P75</f>
        <v>0</v>
      </c>
      <c r="Q75" s="692">
        <f>'DNSP Data Inputs 2013-15'!Q75</f>
        <v>0</v>
      </c>
    </row>
    <row r="76" spans="1:17" x14ac:dyDescent="0.2">
      <c r="A76" s="565" t="s">
        <v>372</v>
      </c>
      <c r="D76" s="338"/>
      <c r="E76" s="715">
        <v>0</v>
      </c>
      <c r="F76" s="741">
        <v>0</v>
      </c>
      <c r="G76" s="741">
        <v>0</v>
      </c>
      <c r="H76" s="741">
        <v>0</v>
      </c>
      <c r="I76" s="741">
        <v>0</v>
      </c>
      <c r="J76" s="695">
        <f>'DNSP Data Inputs 2013-15'!J76</f>
        <v>0</v>
      </c>
      <c r="K76" s="121"/>
      <c r="L76" s="2"/>
      <c r="M76" s="2"/>
      <c r="N76" s="2"/>
      <c r="O76" s="691">
        <f>'DNSP Data Inputs 2013-15'!O76</f>
        <v>0</v>
      </c>
      <c r="P76" s="744">
        <f>'DNSP Data Inputs 2013-15'!P76</f>
        <v>0</v>
      </c>
      <c r="Q76" s="692">
        <f>'DNSP Data Inputs 2013-15'!Q76</f>
        <v>0</v>
      </c>
    </row>
    <row r="77" spans="1:17" x14ac:dyDescent="0.2">
      <c r="A77" s="565" t="s">
        <v>373</v>
      </c>
      <c r="B77" s="2"/>
      <c r="D77" s="338"/>
      <c r="E77" s="715">
        <v>0</v>
      </c>
      <c r="F77" s="741">
        <v>0</v>
      </c>
      <c r="G77" s="741">
        <v>0</v>
      </c>
      <c r="H77" s="741">
        <v>0</v>
      </c>
      <c r="I77" s="741">
        <v>0</v>
      </c>
      <c r="J77" s="695">
        <f>'DNSP Data Inputs 2013-15'!J77</f>
        <v>0</v>
      </c>
      <c r="K77" s="121"/>
      <c r="L77" s="2"/>
      <c r="M77" s="2"/>
      <c r="N77" s="2"/>
      <c r="O77" s="691">
        <f>'DNSP Data Inputs 2013-15'!O77</f>
        <v>0</v>
      </c>
      <c r="P77" s="744">
        <f>'DNSP Data Inputs 2013-15'!P77</f>
        <v>0</v>
      </c>
      <c r="Q77" s="692">
        <f>'DNSP Data Inputs 2013-15'!Q77</f>
        <v>0</v>
      </c>
    </row>
    <row r="78" spans="1:17" x14ac:dyDescent="0.2">
      <c r="A78" s="565" t="s">
        <v>374</v>
      </c>
      <c r="B78" s="88"/>
      <c r="D78" s="338"/>
      <c r="E78" s="715">
        <v>0</v>
      </c>
      <c r="F78" s="741">
        <v>0</v>
      </c>
      <c r="G78" s="741">
        <v>0</v>
      </c>
      <c r="H78" s="741">
        <v>0</v>
      </c>
      <c r="I78" s="741">
        <v>0</v>
      </c>
      <c r="J78" s="695">
        <f>'DNSP Data Inputs 2013-15'!J78</f>
        <v>0</v>
      </c>
      <c r="K78" s="121"/>
      <c r="L78" s="2"/>
      <c r="M78" s="2"/>
      <c r="N78" s="2"/>
      <c r="O78" s="691">
        <f>'DNSP Data Inputs 2013-15'!O78</f>
        <v>0</v>
      </c>
      <c r="P78" s="744">
        <f>'DNSP Data Inputs 2013-15'!P78</f>
        <v>0</v>
      </c>
      <c r="Q78" s="692">
        <f>'DNSP Data Inputs 2013-15'!Q78</f>
        <v>0</v>
      </c>
    </row>
    <row r="79" spans="1:17" x14ac:dyDescent="0.2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3"/>
      <c r="P79" s="20"/>
      <c r="Q79" s="729"/>
    </row>
    <row r="80" spans="1:17" x14ac:dyDescent="0.2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3"/>
      <c r="P80" s="20"/>
      <c r="Q80" s="729"/>
    </row>
    <row r="81" spans="1:17" x14ac:dyDescent="0.2">
      <c r="A81" s="90" t="s">
        <v>24</v>
      </c>
      <c r="B81" s="320"/>
      <c r="D81" s="332"/>
      <c r="E81" s="521" t="s">
        <v>28</v>
      </c>
      <c r="F81" s="701"/>
      <c r="G81" s="701"/>
      <c r="H81" s="701"/>
      <c r="I81" s="701"/>
      <c r="J81" s="336"/>
      <c r="K81" s="120"/>
      <c r="L81" s="2"/>
      <c r="M81" s="2"/>
      <c r="N81" s="2"/>
      <c r="O81" s="23"/>
      <c r="P81" s="20"/>
      <c r="Q81" s="729"/>
    </row>
    <row r="82" spans="1:17" x14ac:dyDescent="0.2">
      <c r="A82" s="84" t="s">
        <v>26</v>
      </c>
      <c r="B82" s="320"/>
      <c r="D82" s="334"/>
      <c r="E82" s="715">
        <v>0</v>
      </c>
      <c r="F82" s="741">
        <v>0</v>
      </c>
      <c r="G82" s="741">
        <v>0</v>
      </c>
      <c r="H82" s="741">
        <v>0</v>
      </c>
      <c r="I82" s="741">
        <v>0</v>
      </c>
      <c r="J82" s="695">
        <f>'DNSP Data Inputs 2013-15'!J82</f>
        <v>0</v>
      </c>
      <c r="K82" s="121"/>
      <c r="L82" s="2"/>
      <c r="M82" s="2"/>
      <c r="N82" s="2"/>
      <c r="O82" s="691">
        <f>'DNSP Data Inputs 2013-15'!O82</f>
        <v>0</v>
      </c>
      <c r="P82" s="744">
        <f>'DNSP Data Inputs 2013-15'!P82</f>
        <v>0</v>
      </c>
      <c r="Q82" s="692">
        <f>'DNSP Data Inputs 2013-15'!Q82</f>
        <v>0</v>
      </c>
    </row>
    <row r="83" spans="1:17" x14ac:dyDescent="0.2">
      <c r="A83" s="84" t="s">
        <v>27</v>
      </c>
      <c r="B83" s="433"/>
      <c r="D83" s="334"/>
      <c r="E83" s="715">
        <v>0</v>
      </c>
      <c r="F83" s="741">
        <v>0</v>
      </c>
      <c r="G83" s="741">
        <v>0</v>
      </c>
      <c r="H83" s="741">
        <v>0</v>
      </c>
      <c r="I83" s="741">
        <v>0</v>
      </c>
      <c r="J83" s="695">
        <f>'DNSP Data Inputs 2013-15'!J83</f>
        <v>0</v>
      </c>
      <c r="K83" s="121"/>
      <c r="L83" s="2"/>
      <c r="M83" s="2"/>
      <c r="N83" s="2"/>
      <c r="O83" s="691">
        <f>'DNSP Data Inputs 2013-15'!O83</f>
        <v>0</v>
      </c>
      <c r="P83" s="744">
        <f>'DNSP Data Inputs 2013-15'!P83</f>
        <v>0</v>
      </c>
      <c r="Q83" s="692">
        <f>'DNSP Data Inputs 2013-15'!Q83</f>
        <v>0</v>
      </c>
    </row>
    <row r="84" spans="1:17" x14ac:dyDescent="0.2">
      <c r="A84" s="565" t="s">
        <v>370</v>
      </c>
      <c r="D84" s="338"/>
      <c r="E84" s="715">
        <v>0</v>
      </c>
      <c r="F84" s="741">
        <v>0</v>
      </c>
      <c r="G84" s="741">
        <v>0</v>
      </c>
      <c r="H84" s="741">
        <v>0</v>
      </c>
      <c r="I84" s="741">
        <v>0</v>
      </c>
      <c r="J84" s="695">
        <f>'DNSP Data Inputs 2013-15'!J84</f>
        <v>0</v>
      </c>
      <c r="K84" s="121"/>
      <c r="L84" s="2"/>
      <c r="M84" s="2"/>
      <c r="N84" s="2"/>
      <c r="O84" s="691">
        <f>'DNSP Data Inputs 2013-15'!O84</f>
        <v>0</v>
      </c>
      <c r="P84" s="744">
        <f>'DNSP Data Inputs 2013-15'!P84</f>
        <v>0</v>
      </c>
      <c r="Q84" s="692">
        <f>'DNSP Data Inputs 2013-15'!Q84</f>
        <v>0</v>
      </c>
    </row>
    <row r="85" spans="1:17" x14ac:dyDescent="0.2">
      <c r="A85" s="565" t="s">
        <v>371</v>
      </c>
      <c r="D85" s="338"/>
      <c r="E85" s="715">
        <v>0</v>
      </c>
      <c r="F85" s="741">
        <v>0</v>
      </c>
      <c r="G85" s="741">
        <v>0</v>
      </c>
      <c r="H85" s="741">
        <v>0</v>
      </c>
      <c r="I85" s="741">
        <v>0</v>
      </c>
      <c r="J85" s="695">
        <f>'DNSP Data Inputs 2013-15'!J85</f>
        <v>0</v>
      </c>
      <c r="K85" s="121"/>
      <c r="L85" s="2"/>
      <c r="M85" s="2"/>
      <c r="N85" s="2"/>
      <c r="O85" s="691">
        <f>'DNSP Data Inputs 2013-15'!O85</f>
        <v>0</v>
      </c>
      <c r="P85" s="744">
        <f>'DNSP Data Inputs 2013-15'!P85</f>
        <v>0</v>
      </c>
      <c r="Q85" s="692">
        <f>'DNSP Data Inputs 2013-15'!Q85</f>
        <v>0</v>
      </c>
    </row>
    <row r="86" spans="1:17" x14ac:dyDescent="0.2">
      <c r="A86" s="565" t="s">
        <v>372</v>
      </c>
      <c r="D86" s="338"/>
      <c r="E86" s="715">
        <v>0</v>
      </c>
      <c r="F86" s="741">
        <v>0</v>
      </c>
      <c r="G86" s="741">
        <v>0</v>
      </c>
      <c r="H86" s="741">
        <v>0</v>
      </c>
      <c r="I86" s="741">
        <v>0</v>
      </c>
      <c r="J86" s="695">
        <f>'DNSP Data Inputs 2013-15'!J86</f>
        <v>0</v>
      </c>
      <c r="K86" s="121"/>
      <c r="L86" s="2"/>
      <c r="M86" s="2"/>
      <c r="N86" s="2"/>
      <c r="O86" s="691">
        <f>'DNSP Data Inputs 2013-15'!O86</f>
        <v>0</v>
      </c>
      <c r="P86" s="744">
        <f>'DNSP Data Inputs 2013-15'!P86</f>
        <v>0</v>
      </c>
      <c r="Q86" s="692">
        <f>'DNSP Data Inputs 2013-15'!Q86</f>
        <v>0</v>
      </c>
    </row>
    <row r="87" spans="1:17" x14ac:dyDescent="0.2">
      <c r="A87" s="565" t="s">
        <v>373</v>
      </c>
      <c r="D87" s="338"/>
      <c r="E87" s="715">
        <v>0</v>
      </c>
      <c r="F87" s="741">
        <v>0</v>
      </c>
      <c r="G87" s="741">
        <v>0</v>
      </c>
      <c r="H87" s="741">
        <v>0</v>
      </c>
      <c r="I87" s="741">
        <v>0</v>
      </c>
      <c r="J87" s="695">
        <f>'DNSP Data Inputs 2013-15'!J87</f>
        <v>0</v>
      </c>
      <c r="K87" s="121"/>
      <c r="L87" s="2"/>
      <c r="M87" s="2"/>
      <c r="N87" s="2"/>
      <c r="O87" s="691">
        <f>'DNSP Data Inputs 2013-15'!O87</f>
        <v>0</v>
      </c>
      <c r="P87" s="744">
        <f>'DNSP Data Inputs 2013-15'!P87</f>
        <v>0</v>
      </c>
      <c r="Q87" s="692">
        <f>'DNSP Data Inputs 2013-15'!Q87</f>
        <v>0</v>
      </c>
    </row>
    <row r="88" spans="1:17" x14ac:dyDescent="0.2">
      <c r="A88" s="565" t="s">
        <v>374</v>
      </c>
      <c r="B88" s="108"/>
      <c r="D88" s="338"/>
      <c r="E88" s="715">
        <v>0</v>
      </c>
      <c r="F88" s="741">
        <v>0</v>
      </c>
      <c r="G88" s="741">
        <v>0</v>
      </c>
      <c r="H88" s="741">
        <v>0</v>
      </c>
      <c r="I88" s="741">
        <v>0</v>
      </c>
      <c r="J88" s="695">
        <f>'DNSP Data Inputs 2013-15'!J88</f>
        <v>0</v>
      </c>
      <c r="K88" s="121"/>
      <c r="L88" s="2"/>
      <c r="M88" s="2"/>
      <c r="N88" s="2"/>
      <c r="O88" s="691">
        <f>'DNSP Data Inputs 2013-15'!O88</f>
        <v>0</v>
      </c>
      <c r="P88" s="744">
        <f>'DNSP Data Inputs 2013-15'!P88</f>
        <v>0</v>
      </c>
      <c r="Q88" s="692">
        <f>'DNSP Data Inputs 2013-15'!Q88</f>
        <v>0</v>
      </c>
    </row>
    <row r="89" spans="1:17" x14ac:dyDescent="0.2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3"/>
      <c r="P89" s="20"/>
      <c r="Q89" s="729"/>
    </row>
    <row r="90" spans="1:17" x14ac:dyDescent="0.2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3"/>
      <c r="P90" s="20"/>
      <c r="Q90" s="729"/>
    </row>
    <row r="91" spans="1:17" x14ac:dyDescent="0.2">
      <c r="A91" s="90" t="s">
        <v>29</v>
      </c>
      <c r="B91" s="93"/>
      <c r="D91" s="332"/>
      <c r="E91" s="340" t="s">
        <v>25</v>
      </c>
      <c r="F91" s="701"/>
      <c r="G91" s="701"/>
      <c r="H91" s="701"/>
      <c r="I91" s="701"/>
      <c r="J91" s="336"/>
      <c r="K91" s="120"/>
      <c r="L91" s="2"/>
      <c r="M91" s="2"/>
      <c r="N91" s="2"/>
      <c r="O91" s="23"/>
      <c r="P91" s="20"/>
      <c r="Q91" s="729"/>
    </row>
    <row r="92" spans="1:17" x14ac:dyDescent="0.2">
      <c r="A92" s="84" t="s">
        <v>30</v>
      </c>
      <c r="B92" s="91"/>
      <c r="D92" s="338"/>
      <c r="E92" s="715">
        <v>0</v>
      </c>
      <c r="F92" s="741">
        <v>0</v>
      </c>
      <c r="G92" s="741">
        <v>0</v>
      </c>
      <c r="H92" s="741">
        <v>0</v>
      </c>
      <c r="I92" s="741">
        <v>0</v>
      </c>
      <c r="J92" s="695">
        <f>'DNSP Data Inputs 2013-15'!J92</f>
        <v>0</v>
      </c>
      <c r="K92" s="121"/>
      <c r="L92" s="2"/>
      <c r="M92" s="2"/>
      <c r="N92" s="2"/>
      <c r="O92" s="691">
        <f>'DNSP Data Inputs 2013-15'!O92</f>
        <v>0</v>
      </c>
      <c r="P92" s="744">
        <f>'DNSP Data Inputs 2013-15'!P92</f>
        <v>0</v>
      </c>
      <c r="Q92" s="692">
        <f>'DNSP Data Inputs 2013-15'!Q92</f>
        <v>0</v>
      </c>
    </row>
    <row r="93" spans="1:17" x14ac:dyDescent="0.2">
      <c r="A93" s="84" t="s">
        <v>31</v>
      </c>
      <c r="B93" s="86"/>
      <c r="D93" s="338"/>
      <c r="E93" s="715">
        <v>0</v>
      </c>
      <c r="F93" s="741">
        <v>0</v>
      </c>
      <c r="G93" s="741">
        <v>0</v>
      </c>
      <c r="H93" s="741">
        <v>0</v>
      </c>
      <c r="I93" s="741">
        <v>0</v>
      </c>
      <c r="J93" s="695">
        <f>'DNSP Data Inputs 2013-15'!J93</f>
        <v>0</v>
      </c>
      <c r="K93" s="121"/>
      <c r="L93" s="2"/>
      <c r="M93" s="2"/>
      <c r="N93" s="2"/>
      <c r="O93" s="691">
        <f>'DNSP Data Inputs 2013-15'!O93</f>
        <v>0</v>
      </c>
      <c r="P93" s="744">
        <f>'DNSP Data Inputs 2013-15'!P93</f>
        <v>0</v>
      </c>
      <c r="Q93" s="692">
        <f>'DNSP Data Inputs 2013-15'!Q93</f>
        <v>0</v>
      </c>
    </row>
    <row r="94" spans="1:17" x14ac:dyDescent="0.2">
      <c r="A94" s="84" t="s">
        <v>32</v>
      </c>
      <c r="B94" s="91"/>
      <c r="D94" s="338"/>
      <c r="E94" s="715">
        <v>0</v>
      </c>
      <c r="F94" s="741">
        <v>0</v>
      </c>
      <c r="G94" s="741">
        <v>0</v>
      </c>
      <c r="H94" s="741">
        <v>0</v>
      </c>
      <c r="I94" s="741">
        <v>0</v>
      </c>
      <c r="J94" s="695">
        <f>'DNSP Data Inputs 2013-15'!J94</f>
        <v>0</v>
      </c>
      <c r="K94" s="121"/>
      <c r="L94" s="2"/>
      <c r="M94" s="2"/>
      <c r="N94" s="2"/>
      <c r="O94" s="691">
        <f>'DNSP Data Inputs 2013-15'!O94</f>
        <v>0</v>
      </c>
      <c r="P94" s="744">
        <f>'DNSP Data Inputs 2013-15'!P94</f>
        <v>0</v>
      </c>
      <c r="Q94" s="692">
        <f>'DNSP Data Inputs 2013-15'!Q94</f>
        <v>0</v>
      </c>
    </row>
    <row r="95" spans="1:17" x14ac:dyDescent="0.2">
      <c r="A95" s="84" t="s">
        <v>33</v>
      </c>
      <c r="B95" s="93"/>
      <c r="D95" s="338"/>
      <c r="E95" s="715">
        <v>0</v>
      </c>
      <c r="F95" s="741">
        <v>0</v>
      </c>
      <c r="G95" s="741">
        <v>0</v>
      </c>
      <c r="H95" s="741">
        <v>0</v>
      </c>
      <c r="I95" s="741">
        <v>0</v>
      </c>
      <c r="J95" s="695">
        <f>'DNSP Data Inputs 2013-15'!J95</f>
        <v>0</v>
      </c>
      <c r="K95" s="121"/>
      <c r="L95" s="2"/>
      <c r="M95" s="2"/>
      <c r="N95" s="2"/>
      <c r="O95" s="691">
        <f>'DNSP Data Inputs 2013-15'!O95</f>
        <v>0</v>
      </c>
      <c r="P95" s="744">
        <f>'DNSP Data Inputs 2013-15'!P95</f>
        <v>0</v>
      </c>
      <c r="Q95" s="692">
        <f>'DNSP Data Inputs 2013-15'!Q95</f>
        <v>0</v>
      </c>
    </row>
    <row r="96" spans="1:17" x14ac:dyDescent="0.2">
      <c r="A96" s="84" t="s">
        <v>34</v>
      </c>
      <c r="B96" s="93"/>
      <c r="D96" s="338"/>
      <c r="E96" s="715">
        <v>0</v>
      </c>
      <c r="F96" s="741">
        <v>0</v>
      </c>
      <c r="G96" s="741">
        <v>0</v>
      </c>
      <c r="H96" s="741">
        <v>0</v>
      </c>
      <c r="I96" s="741">
        <v>0</v>
      </c>
      <c r="J96" s="695">
        <f>'DNSP Data Inputs 2013-15'!J96</f>
        <v>0</v>
      </c>
      <c r="K96" s="121"/>
      <c r="L96" s="2"/>
      <c r="M96" s="2"/>
      <c r="N96" s="2"/>
      <c r="O96" s="691">
        <f>'DNSP Data Inputs 2013-15'!O96</f>
        <v>0</v>
      </c>
      <c r="P96" s="744">
        <f>'DNSP Data Inputs 2013-15'!P96</f>
        <v>0</v>
      </c>
      <c r="Q96" s="692">
        <f>'DNSP Data Inputs 2013-15'!Q96</f>
        <v>0</v>
      </c>
    </row>
    <row r="97" spans="1:17" x14ac:dyDescent="0.2">
      <c r="A97" s="84" t="s">
        <v>35</v>
      </c>
      <c r="B97" s="93"/>
      <c r="D97" s="338"/>
      <c r="E97" s="715">
        <v>0</v>
      </c>
      <c r="F97" s="741">
        <v>0</v>
      </c>
      <c r="G97" s="741">
        <v>0</v>
      </c>
      <c r="H97" s="741">
        <v>0</v>
      </c>
      <c r="I97" s="741">
        <v>0</v>
      </c>
      <c r="J97" s="695">
        <f>'DNSP Data Inputs 2013-15'!J97</f>
        <v>0</v>
      </c>
      <c r="K97" s="121"/>
      <c r="L97" s="2"/>
      <c r="M97" s="2"/>
      <c r="N97" s="2"/>
      <c r="O97" s="691">
        <f>'DNSP Data Inputs 2013-15'!O97</f>
        <v>0</v>
      </c>
      <c r="P97" s="744">
        <f>'DNSP Data Inputs 2013-15'!P97</f>
        <v>0</v>
      </c>
      <c r="Q97" s="692">
        <f>'DNSP Data Inputs 2013-15'!Q97</f>
        <v>0</v>
      </c>
    </row>
    <row r="98" spans="1:17" x14ac:dyDescent="0.2">
      <c r="A98" s="565" t="s">
        <v>375</v>
      </c>
      <c r="B98" s="93"/>
      <c r="D98" s="338"/>
      <c r="E98" s="746">
        <f t="shared" ref="E98:F102" si="21">E185</f>
        <v>86.1</v>
      </c>
      <c r="F98" s="740">
        <f t="shared" si="21"/>
        <v>93.83</v>
      </c>
      <c r="G98" s="740">
        <f t="shared" ref="G98:H98" si="22">G185</f>
        <v>107.25</v>
      </c>
      <c r="H98" s="740">
        <f t="shared" si="22"/>
        <v>130.44999999999999</v>
      </c>
      <c r="I98" s="740">
        <f t="shared" ref="I98" si="23">I185</f>
        <v>160.21</v>
      </c>
      <c r="J98" s="695">
        <f>'DNSP Data Inputs 2013-15'!J98</f>
        <v>205.54</v>
      </c>
      <c r="K98" s="121"/>
      <c r="L98" s="2"/>
      <c r="M98" s="2"/>
      <c r="N98" s="2"/>
      <c r="O98" s="691">
        <f>'DNSP Data Inputs 2013-15'!O98</f>
        <v>0</v>
      </c>
      <c r="P98" s="744">
        <f>'DNSP Data Inputs 2013-15'!P98</f>
        <v>398557.46675785119</v>
      </c>
      <c r="Q98" s="692">
        <f>'DNSP Data Inputs 2013-15'!Q98</f>
        <v>406120.02995804162</v>
      </c>
    </row>
    <row r="99" spans="1:17" x14ac:dyDescent="0.2">
      <c r="A99" s="565" t="s">
        <v>376</v>
      </c>
      <c r="B99" s="93"/>
      <c r="D99" s="338"/>
      <c r="E99" s="746">
        <f t="shared" si="21"/>
        <v>98.93</v>
      </c>
      <c r="F99" s="740">
        <f t="shared" si="21"/>
        <v>107.81</v>
      </c>
      <c r="G99" s="740">
        <f t="shared" ref="G99:H99" si="24">G186</f>
        <v>123.24</v>
      </c>
      <c r="H99" s="740">
        <f t="shared" si="24"/>
        <v>149.9</v>
      </c>
      <c r="I99" s="740">
        <f t="shared" ref="I99" si="25">I186</f>
        <v>184.1</v>
      </c>
      <c r="J99" s="695">
        <f>'DNSP Data Inputs 2013-15'!J99</f>
        <v>236.19</v>
      </c>
      <c r="K99" s="121"/>
      <c r="L99" s="2"/>
      <c r="M99" s="2"/>
      <c r="N99" s="2"/>
      <c r="O99" s="691">
        <f>'DNSP Data Inputs 2013-15'!O99</f>
        <v>0</v>
      </c>
      <c r="P99" s="744">
        <f>'DNSP Data Inputs 2013-15'!P99</f>
        <v>156548.59239537409</v>
      </c>
      <c r="Q99" s="692">
        <f>'DNSP Data Inputs 2013-15'!Q99</f>
        <v>157702.89891689076</v>
      </c>
    </row>
    <row r="100" spans="1:17" x14ac:dyDescent="0.2">
      <c r="A100" s="565" t="s">
        <v>377</v>
      </c>
      <c r="B100" s="93"/>
      <c r="D100" s="338"/>
      <c r="E100" s="746">
        <f t="shared" si="21"/>
        <v>119.51</v>
      </c>
      <c r="F100" s="740">
        <f t="shared" si="21"/>
        <v>130.25</v>
      </c>
      <c r="G100" s="740">
        <f t="shared" ref="G100:H100" si="26">G187</f>
        <v>148.88999999999999</v>
      </c>
      <c r="H100" s="740">
        <f t="shared" si="26"/>
        <v>181.1</v>
      </c>
      <c r="I100" s="740">
        <f t="shared" ref="I100" si="27">I187</f>
        <v>222.42</v>
      </c>
      <c r="J100" s="695">
        <f>'DNSP Data Inputs 2013-15'!J100</f>
        <v>285.36</v>
      </c>
      <c r="K100" s="121"/>
      <c r="L100" s="2"/>
      <c r="M100" s="2"/>
      <c r="N100" s="2"/>
      <c r="O100" s="691">
        <f>'DNSP Data Inputs 2013-15'!O100</f>
        <v>0</v>
      </c>
      <c r="P100" s="744">
        <f>'DNSP Data Inputs 2013-15'!P100</f>
        <v>84284.130234145021</v>
      </c>
      <c r="Q100" s="692">
        <f>'DNSP Data Inputs 2013-15'!Q100</f>
        <v>85357.055867229894</v>
      </c>
    </row>
    <row r="101" spans="1:17" x14ac:dyDescent="0.2">
      <c r="A101" s="565" t="s">
        <v>378</v>
      </c>
      <c r="B101" s="93"/>
      <c r="D101" s="338"/>
      <c r="E101" s="746">
        <f t="shared" si="21"/>
        <v>132.58000000000001</v>
      </c>
      <c r="F101" s="740">
        <f t="shared" si="21"/>
        <v>144.49</v>
      </c>
      <c r="G101" s="740">
        <f t="shared" ref="G101:H101" si="28">G188</f>
        <v>165.16</v>
      </c>
      <c r="H101" s="740">
        <f t="shared" si="28"/>
        <v>200.89</v>
      </c>
      <c r="I101" s="740">
        <f t="shared" ref="I101" si="29">I188</f>
        <v>246.73</v>
      </c>
      <c r="J101" s="695">
        <f>'DNSP Data Inputs 2013-15'!J101</f>
        <v>316.54000000000002</v>
      </c>
      <c r="K101" s="121"/>
      <c r="L101" s="2"/>
      <c r="M101" s="2"/>
      <c r="N101" s="2"/>
      <c r="O101" s="691">
        <f>'DNSP Data Inputs 2013-15'!O101</f>
        <v>0</v>
      </c>
      <c r="P101" s="744">
        <f>'DNSP Data Inputs 2013-15'!P101</f>
        <v>42292.871638879471</v>
      </c>
      <c r="Q101" s="692">
        <f>'DNSP Data Inputs 2013-15'!Q101</f>
        <v>42316.309334747828</v>
      </c>
    </row>
    <row r="102" spans="1:17" x14ac:dyDescent="0.2">
      <c r="A102" s="565" t="s">
        <v>379</v>
      </c>
      <c r="B102" s="93"/>
      <c r="D102" s="338"/>
      <c r="E102" s="746">
        <f t="shared" si="21"/>
        <v>170.71</v>
      </c>
      <c r="F102" s="740">
        <f t="shared" si="21"/>
        <v>186.05</v>
      </c>
      <c r="G102" s="740">
        <f t="shared" ref="G102:H102" si="30">G189</f>
        <v>212.67</v>
      </c>
      <c r="H102" s="740">
        <f t="shared" si="30"/>
        <v>258.68</v>
      </c>
      <c r="I102" s="740">
        <f t="shared" ref="I102" si="31">I189</f>
        <v>317.7</v>
      </c>
      <c r="J102" s="695">
        <f>'DNSP Data Inputs 2013-15'!J102</f>
        <v>407.45000000000005</v>
      </c>
      <c r="K102" s="121"/>
      <c r="L102" s="2"/>
      <c r="M102" s="2"/>
      <c r="N102" s="2"/>
      <c r="O102" s="691">
        <f>'DNSP Data Inputs 2013-15'!O102</f>
        <v>0</v>
      </c>
      <c r="P102" s="744">
        <f>'DNSP Data Inputs 2013-15'!P102</f>
        <v>3826.2809487502545</v>
      </c>
      <c r="Q102" s="692">
        <f>'DNSP Data Inputs 2013-15'!Q102</f>
        <v>3864.6927280900645</v>
      </c>
    </row>
    <row r="103" spans="1:17" x14ac:dyDescent="0.2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3"/>
      <c r="P103" s="20"/>
      <c r="Q103" s="729"/>
    </row>
    <row r="104" spans="1:17" x14ac:dyDescent="0.2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3"/>
      <c r="P104" s="20"/>
      <c r="Q104" s="729"/>
    </row>
    <row r="105" spans="1:17" x14ac:dyDescent="0.2">
      <c r="A105" s="90" t="s">
        <v>29</v>
      </c>
      <c r="D105" s="332"/>
      <c r="E105" s="521" t="s">
        <v>28</v>
      </c>
      <c r="F105" s="701"/>
      <c r="G105" s="701"/>
      <c r="H105" s="701"/>
      <c r="I105" s="701"/>
      <c r="J105" s="336"/>
      <c r="K105" s="120"/>
      <c r="L105" s="2"/>
      <c r="M105" s="2"/>
      <c r="N105" s="2"/>
      <c r="O105" s="23"/>
      <c r="P105" s="20"/>
      <c r="Q105" s="729"/>
    </row>
    <row r="106" spans="1:17" x14ac:dyDescent="0.2">
      <c r="A106" s="84" t="s">
        <v>30</v>
      </c>
      <c r="B106" s="93"/>
      <c r="D106" s="334"/>
      <c r="E106" s="715">
        <v>0</v>
      </c>
      <c r="F106" s="741">
        <v>0</v>
      </c>
      <c r="G106" s="741">
        <v>0</v>
      </c>
      <c r="H106" s="741">
        <v>0</v>
      </c>
      <c r="I106" s="741">
        <v>0</v>
      </c>
      <c r="J106" s="695">
        <f>'DNSP Data Inputs 2013-15'!J106</f>
        <v>0</v>
      </c>
      <c r="K106" s="121"/>
      <c r="L106" s="2"/>
      <c r="M106" s="2"/>
      <c r="N106" s="2"/>
      <c r="O106" s="691">
        <f>'DNSP Data Inputs 2013-15'!O106</f>
        <v>0</v>
      </c>
      <c r="P106" s="744">
        <f>'DNSP Data Inputs 2013-15'!P106</f>
        <v>0</v>
      </c>
      <c r="Q106" s="692">
        <f>'DNSP Data Inputs 2013-15'!Q106</f>
        <v>0</v>
      </c>
    </row>
    <row r="107" spans="1:17" x14ac:dyDescent="0.2">
      <c r="A107" s="84" t="s">
        <v>31</v>
      </c>
      <c r="B107" s="93"/>
      <c r="D107" s="338"/>
      <c r="E107" s="715">
        <v>0</v>
      </c>
      <c r="F107" s="741">
        <v>0</v>
      </c>
      <c r="G107" s="741">
        <v>0</v>
      </c>
      <c r="H107" s="741">
        <v>0</v>
      </c>
      <c r="I107" s="741">
        <v>0</v>
      </c>
      <c r="J107" s="695">
        <f>'DNSP Data Inputs 2013-15'!J107</f>
        <v>0</v>
      </c>
      <c r="K107" s="121"/>
      <c r="L107" s="2"/>
      <c r="M107" s="2"/>
      <c r="N107" s="2"/>
      <c r="O107" s="691">
        <f>'DNSP Data Inputs 2013-15'!O107</f>
        <v>0</v>
      </c>
      <c r="P107" s="744">
        <f>'DNSP Data Inputs 2013-15'!P107</f>
        <v>0</v>
      </c>
      <c r="Q107" s="692">
        <f>'DNSP Data Inputs 2013-15'!Q107</f>
        <v>0</v>
      </c>
    </row>
    <row r="108" spans="1:17" x14ac:dyDescent="0.2">
      <c r="A108" s="84" t="s">
        <v>32</v>
      </c>
      <c r="B108" s="93"/>
      <c r="D108" s="334"/>
      <c r="E108" s="715">
        <v>0</v>
      </c>
      <c r="F108" s="741">
        <v>0</v>
      </c>
      <c r="G108" s="741">
        <v>0</v>
      </c>
      <c r="H108" s="741">
        <v>0</v>
      </c>
      <c r="I108" s="741">
        <v>0</v>
      </c>
      <c r="J108" s="695">
        <f>'DNSP Data Inputs 2013-15'!J108</f>
        <v>0</v>
      </c>
      <c r="K108" s="121"/>
      <c r="L108" s="2"/>
      <c r="M108" s="2"/>
      <c r="N108" s="2"/>
      <c r="O108" s="691">
        <f>'DNSP Data Inputs 2013-15'!O108</f>
        <v>0</v>
      </c>
      <c r="P108" s="744">
        <f>'DNSP Data Inputs 2013-15'!P108</f>
        <v>0</v>
      </c>
      <c r="Q108" s="692">
        <f>'DNSP Data Inputs 2013-15'!Q108</f>
        <v>0</v>
      </c>
    </row>
    <row r="109" spans="1:17" x14ac:dyDescent="0.2">
      <c r="A109" s="84" t="s">
        <v>33</v>
      </c>
      <c r="B109" s="93"/>
      <c r="D109" s="334"/>
      <c r="E109" s="715">
        <v>0</v>
      </c>
      <c r="F109" s="741">
        <v>0</v>
      </c>
      <c r="G109" s="741">
        <v>0</v>
      </c>
      <c r="H109" s="741">
        <v>0</v>
      </c>
      <c r="I109" s="741">
        <v>0</v>
      </c>
      <c r="J109" s="695">
        <f>'DNSP Data Inputs 2013-15'!J109</f>
        <v>0</v>
      </c>
      <c r="K109" s="121"/>
      <c r="L109" s="2"/>
      <c r="M109" s="2"/>
      <c r="N109" s="2"/>
      <c r="O109" s="691">
        <f>'DNSP Data Inputs 2013-15'!O109</f>
        <v>0</v>
      </c>
      <c r="P109" s="744">
        <f>'DNSP Data Inputs 2013-15'!P109</f>
        <v>0</v>
      </c>
      <c r="Q109" s="692">
        <f>'DNSP Data Inputs 2013-15'!Q109</f>
        <v>0</v>
      </c>
    </row>
    <row r="110" spans="1:17" x14ac:dyDescent="0.2">
      <c r="A110" s="84" t="s">
        <v>34</v>
      </c>
      <c r="B110" s="93"/>
      <c r="D110" s="338"/>
      <c r="E110" s="715">
        <v>0</v>
      </c>
      <c r="F110" s="741">
        <v>0</v>
      </c>
      <c r="G110" s="741">
        <v>0</v>
      </c>
      <c r="H110" s="741">
        <v>0</v>
      </c>
      <c r="I110" s="741">
        <v>0</v>
      </c>
      <c r="J110" s="695">
        <f>'DNSP Data Inputs 2013-15'!J110</f>
        <v>0</v>
      </c>
      <c r="K110" s="121"/>
      <c r="L110" s="2"/>
      <c r="M110" s="2"/>
      <c r="N110" s="2"/>
      <c r="O110" s="691">
        <f>'DNSP Data Inputs 2013-15'!O110</f>
        <v>0</v>
      </c>
      <c r="P110" s="744">
        <f>'DNSP Data Inputs 2013-15'!P110</f>
        <v>0</v>
      </c>
      <c r="Q110" s="692">
        <f>'DNSP Data Inputs 2013-15'!Q110</f>
        <v>0</v>
      </c>
    </row>
    <row r="111" spans="1:17" x14ac:dyDescent="0.2">
      <c r="A111" s="84" t="s">
        <v>35</v>
      </c>
      <c r="B111" s="91"/>
      <c r="D111" s="334"/>
      <c r="E111" s="715">
        <v>0</v>
      </c>
      <c r="F111" s="741">
        <v>0</v>
      </c>
      <c r="G111" s="741">
        <v>0</v>
      </c>
      <c r="H111" s="741">
        <v>0</v>
      </c>
      <c r="I111" s="741">
        <v>0</v>
      </c>
      <c r="J111" s="695">
        <f>'DNSP Data Inputs 2013-15'!J111</f>
        <v>0</v>
      </c>
      <c r="K111" s="121"/>
      <c r="L111" s="2"/>
      <c r="M111" s="2"/>
      <c r="N111" s="2"/>
      <c r="O111" s="691">
        <f>'DNSP Data Inputs 2013-15'!O111</f>
        <v>0</v>
      </c>
      <c r="P111" s="744">
        <f>'DNSP Data Inputs 2013-15'!P111</f>
        <v>0</v>
      </c>
      <c r="Q111" s="692">
        <f>'DNSP Data Inputs 2013-15'!Q111</f>
        <v>0</v>
      </c>
    </row>
    <row r="112" spans="1:17" x14ac:dyDescent="0.2">
      <c r="A112" s="565" t="s">
        <v>370</v>
      </c>
      <c r="B112" s="91"/>
      <c r="D112" s="338"/>
      <c r="E112" s="715">
        <v>0</v>
      </c>
      <c r="F112" s="741">
        <v>0</v>
      </c>
      <c r="G112" s="741">
        <v>0</v>
      </c>
      <c r="H112" s="741">
        <v>0</v>
      </c>
      <c r="I112" s="741">
        <v>0</v>
      </c>
      <c r="J112" s="695">
        <f>'DNSP Data Inputs 2013-15'!J112</f>
        <v>0</v>
      </c>
      <c r="K112" s="121"/>
      <c r="L112" s="2"/>
      <c r="M112" s="2"/>
      <c r="N112" s="2"/>
      <c r="O112" s="691">
        <f>'DNSP Data Inputs 2013-15'!O112</f>
        <v>0</v>
      </c>
      <c r="P112" s="744">
        <f>'DNSP Data Inputs 2013-15'!P112</f>
        <v>0</v>
      </c>
      <c r="Q112" s="692">
        <f>'DNSP Data Inputs 2013-15'!Q112</f>
        <v>0</v>
      </c>
    </row>
    <row r="113" spans="1:17" x14ac:dyDescent="0.2">
      <c r="A113" s="565" t="s">
        <v>371</v>
      </c>
      <c r="B113" s="91"/>
      <c r="D113" s="338"/>
      <c r="E113" s="715">
        <v>0</v>
      </c>
      <c r="F113" s="741">
        <v>0</v>
      </c>
      <c r="G113" s="741">
        <v>0</v>
      </c>
      <c r="H113" s="741">
        <v>0</v>
      </c>
      <c r="I113" s="741">
        <v>0</v>
      </c>
      <c r="J113" s="695">
        <f>'DNSP Data Inputs 2013-15'!J113</f>
        <v>0</v>
      </c>
      <c r="K113" s="121"/>
      <c r="L113" s="2"/>
      <c r="M113" s="2"/>
      <c r="N113" s="2"/>
      <c r="O113" s="691">
        <f>'DNSP Data Inputs 2013-15'!O113</f>
        <v>0</v>
      </c>
      <c r="P113" s="744">
        <f>'DNSP Data Inputs 2013-15'!P113</f>
        <v>0</v>
      </c>
      <c r="Q113" s="692">
        <f>'DNSP Data Inputs 2013-15'!Q113</f>
        <v>0</v>
      </c>
    </row>
    <row r="114" spans="1:17" x14ac:dyDescent="0.2">
      <c r="A114" s="565" t="s">
        <v>372</v>
      </c>
      <c r="B114" s="91"/>
      <c r="D114" s="338"/>
      <c r="E114" s="715">
        <v>0</v>
      </c>
      <c r="F114" s="741">
        <v>0</v>
      </c>
      <c r="G114" s="741">
        <v>0</v>
      </c>
      <c r="H114" s="741">
        <v>0</v>
      </c>
      <c r="I114" s="741">
        <v>0</v>
      </c>
      <c r="J114" s="695">
        <f>'DNSP Data Inputs 2013-15'!J114</f>
        <v>0</v>
      </c>
      <c r="K114" s="121"/>
      <c r="L114" s="2"/>
      <c r="M114" s="2"/>
      <c r="N114" s="2"/>
      <c r="O114" s="691">
        <f>'DNSP Data Inputs 2013-15'!O114</f>
        <v>0</v>
      </c>
      <c r="P114" s="744">
        <f>'DNSP Data Inputs 2013-15'!P114</f>
        <v>0</v>
      </c>
      <c r="Q114" s="692">
        <f>'DNSP Data Inputs 2013-15'!Q114</f>
        <v>0</v>
      </c>
    </row>
    <row r="115" spans="1:17" x14ac:dyDescent="0.2">
      <c r="A115" s="565" t="s">
        <v>373</v>
      </c>
      <c r="D115" s="338"/>
      <c r="E115" s="715">
        <v>0</v>
      </c>
      <c r="F115" s="741">
        <v>0</v>
      </c>
      <c r="G115" s="741">
        <v>0</v>
      </c>
      <c r="H115" s="741">
        <v>0</v>
      </c>
      <c r="I115" s="741">
        <v>0</v>
      </c>
      <c r="J115" s="695">
        <f>'DNSP Data Inputs 2013-15'!J115</f>
        <v>0</v>
      </c>
      <c r="K115" s="121"/>
      <c r="L115" s="2"/>
      <c r="M115" s="2"/>
      <c r="N115" s="2"/>
      <c r="O115" s="691">
        <f>'DNSP Data Inputs 2013-15'!O115</f>
        <v>0</v>
      </c>
      <c r="P115" s="744">
        <f>'DNSP Data Inputs 2013-15'!P115</f>
        <v>0</v>
      </c>
      <c r="Q115" s="692">
        <f>'DNSP Data Inputs 2013-15'!Q115</f>
        <v>0</v>
      </c>
    </row>
    <row r="116" spans="1:17" x14ac:dyDescent="0.2">
      <c r="A116" s="565" t="s">
        <v>374</v>
      </c>
      <c r="B116" s="60"/>
      <c r="D116" s="338"/>
      <c r="E116" s="716">
        <v>0</v>
      </c>
      <c r="F116" s="742">
        <v>0</v>
      </c>
      <c r="G116" s="742">
        <v>0</v>
      </c>
      <c r="H116" s="742">
        <v>0</v>
      </c>
      <c r="I116" s="742">
        <v>0</v>
      </c>
      <c r="J116" s="696">
        <f>'DNSP Data Inputs 2013-15'!J116</f>
        <v>0</v>
      </c>
      <c r="K116" s="121"/>
      <c r="L116" s="2"/>
      <c r="M116" s="2"/>
      <c r="N116" s="2"/>
      <c r="O116" s="693">
        <f>'DNSP Data Inputs 2013-15'!O116</f>
        <v>0</v>
      </c>
      <c r="P116" s="745">
        <f>'DNSP Data Inputs 2013-15'!P116</f>
        <v>0</v>
      </c>
      <c r="Q116" s="694">
        <f>'DNSP Data Inputs 2013-15'!Q116</f>
        <v>0</v>
      </c>
    </row>
    <row r="117" spans="1:17" x14ac:dyDescent="0.2">
      <c r="B117" s="60"/>
      <c r="L117" s="2"/>
    </row>
    <row r="119" spans="1:17" ht="13.5" thickBot="1" x14ac:dyDescent="0.25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0"/>
      <c r="M119" s="70"/>
      <c r="N119" s="70"/>
      <c r="O119" s="70"/>
      <c r="P119" s="70"/>
      <c r="Q119" s="70"/>
    </row>
    <row r="122" spans="1:17" ht="15.75" x14ac:dyDescent="0.25">
      <c r="A122" s="98" t="s">
        <v>39</v>
      </c>
    </row>
    <row r="124" spans="1:17" s="1" customFormat="1" x14ac:dyDescent="0.2">
      <c r="A124" s="43" t="s">
        <v>388</v>
      </c>
      <c r="B124" s="85"/>
      <c r="C124" s="698" t="s">
        <v>386</v>
      </c>
      <c r="D124" s="19"/>
      <c r="E124" s="19"/>
      <c r="F124" s="19"/>
      <c r="G124" s="19"/>
      <c r="H124" s="19"/>
      <c r="I124" s="698" t="s">
        <v>389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5"/>
      <c r="C125" s="699" t="s">
        <v>387</v>
      </c>
      <c r="D125" s="2"/>
      <c r="E125" s="2"/>
      <c r="F125" s="2"/>
      <c r="G125" s="2"/>
      <c r="H125" s="2"/>
      <c r="I125" s="699" t="s">
        <v>390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3">
        <f>4%+0.125%</f>
        <v>4.1250000000000002E-2</v>
      </c>
      <c r="I128" s="113">
        <v>2.53E-2</v>
      </c>
      <c r="N128" s="2"/>
      <c r="O128" s="2"/>
    </row>
    <row r="129" spans="1:16" x14ac:dyDescent="0.2">
      <c r="C129" s="44"/>
      <c r="D129" s="31"/>
      <c r="E129" s="31"/>
      <c r="F129" s="31"/>
      <c r="G129" s="31"/>
      <c r="H129" s="31"/>
      <c r="I129" s="44"/>
      <c r="J129" s="31"/>
      <c r="K129" s="122"/>
      <c r="N129" s="2"/>
      <c r="O129" s="2"/>
    </row>
    <row r="130" spans="1:16" x14ac:dyDescent="0.2">
      <c r="A130" s="58" t="s">
        <v>12</v>
      </c>
      <c r="D130" s="31"/>
      <c r="E130" s="31"/>
      <c r="F130" s="31"/>
      <c r="G130" s="31"/>
      <c r="H130" s="31"/>
      <c r="J130" s="31"/>
      <c r="K130" s="122"/>
    </row>
    <row r="131" spans="1:16" x14ac:dyDescent="0.2">
      <c r="A131" s="21" t="s">
        <v>13</v>
      </c>
      <c r="C131" s="102">
        <f>'Data 2006-08'!C130</f>
        <v>0.06</v>
      </c>
      <c r="I131" s="708">
        <v>6.5000000000000002E-2</v>
      </c>
    </row>
    <row r="132" spans="1:16" x14ac:dyDescent="0.2">
      <c r="A132" s="21" t="s">
        <v>14</v>
      </c>
      <c r="C132" s="103">
        <f>'Data 2006-08'!C131</f>
        <v>1</v>
      </c>
      <c r="I132" s="709">
        <v>0.8</v>
      </c>
    </row>
    <row r="133" spans="1:16" x14ac:dyDescent="0.2">
      <c r="A133" s="21" t="s">
        <v>15</v>
      </c>
      <c r="B133" s="60"/>
      <c r="C133" s="104">
        <f>'Data 2006-08'!C133</f>
        <v>0.6</v>
      </c>
      <c r="I133" s="710">
        <v>0.6</v>
      </c>
    </row>
    <row r="134" spans="1:16" x14ac:dyDescent="0.2">
      <c r="A134" s="21" t="s">
        <v>16</v>
      </c>
      <c r="B134" s="60"/>
      <c r="C134" s="105">
        <f>'Data 2006-08'!C134</f>
        <v>2.5600000000000001E-2</v>
      </c>
      <c r="I134" s="711">
        <v>2.47E-2</v>
      </c>
    </row>
    <row r="135" spans="1:16" x14ac:dyDescent="0.2">
      <c r="A135" s="1"/>
      <c r="C135" s="54"/>
      <c r="I135" s="54"/>
    </row>
    <row r="136" spans="1:16" x14ac:dyDescent="0.2">
      <c r="A136" s="448" t="s">
        <v>19</v>
      </c>
    </row>
    <row r="137" spans="1:16" x14ac:dyDescent="0.2">
      <c r="A137" s="21" t="s">
        <v>88</v>
      </c>
      <c r="C137" s="311">
        <v>0.3</v>
      </c>
      <c r="E137" s="45"/>
      <c r="F137" s="45"/>
      <c r="G137" s="45"/>
      <c r="H137" s="45"/>
      <c r="I137" s="311">
        <v>0.3</v>
      </c>
      <c r="J137" s="45"/>
      <c r="K137" s="21"/>
      <c r="P137" s="56"/>
    </row>
    <row r="138" spans="1:16" x14ac:dyDescent="0.2">
      <c r="A138" s="1" t="s">
        <v>17</v>
      </c>
      <c r="C138" s="114">
        <v>0.65</v>
      </c>
      <c r="E138" s="1"/>
      <c r="F138" s="1"/>
      <c r="G138" s="1"/>
      <c r="H138" s="1"/>
      <c r="I138" s="709">
        <v>0.25</v>
      </c>
      <c r="J138" s="1"/>
      <c r="K138" s="21"/>
      <c r="P138" s="319"/>
    </row>
    <row r="139" spans="1:16" s="1" customFormat="1" x14ac:dyDescent="0.2">
      <c r="A139" s="21" t="s">
        <v>15</v>
      </c>
      <c r="B139" s="85"/>
      <c r="C139" s="104">
        <f>C133</f>
        <v>0.6</v>
      </c>
      <c r="I139" s="104">
        <f>I133</f>
        <v>0.6</v>
      </c>
      <c r="L139" s="2"/>
      <c r="M139" s="2"/>
      <c r="N139" s="2"/>
      <c r="O139" s="2"/>
    </row>
    <row r="140" spans="1:16" x14ac:dyDescent="0.2">
      <c r="A140" s="1"/>
      <c r="C140" s="54"/>
    </row>
    <row r="141" spans="1:16" s="1" customFormat="1" x14ac:dyDescent="0.2">
      <c r="B141" s="85"/>
      <c r="C141" s="54"/>
      <c r="L141" s="2"/>
      <c r="M141" s="2"/>
      <c r="N141" s="2"/>
      <c r="O141" s="2"/>
    </row>
    <row r="142" spans="1:16" x14ac:dyDescent="0.2">
      <c r="D142" s="717">
        <f>D$1</f>
        <v>2009</v>
      </c>
      <c r="E142" s="886">
        <f t="shared" ref="E142:J142" si="32">E$1</f>
        <v>2010</v>
      </c>
      <c r="F142" s="886">
        <f t="shared" si="32"/>
        <v>2011</v>
      </c>
      <c r="G142" s="886">
        <f t="shared" si="32"/>
        <v>2012</v>
      </c>
      <c r="H142" s="886">
        <f t="shared" si="32"/>
        <v>2013</v>
      </c>
      <c r="I142" s="886">
        <f t="shared" si="32"/>
        <v>2014</v>
      </c>
      <c r="J142" s="887">
        <f t="shared" si="32"/>
        <v>2015</v>
      </c>
      <c r="K142" s="56"/>
      <c r="L142" s="990" t="s">
        <v>36</v>
      </c>
      <c r="M142" s="975"/>
      <c r="N142" s="528" t="s">
        <v>75</v>
      </c>
    </row>
    <row r="143" spans="1:16" x14ac:dyDescent="0.2">
      <c r="A143" s="43" t="s">
        <v>86</v>
      </c>
      <c r="D143" s="566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685" t="s">
        <v>20</v>
      </c>
      <c r="J143" s="948" t="s">
        <v>20</v>
      </c>
      <c r="K143" s="110"/>
      <c r="L143" s="313">
        <v>39355</v>
      </c>
      <c r="M143" s="686">
        <f>'Data 2006-08'!D150</f>
        <v>158.6</v>
      </c>
    </row>
    <row r="144" spans="1:16" x14ac:dyDescent="0.2">
      <c r="A144" s="21" t="s">
        <v>87</v>
      </c>
      <c r="D144" s="707">
        <f>'Data 2006-08'!F151</f>
        <v>4.9810844892812067E-2</v>
      </c>
      <c r="E144" s="707">
        <f>N145</f>
        <v>1.2612612612612484E-2</v>
      </c>
      <c r="F144" s="707">
        <f>N146</f>
        <v>2.7876631079478242E-2</v>
      </c>
      <c r="G144" s="798">
        <f>N147</f>
        <v>3.5199076745527913E-2</v>
      </c>
      <c r="H144" s="798">
        <f>N151</f>
        <v>2.0040080160320661E-2</v>
      </c>
      <c r="I144" s="798">
        <f>N152</f>
        <v>2.16110019646365E-2</v>
      </c>
      <c r="J144" s="798">
        <f>N153</f>
        <v>2.3076923076923217E-2</v>
      </c>
      <c r="K144" s="115"/>
      <c r="L144" s="314">
        <v>39721</v>
      </c>
      <c r="M144" s="687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1">
        <f>1+D144</f>
        <v>1.0498108448928121</v>
      </c>
      <c r="E145" s="61">
        <f t="shared" ref="E145:J145" si="33">D145*(1+E144)</f>
        <v>1.0630517023959645</v>
      </c>
      <c r="F145" s="61">
        <f t="shared" si="33"/>
        <v>1.0926860025220682</v>
      </c>
      <c r="G145" s="61">
        <f t="shared" si="33"/>
        <v>1.1311475409836065</v>
      </c>
      <c r="H145" s="61">
        <f t="shared" si="33"/>
        <v>1.1538158283780675</v>
      </c>
      <c r="I145" s="61">
        <f t="shared" si="33"/>
        <v>1.1787509445119746</v>
      </c>
      <c r="J145" s="61">
        <f t="shared" si="33"/>
        <v>1.205952889385328</v>
      </c>
      <c r="K145" s="61"/>
      <c r="L145" s="704">
        <v>40086</v>
      </c>
      <c r="M145" s="688">
        <v>168.6</v>
      </c>
      <c r="N145" s="315">
        <f>M145/M144-1</f>
        <v>1.2612612612612484E-2</v>
      </c>
    </row>
    <row r="146" spans="1:15" x14ac:dyDescent="0.2">
      <c r="B146" s="100"/>
      <c r="L146" s="704">
        <v>40451</v>
      </c>
      <c r="M146" s="688">
        <v>173.3</v>
      </c>
      <c r="N146" s="315">
        <f>M146/M145-1</f>
        <v>2.7876631079478242E-2</v>
      </c>
    </row>
    <row r="147" spans="1:15" x14ac:dyDescent="0.2">
      <c r="B147" s="100"/>
      <c r="L147" s="706">
        <v>40816</v>
      </c>
      <c r="M147" s="875">
        <v>179.4</v>
      </c>
      <c r="N147" s="315">
        <f>M147/M146-1</f>
        <v>3.5199076745527913E-2</v>
      </c>
    </row>
    <row r="148" spans="1:15" x14ac:dyDescent="0.2">
      <c r="B148" s="100"/>
      <c r="N148" s="2"/>
    </row>
    <row r="149" spans="1:15" x14ac:dyDescent="0.2">
      <c r="B149" s="100"/>
      <c r="L149" s="876" t="s">
        <v>406</v>
      </c>
      <c r="M149" s="805"/>
      <c r="N149" s="805"/>
    </row>
    <row r="150" spans="1:15" x14ac:dyDescent="0.2">
      <c r="B150" s="100"/>
      <c r="L150" s="877">
        <v>40816</v>
      </c>
      <c r="M150" s="878">
        <v>99.8</v>
      </c>
      <c r="N150" s="805"/>
    </row>
    <row r="151" spans="1:15" x14ac:dyDescent="0.2">
      <c r="B151" s="100"/>
      <c r="L151" s="879">
        <v>41182</v>
      </c>
      <c r="M151" s="705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879">
        <v>41547</v>
      </c>
      <c r="M152" s="688">
        <v>104</v>
      </c>
      <c r="N152" s="315">
        <f>M152/M151-1</f>
        <v>2.16110019646365E-2</v>
      </c>
      <c r="O152" s="21"/>
    </row>
    <row r="153" spans="1:15" s="1" customFormat="1" x14ac:dyDescent="0.2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880">
        <v>41912</v>
      </c>
      <c r="M153" s="689">
        <v>106.4</v>
      </c>
      <c r="N153" s="315">
        <f>M153/M152-1</f>
        <v>2.3076923076923217E-2</v>
      </c>
      <c r="O153" s="21"/>
    </row>
    <row r="154" spans="1:15" s="1" customFormat="1" x14ac:dyDescent="0.2">
      <c r="A154" s="318" t="s">
        <v>367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4" t="s">
        <v>277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4" t="s">
        <v>279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1"/>
    </row>
    <row r="160" spans="1:15" x14ac:dyDescent="0.2">
      <c r="A160" s="74" t="s">
        <v>89</v>
      </c>
      <c r="B160" s="1"/>
      <c r="C160" s="84"/>
    </row>
    <row r="161" spans="1:10" x14ac:dyDescent="0.2">
      <c r="A161" s="101" t="s">
        <v>276</v>
      </c>
      <c r="B161" s="1"/>
      <c r="C161" s="84"/>
    </row>
    <row r="162" spans="1:10" x14ac:dyDescent="0.2">
      <c r="A162" s="84" t="s">
        <v>368</v>
      </c>
      <c r="C162" s="116">
        <f>'Data 2006-08'!C176</f>
        <v>0.375</v>
      </c>
    </row>
    <row r="163" spans="1:10" x14ac:dyDescent="0.2">
      <c r="A163" s="84" t="s">
        <v>369</v>
      </c>
      <c r="C163" s="117">
        <f>'Data 2006-08'!C177</f>
        <v>0.06</v>
      </c>
    </row>
    <row r="164" spans="1:10" x14ac:dyDescent="0.2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">
      <c r="A165" s="84" t="s">
        <v>279</v>
      </c>
      <c r="B165" s="457"/>
      <c r="C165" s="310">
        <f>1/7*1.5</f>
        <v>0.21428571428571427</v>
      </c>
    </row>
    <row r="166" spans="1:10" x14ac:dyDescent="0.2">
      <c r="A166" s="87" t="str">
        <f>'Data 2006-08'!A$179</f>
        <v>Other</v>
      </c>
      <c r="C166" s="118">
        <f>'Data 2006-08'!C179</f>
        <v>0.1764705882352941</v>
      </c>
    </row>
    <row r="169" spans="1:10" x14ac:dyDescent="0.2">
      <c r="A169" s="60" t="s">
        <v>391</v>
      </c>
      <c r="B169" s="108"/>
      <c r="D169" s="717">
        <f t="shared" ref="D169:J169" si="34">D$1</f>
        <v>2009</v>
      </c>
      <c r="E169" s="331">
        <f t="shared" si="34"/>
        <v>2010</v>
      </c>
      <c r="F169" s="331">
        <f t="shared" si="34"/>
        <v>2011</v>
      </c>
      <c r="G169" s="331">
        <f t="shared" si="34"/>
        <v>2012</v>
      </c>
      <c r="H169" s="331">
        <f t="shared" si="34"/>
        <v>2013</v>
      </c>
      <c r="I169" s="331">
        <f t="shared" si="34"/>
        <v>2014</v>
      </c>
      <c r="J169" s="331">
        <f t="shared" si="34"/>
        <v>2015</v>
      </c>
    </row>
    <row r="170" spans="1:10" x14ac:dyDescent="0.2">
      <c r="A170" s="30"/>
      <c r="D170" s="690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30"/>
      <c r="D171" s="718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30"/>
      <c r="B172" s="55"/>
      <c r="D172" s="719"/>
      <c r="E172" s="725"/>
      <c r="F172" s="725"/>
      <c r="G172" s="725"/>
      <c r="H172" s="725"/>
      <c r="I172" s="725"/>
      <c r="J172" s="40"/>
    </row>
    <row r="173" spans="1:10" x14ac:dyDescent="0.2">
      <c r="A173" s="90" t="s">
        <v>24</v>
      </c>
      <c r="D173" s="720" t="s">
        <v>365</v>
      </c>
      <c r="E173" s="725"/>
      <c r="F173" s="725"/>
      <c r="G173" s="725"/>
      <c r="H173" s="725"/>
      <c r="I173" s="725"/>
      <c r="J173" s="729"/>
    </row>
    <row r="174" spans="1:10" x14ac:dyDescent="0.2">
      <c r="A174" s="84" t="s">
        <v>26</v>
      </c>
      <c r="D174" s="721">
        <v>88.67</v>
      </c>
      <c r="E174" s="725"/>
      <c r="F174" s="725"/>
      <c r="G174" s="725"/>
      <c r="H174" s="725"/>
      <c r="I174" s="725"/>
      <c r="J174" s="729"/>
    </row>
    <row r="175" spans="1:10" x14ac:dyDescent="0.2">
      <c r="A175" s="84" t="s">
        <v>27</v>
      </c>
      <c r="D175" s="721">
        <v>30.42</v>
      </c>
      <c r="E175" s="725"/>
      <c r="F175" s="725"/>
      <c r="G175" s="725"/>
      <c r="H175" s="725"/>
      <c r="I175" s="725"/>
      <c r="J175" s="729"/>
    </row>
    <row r="176" spans="1:10" x14ac:dyDescent="0.2">
      <c r="A176" s="30"/>
      <c r="D176" s="722"/>
      <c r="E176" s="725"/>
      <c r="F176" s="725"/>
      <c r="G176" s="725"/>
      <c r="H176" s="725"/>
      <c r="I176" s="725"/>
      <c r="J176" s="729"/>
    </row>
    <row r="177" spans="1:17" x14ac:dyDescent="0.2">
      <c r="A177" s="90" t="s">
        <v>29</v>
      </c>
      <c r="B177" s="453"/>
      <c r="D177" s="723" t="s">
        <v>365</v>
      </c>
      <c r="E177" s="725"/>
      <c r="F177" s="725"/>
      <c r="G177" s="725"/>
      <c r="H177" s="725"/>
      <c r="I177" s="725"/>
      <c r="J177" s="729"/>
    </row>
    <row r="178" spans="1:17" x14ac:dyDescent="0.2">
      <c r="A178" s="57" t="s">
        <v>281</v>
      </c>
      <c r="B178" s="449"/>
      <c r="D178" s="721">
        <v>5.71</v>
      </c>
      <c r="E178" s="725"/>
      <c r="F178" s="725"/>
      <c r="G178" s="725"/>
      <c r="H178" s="725"/>
      <c r="I178" s="725"/>
      <c r="J178" s="729"/>
    </row>
    <row r="179" spans="1:17" x14ac:dyDescent="0.2">
      <c r="A179" s="57" t="s">
        <v>282</v>
      </c>
      <c r="B179" s="450"/>
      <c r="D179" s="721">
        <v>12.68</v>
      </c>
      <c r="E179" s="725"/>
      <c r="F179" s="725"/>
      <c r="G179" s="725"/>
      <c r="H179" s="725"/>
      <c r="I179" s="725"/>
      <c r="J179" s="729"/>
    </row>
    <row r="180" spans="1:17" x14ac:dyDescent="0.2">
      <c r="A180" s="57" t="s">
        <v>283</v>
      </c>
      <c r="B180" s="88"/>
      <c r="D180" s="721">
        <v>75.488003963798803</v>
      </c>
      <c r="E180" s="725"/>
      <c r="F180" s="725"/>
      <c r="G180" s="725"/>
      <c r="H180" s="725"/>
      <c r="I180" s="725"/>
      <c r="J180" s="729"/>
    </row>
    <row r="181" spans="1:17" x14ac:dyDescent="0.2">
      <c r="A181" s="57" t="s">
        <v>284</v>
      </c>
      <c r="B181" s="88"/>
      <c r="D181" s="724">
        <v>72.42</v>
      </c>
      <c r="E181" s="725"/>
      <c r="F181" s="725"/>
      <c r="G181" s="725"/>
      <c r="H181" s="725"/>
      <c r="I181" s="725"/>
      <c r="J181" s="729"/>
    </row>
    <row r="182" spans="1:17" x14ac:dyDescent="0.2">
      <c r="E182" s="725"/>
      <c r="F182" s="725"/>
      <c r="G182" s="725"/>
      <c r="H182" s="725"/>
      <c r="I182" s="725"/>
      <c r="J182" s="729"/>
    </row>
    <row r="183" spans="1:17" x14ac:dyDescent="0.2">
      <c r="E183" s="725"/>
      <c r="F183" s="725"/>
      <c r="G183" s="725"/>
      <c r="H183" s="725"/>
      <c r="I183" s="725"/>
      <c r="J183" s="729"/>
    </row>
    <row r="184" spans="1:17" x14ac:dyDescent="0.2">
      <c r="A184" s="90" t="s">
        <v>29</v>
      </c>
      <c r="E184" s="714" t="s">
        <v>25</v>
      </c>
      <c r="F184" s="725"/>
      <c r="G184" s="725"/>
      <c r="H184" s="725"/>
      <c r="I184" s="725"/>
      <c r="J184" s="729"/>
    </row>
    <row r="185" spans="1:17" x14ac:dyDescent="0.2">
      <c r="A185" s="21" t="s">
        <v>375</v>
      </c>
      <c r="E185" s="715">
        <v>86.1</v>
      </c>
      <c r="F185" s="715">
        <v>93.83</v>
      </c>
      <c r="G185" s="715">
        <v>107.25</v>
      </c>
      <c r="H185" s="715">
        <v>130.44999999999999</v>
      </c>
      <c r="I185" s="715">
        <v>160.21</v>
      </c>
      <c r="J185" s="729"/>
    </row>
    <row r="186" spans="1:17" x14ac:dyDescent="0.2">
      <c r="A186" s="21" t="s">
        <v>376</v>
      </c>
      <c r="E186" s="715">
        <v>98.93</v>
      </c>
      <c r="F186" s="715">
        <v>107.81</v>
      </c>
      <c r="G186" s="715">
        <v>123.24</v>
      </c>
      <c r="H186" s="715">
        <v>149.9</v>
      </c>
      <c r="I186" s="715">
        <v>184.1</v>
      </c>
      <c r="J186" s="729"/>
    </row>
    <row r="187" spans="1:17" x14ac:dyDescent="0.2">
      <c r="A187" s="21" t="s">
        <v>377</v>
      </c>
      <c r="E187" s="715">
        <v>119.51</v>
      </c>
      <c r="F187" s="715">
        <v>130.25</v>
      </c>
      <c r="G187" s="715">
        <v>148.88999999999999</v>
      </c>
      <c r="H187" s="715">
        <v>181.1</v>
      </c>
      <c r="I187" s="715">
        <v>222.42</v>
      </c>
      <c r="J187" s="729"/>
    </row>
    <row r="188" spans="1:17" x14ac:dyDescent="0.2">
      <c r="A188" s="21" t="s">
        <v>378</v>
      </c>
      <c r="E188" s="715">
        <v>132.58000000000001</v>
      </c>
      <c r="F188" s="715">
        <v>144.49</v>
      </c>
      <c r="G188" s="715">
        <v>165.16</v>
      </c>
      <c r="H188" s="715">
        <v>200.89</v>
      </c>
      <c r="I188" s="715">
        <v>246.73</v>
      </c>
      <c r="J188" s="729"/>
    </row>
    <row r="189" spans="1:17" x14ac:dyDescent="0.2">
      <c r="A189" s="21" t="s">
        <v>379</v>
      </c>
      <c r="B189" s="88"/>
      <c r="E189" s="716">
        <v>170.71</v>
      </c>
      <c r="F189" s="716">
        <v>186.05</v>
      </c>
      <c r="G189" s="716">
        <v>212.67</v>
      </c>
      <c r="H189" s="716">
        <v>258.68</v>
      </c>
      <c r="I189" s="716">
        <v>317.7</v>
      </c>
      <c r="J189" s="739"/>
    </row>
    <row r="190" spans="1:17" ht="13.5" thickBot="1" x14ac:dyDescent="0.25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0"/>
      <c r="M190" s="70"/>
      <c r="N190" s="70"/>
      <c r="O190" s="70"/>
      <c r="P190" s="70"/>
      <c r="Q190" s="70"/>
    </row>
    <row r="191" spans="1:17" x14ac:dyDescent="0.2">
      <c r="B191" s="450"/>
    </row>
    <row r="193" spans="2:2" x14ac:dyDescent="0.2">
      <c r="B193" s="88"/>
    </row>
    <row r="194" spans="2:2" x14ac:dyDescent="0.2">
      <c r="B194" s="88"/>
    </row>
    <row r="195" spans="2:2" x14ac:dyDescent="0.2">
      <c r="B195" s="88"/>
    </row>
    <row r="196" spans="2:2" x14ac:dyDescent="0.2">
      <c r="B196" s="88"/>
    </row>
    <row r="197" spans="2:2" x14ac:dyDescent="0.2">
      <c r="B197" s="458"/>
    </row>
    <row r="198" spans="2:2" x14ac:dyDescent="0.2">
      <c r="B198" s="88"/>
    </row>
    <row r="199" spans="2:2" x14ac:dyDescent="0.2">
      <c r="B199" s="88"/>
    </row>
    <row r="200" spans="2:2" x14ac:dyDescent="0.2">
      <c r="B200" s="433"/>
    </row>
    <row r="201" spans="2:2" x14ac:dyDescent="0.2">
      <c r="B201" s="88"/>
    </row>
    <row r="202" spans="2:2" x14ac:dyDescent="0.2">
      <c r="B202" s="88"/>
    </row>
    <row r="203" spans="2:2" x14ac:dyDescent="0.2">
      <c r="B203" s="450"/>
    </row>
    <row r="204" spans="2:2" x14ac:dyDescent="0.2">
      <c r="B204" s="88"/>
    </row>
    <row r="205" spans="2:2" x14ac:dyDescent="0.2">
      <c r="B205" s="88"/>
    </row>
    <row r="206" spans="2:2" x14ac:dyDescent="0.2">
      <c r="B206" s="88"/>
    </row>
    <row r="207" spans="2:2" x14ac:dyDescent="0.2">
      <c r="B207" s="88"/>
    </row>
    <row r="208" spans="2:2" x14ac:dyDescent="0.2">
      <c r="B208" s="88"/>
    </row>
    <row r="209" spans="2:2" x14ac:dyDescent="0.2">
      <c r="B209" s="88"/>
    </row>
    <row r="212" spans="2:2" x14ac:dyDescent="0.2">
      <c r="B212" s="449"/>
    </row>
    <row r="213" spans="2:2" x14ac:dyDescent="0.2">
      <c r="B213" s="450"/>
    </row>
    <row r="214" spans="2:2" x14ac:dyDescent="0.2">
      <c r="B214" s="88"/>
    </row>
    <row r="215" spans="2:2" x14ac:dyDescent="0.2">
      <c r="B215" s="449"/>
    </row>
    <row r="216" spans="2:2" x14ac:dyDescent="0.2">
      <c r="B216" s="450"/>
    </row>
    <row r="217" spans="2:2" x14ac:dyDescent="0.2">
      <c r="B217" s="88"/>
    </row>
    <row r="218" spans="2:2" x14ac:dyDescent="0.2">
      <c r="B218" s="88"/>
    </row>
    <row r="219" spans="2:2" x14ac:dyDescent="0.2">
      <c r="B219" s="88"/>
    </row>
    <row r="220" spans="2:2" x14ac:dyDescent="0.2">
      <c r="B220" s="88"/>
    </row>
    <row r="221" spans="2:2" x14ac:dyDescent="0.2">
      <c r="B221" s="88"/>
    </row>
    <row r="223" spans="2:2" x14ac:dyDescent="0.2">
      <c r="B223" s="450"/>
    </row>
    <row r="224" spans="2:2" x14ac:dyDescent="0.2">
      <c r="B224" s="88"/>
    </row>
    <row r="226" spans="2:2" x14ac:dyDescent="0.2">
      <c r="B226" s="91"/>
    </row>
    <row r="227" spans="2:2" x14ac:dyDescent="0.2">
      <c r="B227" s="91"/>
    </row>
    <row r="228" spans="2:2" x14ac:dyDescent="0.2">
      <c r="B228" s="91"/>
    </row>
    <row r="229" spans="2:2" x14ac:dyDescent="0.2">
      <c r="B229" s="91"/>
    </row>
    <row r="230" spans="2:2" x14ac:dyDescent="0.2">
      <c r="B230" s="91"/>
    </row>
    <row r="231" spans="2:2" x14ac:dyDescent="0.2">
      <c r="B231" s="9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6" sqref="D26"/>
    </sheetView>
  </sheetViews>
  <sheetFormatPr defaultColWidth="9.140625" defaultRowHeight="12.75" x14ac:dyDescent="0.2"/>
  <cols>
    <col min="1" max="1" width="33.5703125" style="57" customWidth="1"/>
    <col min="2" max="3" width="9.140625" style="57"/>
    <col min="4" max="7" width="15" style="57" customWidth="1"/>
    <col min="8" max="8" width="16.5703125" style="57" customWidth="1"/>
    <col min="9" max="10" width="15" style="57" customWidth="1"/>
    <col min="11" max="11" width="9.140625" style="57"/>
    <col min="12" max="12" width="9.140625" style="57" customWidth="1"/>
    <col min="13" max="16384" width="9.140625" style="57"/>
  </cols>
  <sheetData>
    <row r="1" spans="1:10" x14ac:dyDescent="0.2">
      <c r="A1" s="555" t="str">
        <f>'Data 2006-08'!$A$1</f>
        <v>SP AusNet</v>
      </c>
      <c r="E1" s="495" t="s">
        <v>395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">
      <c r="A3" s="409" t="s">
        <v>297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">
      <c r="A4" s="57" t="s">
        <v>336</v>
      </c>
      <c r="D4" s="347">
        <f>'AMI Building Blocks 2009-15'!D34</f>
        <v>40903.678412783018</v>
      </c>
      <c r="E4" s="347">
        <f>'AMI Building Blocks 2009-15'!E34</f>
        <v>66258.23164090488</v>
      </c>
      <c r="F4" s="347">
        <f>'AMI Building Blocks 2009-15'!F34</f>
        <v>86116.671452123643</v>
      </c>
      <c r="G4" s="347">
        <f>'AMI Building Blocks 2009-15'!G34</f>
        <v>102849.11880712882</v>
      </c>
      <c r="H4" s="347">
        <f>'AMI Building Blocks 2009-15'!H34</f>
        <v>114073.02380960068</v>
      </c>
      <c r="I4" s="347">
        <f>'AMI Building Blocks 2009-15'!I34</f>
        <v>114653.07232275003</v>
      </c>
      <c r="J4" s="347">
        <f>'AMI Building Blocks 2009-15'!J34</f>
        <v>116727.82486439444</v>
      </c>
    </row>
    <row r="5" spans="1:10" x14ac:dyDescent="0.2">
      <c r="A5" s="57" t="s">
        <v>344</v>
      </c>
      <c r="D5" s="347">
        <f>'Offset of Costs and Rev 2006-08'!G20</f>
        <v>-6137.4832866242659</v>
      </c>
      <c r="E5" s="532"/>
      <c r="F5" s="532"/>
      <c r="G5" s="532"/>
      <c r="H5" s="532"/>
      <c r="I5" s="532"/>
      <c r="J5" s="532"/>
    </row>
    <row r="6" spans="1:10" x14ac:dyDescent="0.2">
      <c r="A6" s="57" t="s">
        <v>342</v>
      </c>
      <c r="D6" s="389">
        <f t="shared" ref="D6:J6" si="0">SUM(D4:D5)</f>
        <v>34766.195126158753</v>
      </c>
      <c r="E6" s="389">
        <f t="shared" si="0"/>
        <v>66258.23164090488</v>
      </c>
      <c r="F6" s="389">
        <f t="shared" si="0"/>
        <v>86116.671452123643</v>
      </c>
      <c r="G6" s="389">
        <f t="shared" si="0"/>
        <v>102849.11880712882</v>
      </c>
      <c r="H6" s="389">
        <f t="shared" si="0"/>
        <v>114073.02380960068</v>
      </c>
      <c r="I6" s="389">
        <f t="shared" si="0"/>
        <v>114653.07232275003</v>
      </c>
      <c r="J6" s="389">
        <f t="shared" si="0"/>
        <v>116727.82486439444</v>
      </c>
    </row>
    <row r="7" spans="1:10" x14ac:dyDescent="0.2">
      <c r="D7" s="347"/>
      <c r="E7" s="347"/>
      <c r="F7" s="347"/>
      <c r="G7" s="347"/>
      <c r="H7" s="347"/>
      <c r="I7" s="347"/>
      <c r="J7" s="347"/>
    </row>
    <row r="8" spans="1:10" x14ac:dyDescent="0.2">
      <c r="A8" s="57" t="s">
        <v>293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'Data 2009-15 (Real $2008)'!H60/10^3</f>
        <v>101332.753</v>
      </c>
      <c r="I8" s="347">
        <f>S76</f>
        <v>123070.49353282094</v>
      </c>
      <c r="J8" s="347">
        <f>T76</f>
        <v>160048.72172391039</v>
      </c>
    </row>
    <row r="10" spans="1:10" x14ac:dyDescent="0.2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0" x14ac:dyDescent="0.2">
      <c r="A11" s="57" t="s">
        <v>339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0" x14ac:dyDescent="0.2">
      <c r="A13" s="57" t="s">
        <v>340</v>
      </c>
      <c r="D13" s="347">
        <f t="shared" ref="D13:J13" si="2">D6*D$11</f>
        <v>32837.770797137819</v>
      </c>
      <c r="E13" s="347">
        <f t="shared" si="2"/>
        <v>57883.805422400248</v>
      </c>
      <c r="F13" s="347">
        <f t="shared" si="2"/>
        <v>68550.012706419555</v>
      </c>
      <c r="G13" s="347">
        <f t="shared" si="2"/>
        <v>74069.781936574407</v>
      </c>
      <c r="H13" s="347">
        <f t="shared" si="2"/>
        <v>75431.070430096443</v>
      </c>
      <c r="I13" s="347">
        <f t="shared" si="2"/>
        <v>70660.917453472488</v>
      </c>
      <c r="J13" s="347">
        <f t="shared" si="2"/>
        <v>66953.224661782748</v>
      </c>
    </row>
    <row r="15" spans="1:10" x14ac:dyDescent="0.2">
      <c r="A15" s="57" t="s">
        <v>341</v>
      </c>
      <c r="D15" s="347">
        <f t="shared" ref="D15:J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67006.534701636076</v>
      </c>
      <c r="I15" s="347">
        <f t="shared" si="3"/>
        <v>75848.59095620783</v>
      </c>
      <c r="J15" s="347">
        <f t="shared" si="3"/>
        <v>91801.402406503345</v>
      </c>
    </row>
    <row r="17" spans="1:20" x14ac:dyDescent="0.2">
      <c r="A17" s="268" t="s">
        <v>343</v>
      </c>
      <c r="D17" s="347"/>
      <c r="E17" s="526">
        <f>SUM($D15:E15)-SUM($D13:E13)</f>
        <v>2457.7566087411251</v>
      </c>
      <c r="F17" s="526">
        <f>SUM($D15:F15)-SUM($D13:F13)</f>
        <v>-7602.6496380176977</v>
      </c>
      <c r="G17" s="526">
        <f>SUM($D15:G15)-SUM($D13:G13)</f>
        <v>-21465.925765143678</v>
      </c>
      <c r="H17" s="526">
        <f>SUM($D15:H15)-SUM($D13:H13)</f>
        <v>-29890.46149360406</v>
      </c>
      <c r="I17" s="526">
        <f>SUM($D15:I15)-SUM($D13:I13)</f>
        <v>-24702.787990868732</v>
      </c>
      <c r="J17" s="526">
        <f>SUM($D15:J15)-SUM($D13:J13)</f>
        <v>145.38975385186495</v>
      </c>
      <c r="L17" s="896"/>
    </row>
    <row r="19" spans="1:20" x14ac:dyDescent="0.2">
      <c r="A19" s="525" t="s">
        <v>285</v>
      </c>
      <c r="E19" s="527" t="str">
        <f t="shared" ref="E19:J19" si="4">IF(E17&gt;0,"Non Compliant","Compliant")</f>
        <v>Non Compliant</v>
      </c>
      <c r="F19" s="527" t="str">
        <f t="shared" si="4"/>
        <v>Compliant</v>
      </c>
      <c r="G19" s="527" t="str">
        <f t="shared" si="4"/>
        <v>Compliant</v>
      </c>
      <c r="H19" s="527" t="str">
        <f t="shared" si="4"/>
        <v>Compliant</v>
      </c>
      <c r="I19" s="527" t="str">
        <f t="shared" si="4"/>
        <v>Compliant</v>
      </c>
      <c r="J19" s="527" t="str">
        <f t="shared" si="4"/>
        <v>Non Compliant</v>
      </c>
    </row>
    <row r="21" spans="1:20" x14ac:dyDescent="0.2">
      <c r="A21" s="811"/>
      <c r="E21" s="777"/>
      <c r="F21" s="777"/>
    </row>
    <row r="22" spans="1:20" ht="13.5" thickBot="1" x14ac:dyDescent="0.25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">
      <c r="A24" s="778"/>
      <c r="B24" s="395"/>
      <c r="C24" s="395"/>
      <c r="D24" s="779"/>
      <c r="E24" s="780"/>
      <c r="G24" s="780"/>
      <c r="J24" s="780"/>
    </row>
    <row r="25" spans="1:20" s="360" customFormat="1" x14ac:dyDescent="0.2">
      <c r="A25" s="88"/>
      <c r="B25" s="395"/>
      <c r="C25" s="395"/>
      <c r="D25" s="781"/>
    </row>
    <row r="26" spans="1:20" s="894" customFormat="1" x14ac:dyDescent="0.2">
      <c r="A26" s="892" t="s">
        <v>394</v>
      </c>
      <c r="B26" s="893"/>
      <c r="C26" s="893"/>
      <c r="G26" s="885" t="s">
        <v>391</v>
      </c>
      <c r="H26" s="895" t="s">
        <v>285</v>
      </c>
      <c r="L26" s="360"/>
      <c r="M26" s="993" t="s">
        <v>23</v>
      </c>
      <c r="N26" s="976"/>
      <c r="S26" s="993" t="s">
        <v>334</v>
      </c>
      <c r="T26" s="976"/>
    </row>
    <row r="27" spans="1:20" s="360" customFormat="1" x14ac:dyDescent="0.2">
      <c r="A27" s="409" t="s">
        <v>297</v>
      </c>
      <c r="B27" s="365"/>
      <c r="C27" s="365"/>
      <c r="D27" s="779"/>
      <c r="E27" s="779"/>
      <c r="F27" s="779"/>
      <c r="G27" s="782">
        <v>2014</v>
      </c>
      <c r="H27" s="782">
        <v>2015</v>
      </c>
      <c r="J27" s="780"/>
      <c r="K27" s="780"/>
      <c r="M27" s="520">
        <f>G27</f>
        <v>2014</v>
      </c>
      <c r="N27" s="520">
        <f>H27</f>
        <v>2015</v>
      </c>
      <c r="S27" s="520">
        <f>M27</f>
        <v>2014</v>
      </c>
      <c r="T27" s="520">
        <f>N27</f>
        <v>2015</v>
      </c>
    </row>
    <row r="28" spans="1:20" s="360" customFormat="1" x14ac:dyDescent="0.2">
      <c r="A28" s="500"/>
      <c r="B28" s="365"/>
      <c r="C28" s="365"/>
      <c r="D28" s="779"/>
      <c r="E28" s="779"/>
      <c r="F28" s="779"/>
      <c r="J28" s="780"/>
      <c r="K28" s="780"/>
    </row>
    <row r="29" spans="1:20" s="360" customFormat="1" x14ac:dyDescent="0.2">
      <c r="A29" s="516" t="str">
        <f>'Data 2009-15 (Real $2008)'!A71</f>
        <v>Metering data services</v>
      </c>
      <c r="B29" s="365"/>
      <c r="C29" s="365"/>
      <c r="D29" s="779"/>
      <c r="E29" s="779"/>
      <c r="F29" s="779"/>
      <c r="G29" s="516" t="str">
        <f>'Data 2009-15 (Real $2008)'!E71</f>
        <v>Charge per meter ($ p.a.)</v>
      </c>
      <c r="J29" s="780"/>
      <c r="K29" s="780"/>
    </row>
    <row r="30" spans="1:20" s="360" customFormat="1" x14ac:dyDescent="0.2">
      <c r="A30" s="360" t="str">
        <f>'Data 2009-15 (Real $2008)'!A72</f>
        <v>metering data services - monthly read meter</v>
      </c>
      <c r="B30" s="365"/>
      <c r="C30" s="365"/>
      <c r="D30" s="779"/>
      <c r="E30" s="779"/>
      <c r="F30" s="779"/>
      <c r="G30" s="518">
        <f>'Data 2009-15 (Real $2008)'!I72</f>
        <v>0</v>
      </c>
      <c r="H30" s="518">
        <f>'Data 2009-15 (Real $2008)'!J72</f>
        <v>0</v>
      </c>
      <c r="J30" s="780"/>
      <c r="K30" s="780"/>
      <c r="M30" s="517">
        <f>'Data 2009-15 (Real $2008)'!P72</f>
        <v>0</v>
      </c>
      <c r="N30" s="517">
        <f>'Data 2009-15 (Real $2008)'!Q72</f>
        <v>0</v>
      </c>
      <c r="S30" s="82">
        <f t="shared" ref="S30:T36" si="5">G30*M30/10^3</f>
        <v>0</v>
      </c>
      <c r="T30" s="82">
        <f t="shared" si="5"/>
        <v>0</v>
      </c>
    </row>
    <row r="31" spans="1:20" s="360" customFormat="1" x14ac:dyDescent="0.2">
      <c r="A31" s="360" t="str">
        <f>'Data 2009-15 (Real $2008)'!A73</f>
        <v>metering data services - quarterly read meter</v>
      </c>
      <c r="B31" s="365"/>
      <c r="C31" s="365"/>
      <c r="D31" s="779"/>
      <c r="E31" s="779"/>
      <c r="F31" s="779"/>
      <c r="G31" s="518">
        <f>'Data 2009-15 (Real $2008)'!I73</f>
        <v>0</v>
      </c>
      <c r="H31" s="518">
        <f>'Data 2009-15 (Real $2008)'!J73</f>
        <v>0</v>
      </c>
      <c r="J31" s="780"/>
      <c r="K31" s="780"/>
      <c r="M31" s="517">
        <f>'Data 2009-15 (Real $2008)'!P73</f>
        <v>0</v>
      </c>
      <c r="N31" s="517">
        <f>'Data 2009-15 (Real $2008)'!Q73</f>
        <v>0</v>
      </c>
      <c r="S31" s="82">
        <f t="shared" si="5"/>
        <v>0</v>
      </c>
      <c r="T31" s="82">
        <f t="shared" si="5"/>
        <v>0</v>
      </c>
    </row>
    <row r="32" spans="1:20" s="360" customFormat="1" x14ac:dyDescent="0.2">
      <c r="A32" s="360" t="str">
        <f>'Data 2009-15 (Real $2008)'!A74</f>
        <v>Other Category 1 : Describe………………..</v>
      </c>
      <c r="B32" s="365"/>
      <c r="C32" s="365"/>
      <c r="D32" s="779"/>
      <c r="E32" s="779"/>
      <c r="F32" s="779"/>
      <c r="G32" s="518">
        <f>'Data 2009-15 (Real $2008)'!I74</f>
        <v>0</v>
      </c>
      <c r="H32" s="518">
        <f>'Data 2009-15 (Real $2008)'!J74</f>
        <v>0</v>
      </c>
      <c r="J32" s="780"/>
      <c r="K32" s="780"/>
      <c r="M32" s="517">
        <f>'Data 2009-15 (Real $2008)'!P74</f>
        <v>0</v>
      </c>
      <c r="N32" s="517">
        <f>'Data 2009-15 (Real $2008)'!Q74</f>
        <v>0</v>
      </c>
      <c r="S32" s="82">
        <f t="shared" si="5"/>
        <v>0</v>
      </c>
      <c r="T32" s="82">
        <f t="shared" si="5"/>
        <v>0</v>
      </c>
    </row>
    <row r="33" spans="1:20" s="360" customFormat="1" x14ac:dyDescent="0.2">
      <c r="A33" s="360" t="str">
        <f>'Data 2009-15 (Real $2008)'!A75</f>
        <v>Other Category 2 : Describe………………..</v>
      </c>
      <c r="B33" s="365"/>
      <c r="C33" s="365"/>
      <c r="D33" s="779"/>
      <c r="E33" s="779"/>
      <c r="F33" s="779"/>
      <c r="G33" s="518">
        <f>'Data 2009-15 (Real $2008)'!I75</f>
        <v>0</v>
      </c>
      <c r="H33" s="518">
        <f>'Data 2009-15 (Real $2008)'!J75</f>
        <v>0</v>
      </c>
      <c r="J33" s="780"/>
      <c r="K33" s="780"/>
      <c r="M33" s="517">
        <f>'Data 2009-15 (Real $2008)'!P75</f>
        <v>0</v>
      </c>
      <c r="N33" s="517">
        <f>'Data 2009-15 (Real $2008)'!Q75</f>
        <v>0</v>
      </c>
      <c r="S33" s="82">
        <f t="shared" si="5"/>
        <v>0</v>
      </c>
      <c r="T33" s="82">
        <f t="shared" si="5"/>
        <v>0</v>
      </c>
    </row>
    <row r="34" spans="1:20" s="360" customFormat="1" x14ac:dyDescent="0.2">
      <c r="A34" s="360" t="str">
        <f>'Data 2009-15 (Real $2008)'!A76</f>
        <v>Other Category 3 : Describe………………..</v>
      </c>
      <c r="B34" s="365"/>
      <c r="C34" s="365"/>
      <c r="D34" s="779"/>
      <c r="E34" s="779"/>
      <c r="F34" s="779"/>
      <c r="G34" s="518">
        <f>'Data 2009-15 (Real $2008)'!I76</f>
        <v>0</v>
      </c>
      <c r="H34" s="518">
        <f>'Data 2009-15 (Real $2008)'!J76</f>
        <v>0</v>
      </c>
      <c r="J34" s="780"/>
      <c r="K34" s="780"/>
      <c r="M34" s="517">
        <f>'Data 2009-15 (Real $2008)'!P76</f>
        <v>0</v>
      </c>
      <c r="N34" s="517">
        <f>'Data 2009-15 (Real $2008)'!Q76</f>
        <v>0</v>
      </c>
      <c r="S34" s="82">
        <f t="shared" si="5"/>
        <v>0</v>
      </c>
      <c r="T34" s="82">
        <f t="shared" si="5"/>
        <v>0</v>
      </c>
    </row>
    <row r="35" spans="1:20" s="360" customFormat="1" x14ac:dyDescent="0.2">
      <c r="A35" s="360" t="str">
        <f>'Data 2009-15 (Real $2008)'!A77</f>
        <v>Other Category 4 : Describe………………..</v>
      </c>
      <c r="B35" s="365"/>
      <c r="C35" s="365"/>
      <c r="D35" s="779"/>
      <c r="E35" s="779"/>
      <c r="F35" s="779"/>
      <c r="G35" s="518">
        <f>'Data 2009-15 (Real $2008)'!I77</f>
        <v>0</v>
      </c>
      <c r="H35" s="518">
        <f>'Data 2009-15 (Real $2008)'!J77</f>
        <v>0</v>
      </c>
      <c r="J35" s="780"/>
      <c r="K35" s="780"/>
      <c r="M35" s="517">
        <f>'Data 2009-15 (Real $2008)'!P77</f>
        <v>0</v>
      </c>
      <c r="N35" s="517">
        <f>'Data 2009-15 (Real $2008)'!Q77</f>
        <v>0</v>
      </c>
      <c r="S35" s="82">
        <f t="shared" si="5"/>
        <v>0</v>
      </c>
      <c r="T35" s="82">
        <f t="shared" si="5"/>
        <v>0</v>
      </c>
    </row>
    <row r="36" spans="1:20" s="360" customFormat="1" x14ac:dyDescent="0.2">
      <c r="A36" s="360" t="str">
        <f>'Data 2009-15 (Real $2008)'!A78</f>
        <v>Other Category 5 : Describe………………..</v>
      </c>
      <c r="B36" s="365"/>
      <c r="C36" s="365"/>
      <c r="D36" s="779"/>
      <c r="E36" s="779"/>
      <c r="F36" s="779"/>
      <c r="G36" s="518">
        <f>'Data 2009-15 (Real $2008)'!I78</f>
        <v>0</v>
      </c>
      <c r="H36" s="518">
        <f>'Data 2009-15 (Real $2008)'!J78</f>
        <v>0</v>
      </c>
      <c r="J36" s="780"/>
      <c r="K36" s="780"/>
      <c r="M36" s="517">
        <f>'Data 2009-15 (Real $2008)'!P78</f>
        <v>0</v>
      </c>
      <c r="N36" s="517">
        <f>'Data 2009-15 (Real $2008)'!Q78</f>
        <v>0</v>
      </c>
      <c r="S36" s="82">
        <f t="shared" si="5"/>
        <v>0</v>
      </c>
      <c r="T36" s="82">
        <f t="shared" si="5"/>
        <v>0</v>
      </c>
    </row>
    <row r="37" spans="1:20" s="360" customFormat="1" x14ac:dyDescent="0.2">
      <c r="B37" s="365"/>
      <c r="C37" s="365"/>
      <c r="D37" s="779"/>
      <c r="E37" s="779"/>
      <c r="F37" s="779"/>
      <c r="J37" s="780"/>
      <c r="K37" s="780"/>
    </row>
    <row r="38" spans="1:20" s="360" customFormat="1" x14ac:dyDescent="0.2">
      <c r="B38" s="365"/>
      <c r="C38" s="365"/>
      <c r="D38" s="779"/>
      <c r="E38" s="779"/>
      <c r="F38" s="779"/>
      <c r="J38" s="780"/>
      <c r="K38" s="780"/>
    </row>
    <row r="39" spans="1:20" s="360" customFormat="1" x14ac:dyDescent="0.2">
      <c r="A39" s="516" t="str">
        <f>'Data 2009-15 (Real $2008)'!A81</f>
        <v>Metering data services</v>
      </c>
      <c r="B39" s="365"/>
      <c r="C39" s="365"/>
      <c r="D39" s="779"/>
      <c r="E39" s="779"/>
      <c r="F39" s="779"/>
      <c r="G39" s="516" t="str">
        <f>'Data 2009-15 (Real $2008)'!E81</f>
        <v>Charge per NMIs ($ p.a.)</v>
      </c>
      <c r="J39" s="780"/>
      <c r="K39" s="780"/>
    </row>
    <row r="40" spans="1:20" s="360" customFormat="1" x14ac:dyDescent="0.2">
      <c r="A40" s="360" t="str">
        <f>'Data 2009-15 (Real $2008)'!A82</f>
        <v>metering data services - monthly read meter</v>
      </c>
      <c r="B40" s="365"/>
      <c r="C40" s="365"/>
      <c r="D40" s="779"/>
      <c r="E40" s="779"/>
      <c r="F40" s="779"/>
      <c r="G40" s="518">
        <f>'Data 2009-15 (Real $2008)'!I82</f>
        <v>0</v>
      </c>
      <c r="H40" s="518">
        <f>'Data 2009-15 (Real $2008)'!J82</f>
        <v>0</v>
      </c>
      <c r="J40" s="780"/>
      <c r="K40" s="780"/>
      <c r="M40" s="517">
        <f>'Data 2009-15 (Real $2008)'!P82</f>
        <v>0</v>
      </c>
      <c r="N40" s="517">
        <f>'Data 2009-15 (Real $2008)'!Q82</f>
        <v>0</v>
      </c>
      <c r="S40" s="82">
        <f t="shared" ref="S40:T46" si="6">G40*M40/10^3</f>
        <v>0</v>
      </c>
      <c r="T40" s="82">
        <f t="shared" si="6"/>
        <v>0</v>
      </c>
    </row>
    <row r="41" spans="1:20" s="360" customFormat="1" x14ac:dyDescent="0.2">
      <c r="A41" s="360" t="str">
        <f>'Data 2009-15 (Real $2008)'!A83</f>
        <v>metering data services - quarterly read meter</v>
      </c>
      <c r="B41" s="365"/>
      <c r="C41" s="365"/>
      <c r="D41" s="779"/>
      <c r="E41" s="779"/>
      <c r="F41" s="779"/>
      <c r="G41" s="518">
        <f>'Data 2009-15 (Real $2008)'!I83</f>
        <v>0</v>
      </c>
      <c r="H41" s="518">
        <f>'Data 2009-15 (Real $2008)'!J83</f>
        <v>0</v>
      </c>
      <c r="J41" s="780"/>
      <c r="K41" s="780"/>
      <c r="M41" s="517">
        <f>'Data 2009-15 (Real $2008)'!P83</f>
        <v>0</v>
      </c>
      <c r="N41" s="517">
        <f>'Data 2009-15 (Real $2008)'!Q83</f>
        <v>0</v>
      </c>
      <c r="S41" s="82">
        <f t="shared" si="6"/>
        <v>0</v>
      </c>
      <c r="T41" s="82">
        <f t="shared" si="6"/>
        <v>0</v>
      </c>
    </row>
    <row r="42" spans="1:20" s="360" customFormat="1" x14ac:dyDescent="0.2">
      <c r="A42" s="360" t="str">
        <f>'Data 2009-15 (Real $2008)'!A84</f>
        <v>Other Category 1 : Describe………………..</v>
      </c>
      <c r="B42" s="365"/>
      <c r="C42" s="365"/>
      <c r="D42" s="779"/>
      <c r="E42" s="779"/>
      <c r="F42" s="779"/>
      <c r="G42" s="518">
        <f>'Data 2009-15 (Real $2008)'!I84</f>
        <v>0</v>
      </c>
      <c r="H42" s="518">
        <f>'Data 2009-15 (Real $2008)'!J84</f>
        <v>0</v>
      </c>
      <c r="J42" s="780"/>
      <c r="K42" s="780"/>
      <c r="M42" s="517">
        <f>'Data 2009-15 (Real $2008)'!P84</f>
        <v>0</v>
      </c>
      <c r="N42" s="517">
        <f>'Data 2009-15 (Real $2008)'!Q84</f>
        <v>0</v>
      </c>
      <c r="S42" s="82">
        <f t="shared" si="6"/>
        <v>0</v>
      </c>
      <c r="T42" s="82">
        <f t="shared" si="6"/>
        <v>0</v>
      </c>
    </row>
    <row r="43" spans="1:20" s="360" customFormat="1" x14ac:dyDescent="0.2">
      <c r="A43" s="360" t="str">
        <f>'Data 2009-15 (Real $2008)'!A85</f>
        <v>Other Category 2 : Describe………………..</v>
      </c>
      <c r="B43" s="365"/>
      <c r="C43" s="365"/>
      <c r="D43" s="779"/>
      <c r="E43" s="779"/>
      <c r="F43" s="779"/>
      <c r="G43" s="518">
        <f>'Data 2009-15 (Real $2008)'!I85</f>
        <v>0</v>
      </c>
      <c r="H43" s="518">
        <f>'Data 2009-15 (Real $2008)'!J85</f>
        <v>0</v>
      </c>
      <c r="J43" s="780"/>
      <c r="K43" s="780"/>
      <c r="M43" s="517">
        <f>'Data 2009-15 (Real $2008)'!P85</f>
        <v>0</v>
      </c>
      <c r="N43" s="517">
        <f>'Data 2009-15 (Real $2008)'!Q85</f>
        <v>0</v>
      </c>
      <c r="S43" s="82">
        <f t="shared" si="6"/>
        <v>0</v>
      </c>
      <c r="T43" s="82">
        <f t="shared" si="6"/>
        <v>0</v>
      </c>
    </row>
    <row r="44" spans="1:20" s="360" customFormat="1" x14ac:dyDescent="0.2">
      <c r="A44" s="360" t="str">
        <f>'Data 2009-15 (Real $2008)'!A86</f>
        <v>Other Category 3 : Describe………………..</v>
      </c>
      <c r="B44" s="365"/>
      <c r="C44" s="365"/>
      <c r="D44" s="779"/>
      <c r="E44" s="779"/>
      <c r="F44" s="779"/>
      <c r="G44" s="518">
        <f>'Data 2009-15 (Real $2008)'!I86</f>
        <v>0</v>
      </c>
      <c r="H44" s="518">
        <f>'Data 2009-15 (Real $2008)'!J86</f>
        <v>0</v>
      </c>
      <c r="J44" s="780"/>
      <c r="K44" s="780"/>
      <c r="M44" s="517">
        <f>'Data 2009-15 (Real $2008)'!P86</f>
        <v>0</v>
      </c>
      <c r="N44" s="517">
        <f>'Data 2009-15 (Real $2008)'!Q86</f>
        <v>0</v>
      </c>
      <c r="S44" s="82">
        <f t="shared" si="6"/>
        <v>0</v>
      </c>
      <c r="T44" s="82">
        <f t="shared" si="6"/>
        <v>0</v>
      </c>
    </row>
    <row r="45" spans="1:20" s="360" customFormat="1" x14ac:dyDescent="0.2">
      <c r="A45" s="360" t="str">
        <f>'Data 2009-15 (Real $2008)'!A87</f>
        <v>Other Category 4 : Describe………………..</v>
      </c>
      <c r="B45" s="365"/>
      <c r="C45" s="365"/>
      <c r="D45" s="779"/>
      <c r="E45" s="779"/>
      <c r="F45" s="779"/>
      <c r="G45" s="518">
        <f>'Data 2009-15 (Real $2008)'!I87</f>
        <v>0</v>
      </c>
      <c r="H45" s="518">
        <f>'Data 2009-15 (Real $2008)'!J87</f>
        <v>0</v>
      </c>
      <c r="J45" s="780"/>
      <c r="K45" s="780"/>
      <c r="M45" s="517">
        <f>'Data 2009-15 (Real $2008)'!P87</f>
        <v>0</v>
      </c>
      <c r="N45" s="517">
        <f>'Data 2009-15 (Real $2008)'!Q87</f>
        <v>0</v>
      </c>
      <c r="S45" s="82">
        <f t="shared" si="6"/>
        <v>0</v>
      </c>
      <c r="T45" s="82">
        <f t="shared" si="6"/>
        <v>0</v>
      </c>
    </row>
    <row r="46" spans="1:20" s="360" customFormat="1" x14ac:dyDescent="0.2">
      <c r="A46" s="360" t="str">
        <f>'Data 2009-15 (Real $2008)'!A88</f>
        <v>Other Category 5 : Describe………………..</v>
      </c>
      <c r="B46" s="365"/>
      <c r="C46" s="365"/>
      <c r="D46" s="779"/>
      <c r="E46" s="779"/>
      <c r="F46" s="779"/>
      <c r="G46" s="518">
        <f>'Data 2009-15 (Real $2008)'!I88</f>
        <v>0</v>
      </c>
      <c r="H46" s="518">
        <f>'Data 2009-15 (Real $2008)'!J88</f>
        <v>0</v>
      </c>
      <c r="J46" s="780"/>
      <c r="K46" s="780"/>
      <c r="M46" s="517">
        <f>'Data 2009-15 (Real $2008)'!P88</f>
        <v>0</v>
      </c>
      <c r="N46" s="517">
        <f>'Data 2009-15 (Real $2008)'!Q88</f>
        <v>0</v>
      </c>
      <c r="S46" s="82">
        <f t="shared" si="6"/>
        <v>0</v>
      </c>
      <c r="T46" s="82">
        <f t="shared" si="6"/>
        <v>0</v>
      </c>
    </row>
    <row r="47" spans="1:20" s="360" customFormat="1" x14ac:dyDescent="0.2">
      <c r="B47" s="365"/>
      <c r="C47" s="365"/>
      <c r="D47" s="779"/>
      <c r="E47" s="779"/>
      <c r="F47" s="779"/>
      <c r="J47" s="780"/>
      <c r="K47" s="780"/>
    </row>
    <row r="48" spans="1:20" s="360" customFormat="1" x14ac:dyDescent="0.2">
      <c r="B48" s="365"/>
      <c r="C48" s="365"/>
      <c r="D48" s="779"/>
      <c r="E48" s="779"/>
      <c r="F48" s="779"/>
      <c r="J48" s="780"/>
      <c r="K48" s="780"/>
    </row>
    <row r="49" spans="1:20" s="360" customFormat="1" x14ac:dyDescent="0.2">
      <c r="A49" s="516" t="str">
        <f>'Data 2009-15 (Real $2008)'!A91</f>
        <v>Meter provision Charge</v>
      </c>
      <c r="B49" s="365"/>
      <c r="C49" s="365"/>
      <c r="D49" s="779"/>
      <c r="E49" s="779"/>
      <c r="F49" s="779"/>
      <c r="G49" s="516" t="str">
        <f>'Data 2009-15 (Real $2008)'!E91</f>
        <v>Charge per meter ($ p.a.)</v>
      </c>
      <c r="J49" s="780"/>
      <c r="K49" s="780"/>
    </row>
    <row r="50" spans="1:20" s="360" customFormat="1" x14ac:dyDescent="0.2">
      <c r="A50" s="360" t="str">
        <f>'Data 2009-15 (Real $2008)'!A92</f>
        <v>single phase single element meter</v>
      </c>
      <c r="B50" s="365"/>
      <c r="C50" s="365"/>
      <c r="D50" s="779"/>
      <c r="E50" s="779"/>
      <c r="F50" s="779"/>
      <c r="G50" s="518">
        <f>'Data 2009-15 (Real $2008)'!I92</f>
        <v>0</v>
      </c>
      <c r="H50" s="518">
        <f>'Data 2009-15 (Real $2008)'!J92</f>
        <v>0</v>
      </c>
      <c r="J50" s="780"/>
      <c r="K50" s="780"/>
      <c r="M50" s="517">
        <f>'Data 2009-15 (Real $2008)'!P92</f>
        <v>0</v>
      </c>
      <c r="N50" s="517">
        <f>'Data 2009-15 (Real $2008)'!Q92</f>
        <v>0</v>
      </c>
      <c r="S50" s="82">
        <f t="shared" ref="S50:T60" si="7">G50*M50/10^3</f>
        <v>0</v>
      </c>
      <c r="T50" s="82">
        <f t="shared" si="7"/>
        <v>0</v>
      </c>
    </row>
    <row r="51" spans="1:20" s="360" customFormat="1" x14ac:dyDescent="0.2">
      <c r="A51" s="360" t="str">
        <f>'Data 2009-15 (Real $2008)'!A93</f>
        <v>single phase single element meter with contactor</v>
      </c>
      <c r="B51" s="365"/>
      <c r="C51" s="365"/>
      <c r="D51" s="779"/>
      <c r="E51" s="779"/>
      <c r="F51" s="779"/>
      <c r="G51" s="518">
        <f>'Data 2009-15 (Real $2008)'!I93</f>
        <v>0</v>
      </c>
      <c r="H51" s="518">
        <f>'Data 2009-15 (Real $2008)'!J93</f>
        <v>0</v>
      </c>
      <c r="J51" s="780"/>
      <c r="K51" s="780"/>
      <c r="M51" s="517">
        <f>'Data 2009-15 (Real $2008)'!P93</f>
        <v>0</v>
      </c>
      <c r="N51" s="517">
        <f>'Data 2009-15 (Real $2008)'!Q93</f>
        <v>0</v>
      </c>
      <c r="S51" s="82">
        <f t="shared" si="7"/>
        <v>0</v>
      </c>
      <c r="T51" s="82">
        <f t="shared" si="7"/>
        <v>0</v>
      </c>
    </row>
    <row r="52" spans="1:20" s="360" customFormat="1" x14ac:dyDescent="0.2">
      <c r="A52" s="360" t="str">
        <f>'Data 2009-15 (Real $2008)'!A94</f>
        <v>single phase two element meter with contactor</v>
      </c>
      <c r="B52" s="365"/>
      <c r="C52" s="365"/>
      <c r="D52" s="779"/>
      <c r="E52" s="779"/>
      <c r="F52" s="779"/>
      <c r="G52" s="518">
        <f>'Data 2009-15 (Real $2008)'!I94</f>
        <v>0</v>
      </c>
      <c r="H52" s="518">
        <f>'Data 2009-15 (Real $2008)'!J94</f>
        <v>0</v>
      </c>
      <c r="J52" s="780"/>
      <c r="K52" s="780"/>
      <c r="M52" s="517">
        <f>'Data 2009-15 (Real $2008)'!P94</f>
        <v>0</v>
      </c>
      <c r="N52" s="517">
        <f>'Data 2009-15 (Real $2008)'!Q94</f>
        <v>0</v>
      </c>
      <c r="S52" s="82">
        <f t="shared" si="7"/>
        <v>0</v>
      </c>
      <c r="T52" s="82">
        <f t="shared" si="7"/>
        <v>0</v>
      </c>
    </row>
    <row r="53" spans="1:20" s="360" customFormat="1" x14ac:dyDescent="0.2">
      <c r="A53" s="360" t="str">
        <f>'Data 2009-15 (Real $2008)'!A95</f>
        <v>three phase direct connected meter</v>
      </c>
      <c r="B53" s="365"/>
      <c r="C53" s="365"/>
      <c r="D53" s="779"/>
      <c r="E53" s="779"/>
      <c r="F53" s="779"/>
      <c r="G53" s="518">
        <f>'Data 2009-15 (Real $2008)'!I95</f>
        <v>0</v>
      </c>
      <c r="H53" s="518">
        <f>'Data 2009-15 (Real $2008)'!J95</f>
        <v>0</v>
      </c>
      <c r="J53" s="780"/>
      <c r="K53" s="780"/>
      <c r="M53" s="517">
        <f>'Data 2009-15 (Real $2008)'!P95</f>
        <v>0</v>
      </c>
      <c r="N53" s="517">
        <f>'Data 2009-15 (Real $2008)'!Q95</f>
        <v>0</v>
      </c>
      <c r="S53" s="82">
        <f t="shared" si="7"/>
        <v>0</v>
      </c>
      <c r="T53" s="82">
        <f t="shared" si="7"/>
        <v>0</v>
      </c>
    </row>
    <row r="54" spans="1:20" s="360" customFormat="1" x14ac:dyDescent="0.2">
      <c r="A54" s="360" t="str">
        <f>'Data 2009-15 (Real $2008)'!A96</f>
        <v>three phase direct connected meter with contactor</v>
      </c>
      <c r="B54" s="365"/>
      <c r="C54" s="365"/>
      <c r="D54" s="779"/>
      <c r="E54" s="779"/>
      <c r="F54" s="779"/>
      <c r="G54" s="518">
        <f>'Data 2009-15 (Real $2008)'!I96</f>
        <v>0</v>
      </c>
      <c r="H54" s="518">
        <f>'Data 2009-15 (Real $2008)'!J96</f>
        <v>0</v>
      </c>
      <c r="J54" s="780"/>
      <c r="K54" s="780"/>
      <c r="M54" s="517">
        <f>'Data 2009-15 (Real $2008)'!P96</f>
        <v>0</v>
      </c>
      <c r="N54" s="517">
        <f>'Data 2009-15 (Real $2008)'!Q96</f>
        <v>0</v>
      </c>
      <c r="S54" s="82">
        <f t="shared" si="7"/>
        <v>0</v>
      </c>
      <c r="T54" s="82">
        <f t="shared" si="7"/>
        <v>0</v>
      </c>
    </row>
    <row r="55" spans="1:20" s="360" customFormat="1" x14ac:dyDescent="0.2">
      <c r="A55" s="360" t="str">
        <f>'Data 2009-15 (Real $2008)'!A97</f>
        <v>three phase Current transformer connected meter</v>
      </c>
      <c r="B55" s="365"/>
      <c r="C55" s="365"/>
      <c r="D55" s="779"/>
      <c r="E55" s="779"/>
      <c r="F55" s="779"/>
      <c r="G55" s="518">
        <f>'Data 2009-15 (Real $2008)'!I97</f>
        <v>0</v>
      </c>
      <c r="H55" s="518">
        <f>'Data 2009-15 (Real $2008)'!J97</f>
        <v>0</v>
      </c>
      <c r="J55" s="780"/>
      <c r="K55" s="780"/>
      <c r="M55" s="517">
        <f>'Data 2009-15 (Real $2008)'!P97</f>
        <v>0</v>
      </c>
      <c r="N55" s="517">
        <f>'Data 2009-15 (Real $2008)'!Q97</f>
        <v>0</v>
      </c>
      <c r="S55" s="82">
        <f t="shared" si="7"/>
        <v>0</v>
      </c>
      <c r="T55" s="82">
        <f t="shared" si="7"/>
        <v>0</v>
      </c>
    </row>
    <row r="56" spans="1:20" s="360" customFormat="1" x14ac:dyDescent="0.2">
      <c r="A56" s="360" t="str">
        <f>'Data 2009-15 (Real $2008)'!A98</f>
        <v>Single phase single element 1 contactor (1load control)</v>
      </c>
      <c r="B56" s="365"/>
      <c r="C56" s="365"/>
      <c r="D56" s="779"/>
      <c r="E56" s="779"/>
      <c r="F56" s="779"/>
      <c r="G56" s="518">
        <f>'Data 2009-15 (Real $2008)'!I98</f>
        <v>160.21</v>
      </c>
      <c r="H56" s="518">
        <f>'Data 2009-15 (Real $2008)'!J98</f>
        <v>205.54</v>
      </c>
      <c r="J56" s="780"/>
      <c r="K56" s="780"/>
      <c r="M56" s="517">
        <f>'Data 2009-15 (Real $2008)'!P98</f>
        <v>398557.46675785119</v>
      </c>
      <c r="N56" s="517">
        <f>'Data 2009-15 (Real $2008)'!Q98</f>
        <v>406120.02995804162</v>
      </c>
      <c r="S56" s="82">
        <f t="shared" si="7"/>
        <v>63852.891749275339</v>
      </c>
      <c r="T56" s="82">
        <f t="shared" si="7"/>
        <v>83473.910957575878</v>
      </c>
    </row>
    <row r="57" spans="1:20" s="360" customFormat="1" x14ac:dyDescent="0.2">
      <c r="A57" s="360" t="str">
        <f>'Data 2009-15 (Real $2008)'!A99</f>
        <v>Single phase two element 2 contactors (2 load controls)</v>
      </c>
      <c r="B57" s="365"/>
      <c r="C57" s="365"/>
      <c r="D57" s="779"/>
      <c r="E57" s="779"/>
      <c r="F57" s="779"/>
      <c r="G57" s="518">
        <f>'Data 2009-15 (Real $2008)'!I99</f>
        <v>184.1</v>
      </c>
      <c r="H57" s="518">
        <f>'Data 2009-15 (Real $2008)'!J99</f>
        <v>236.19</v>
      </c>
      <c r="J57" s="780"/>
      <c r="K57" s="780"/>
      <c r="M57" s="517">
        <f>'Data 2009-15 (Real $2008)'!P99</f>
        <v>156548.59239537409</v>
      </c>
      <c r="N57" s="517">
        <f>'Data 2009-15 (Real $2008)'!Q99</f>
        <v>157702.89891689076</v>
      </c>
      <c r="S57" s="82">
        <f t="shared" si="7"/>
        <v>28820.595859988371</v>
      </c>
      <c r="T57" s="82">
        <f t="shared" si="7"/>
        <v>37247.847695180433</v>
      </c>
    </row>
    <row r="58" spans="1:20" s="360" customFormat="1" x14ac:dyDescent="0.2">
      <c r="A58" s="360" t="str">
        <f>'Data 2009-15 (Real $2008)'!A100</f>
        <v>Multiphase 1 contactor (1 load control)</v>
      </c>
      <c r="B58" s="365"/>
      <c r="C58" s="365"/>
      <c r="D58" s="779"/>
      <c r="E58" s="779"/>
      <c r="F58" s="779"/>
      <c r="G58" s="518">
        <f>'Data 2009-15 (Real $2008)'!I100</f>
        <v>222.42</v>
      </c>
      <c r="H58" s="518">
        <f>'Data 2009-15 (Real $2008)'!J100</f>
        <v>285.36</v>
      </c>
      <c r="J58" s="780"/>
      <c r="K58" s="780"/>
      <c r="M58" s="517">
        <f>'Data 2009-15 (Real $2008)'!P100</f>
        <v>84284.130234145021</v>
      </c>
      <c r="N58" s="517">
        <f>'Data 2009-15 (Real $2008)'!Q100</f>
        <v>85357.055867229894</v>
      </c>
      <c r="S58" s="82">
        <f t="shared" si="7"/>
        <v>18746.476246678536</v>
      </c>
      <c r="T58" s="82">
        <f t="shared" si="7"/>
        <v>24357.489462272722</v>
      </c>
    </row>
    <row r="59" spans="1:20" s="360" customFormat="1" x14ac:dyDescent="0.2">
      <c r="A59" s="360" t="str">
        <f>'Data 2009-15 (Real $2008)'!A101</f>
        <v>Multiphase 2 contactors (2 load controls)</v>
      </c>
      <c r="B59" s="365"/>
      <c r="C59" s="365"/>
      <c r="D59" s="779"/>
      <c r="E59" s="779"/>
      <c r="F59" s="779"/>
      <c r="G59" s="518">
        <f>'Data 2009-15 (Real $2008)'!I101</f>
        <v>246.73</v>
      </c>
      <c r="H59" s="518">
        <f>'Data 2009-15 (Real $2008)'!J101</f>
        <v>316.54000000000002</v>
      </c>
      <c r="J59" s="780"/>
      <c r="K59" s="780"/>
      <c r="M59" s="517">
        <f>'Data 2009-15 (Real $2008)'!P101</f>
        <v>42292.871638879471</v>
      </c>
      <c r="N59" s="517">
        <f>'Data 2009-15 (Real $2008)'!Q101</f>
        <v>42316.309334747828</v>
      </c>
      <c r="S59" s="82">
        <f t="shared" si="7"/>
        <v>10434.920219460731</v>
      </c>
      <c r="T59" s="82">
        <f t="shared" si="7"/>
        <v>13394.804556821078</v>
      </c>
    </row>
    <row r="60" spans="1:20" s="360" customFormat="1" x14ac:dyDescent="0.2">
      <c r="A60" s="360" t="str">
        <f>'Data 2009-15 (Real $2008)'!A102</f>
        <v>Multiphase CT connected</v>
      </c>
      <c r="B60" s="365"/>
      <c r="C60" s="365"/>
      <c r="D60" s="779"/>
      <c r="E60" s="779"/>
      <c r="F60" s="779"/>
      <c r="G60" s="518">
        <f>'Data 2009-15 (Real $2008)'!I102</f>
        <v>317.7</v>
      </c>
      <c r="H60" s="518">
        <f>'Data 2009-15 (Real $2008)'!J102</f>
        <v>407.45000000000005</v>
      </c>
      <c r="J60" s="780"/>
      <c r="K60" s="780"/>
      <c r="M60" s="517">
        <f>'Data 2009-15 (Real $2008)'!P102</f>
        <v>3826.2809487502545</v>
      </c>
      <c r="N60" s="517">
        <f>'Data 2009-15 (Real $2008)'!Q102</f>
        <v>3864.6927280900645</v>
      </c>
      <c r="S60" s="82">
        <f t="shared" si="7"/>
        <v>1215.6094574179558</v>
      </c>
      <c r="T60" s="82">
        <f t="shared" si="7"/>
        <v>1574.669052060297</v>
      </c>
    </row>
    <row r="61" spans="1:20" s="360" customFormat="1" x14ac:dyDescent="0.2">
      <c r="B61" s="365"/>
      <c r="C61" s="365"/>
      <c r="D61" s="779"/>
      <c r="E61" s="779"/>
      <c r="F61" s="779"/>
      <c r="J61" s="780"/>
      <c r="K61" s="780"/>
    </row>
    <row r="62" spans="1:20" s="360" customFormat="1" x14ac:dyDescent="0.2">
      <c r="B62" s="365"/>
      <c r="C62" s="365"/>
      <c r="D62" s="779"/>
      <c r="E62" s="779"/>
      <c r="F62" s="779"/>
      <c r="J62" s="780"/>
      <c r="K62" s="780"/>
    </row>
    <row r="63" spans="1:20" s="360" customFormat="1" x14ac:dyDescent="0.2">
      <c r="A63" s="516" t="str">
        <f>'Data 2009-15 (Real $2008)'!A105</f>
        <v>Meter provision Charge</v>
      </c>
      <c r="B63" s="365"/>
      <c r="C63" s="365"/>
      <c r="D63" s="779"/>
      <c r="E63" s="779"/>
      <c r="F63" s="779"/>
      <c r="G63" s="516" t="str">
        <f>'Data 2009-15 (Real $2008)'!E105</f>
        <v>Charge per NMIs ($ p.a.)</v>
      </c>
      <c r="J63" s="780"/>
      <c r="K63" s="780"/>
    </row>
    <row r="64" spans="1:20" s="360" customFormat="1" x14ac:dyDescent="0.2">
      <c r="A64" s="360" t="str">
        <f>'Data 2009-15 (Real $2008)'!A106</f>
        <v>single phase single element meter</v>
      </c>
      <c r="B64" s="365"/>
      <c r="C64" s="365"/>
      <c r="D64" s="779"/>
      <c r="E64" s="779"/>
      <c r="F64" s="779"/>
      <c r="G64" s="518">
        <f>'Data 2009-15 (Real $2008)'!I106</f>
        <v>0</v>
      </c>
      <c r="H64" s="518">
        <f>'Data 2009-15 (Real $2008)'!J106</f>
        <v>0</v>
      </c>
      <c r="J64" s="780"/>
      <c r="K64" s="780"/>
      <c r="M64" s="517">
        <f>'Data 2009-15 (Real $2008)'!P106</f>
        <v>0</v>
      </c>
      <c r="N64" s="517">
        <f>'Data 2009-15 (Real $2008)'!Q106</f>
        <v>0</v>
      </c>
      <c r="S64" s="82">
        <f t="shared" ref="S64:T74" si="8">G64*M64/10^3</f>
        <v>0</v>
      </c>
      <c r="T64" s="82">
        <f t="shared" si="8"/>
        <v>0</v>
      </c>
    </row>
    <row r="65" spans="1:20" s="360" customFormat="1" x14ac:dyDescent="0.2">
      <c r="A65" s="360" t="str">
        <f>'Data 2009-15 (Real $2008)'!A107</f>
        <v>single phase single element meter with contactor</v>
      </c>
      <c r="B65" s="365"/>
      <c r="C65" s="365"/>
      <c r="D65" s="779"/>
      <c r="E65" s="779"/>
      <c r="F65" s="779"/>
      <c r="G65" s="518">
        <f>'Data 2009-15 (Real $2008)'!I107</f>
        <v>0</v>
      </c>
      <c r="H65" s="518">
        <f>'Data 2009-15 (Real $2008)'!J107</f>
        <v>0</v>
      </c>
      <c r="J65" s="780"/>
      <c r="K65" s="780"/>
      <c r="M65" s="517">
        <f>'Data 2009-15 (Real $2008)'!P107</f>
        <v>0</v>
      </c>
      <c r="N65" s="517">
        <f>'Data 2009-15 (Real $2008)'!Q107</f>
        <v>0</v>
      </c>
      <c r="S65" s="82">
        <f t="shared" si="8"/>
        <v>0</v>
      </c>
      <c r="T65" s="82">
        <f t="shared" si="8"/>
        <v>0</v>
      </c>
    </row>
    <row r="66" spans="1:20" s="360" customFormat="1" x14ac:dyDescent="0.2">
      <c r="A66" s="360" t="str">
        <f>'Data 2009-15 (Real $2008)'!A108</f>
        <v>single phase two element meter with contactor</v>
      </c>
      <c r="B66" s="365"/>
      <c r="C66" s="365"/>
      <c r="D66" s="779"/>
      <c r="E66" s="779"/>
      <c r="F66" s="779"/>
      <c r="G66" s="518">
        <f>'Data 2009-15 (Real $2008)'!I108</f>
        <v>0</v>
      </c>
      <c r="H66" s="518">
        <f>'Data 2009-15 (Real $2008)'!J108</f>
        <v>0</v>
      </c>
      <c r="J66" s="780"/>
      <c r="K66" s="780"/>
      <c r="M66" s="517">
        <f>'Data 2009-15 (Real $2008)'!P108</f>
        <v>0</v>
      </c>
      <c r="N66" s="517">
        <f>'Data 2009-15 (Real $2008)'!Q108</f>
        <v>0</v>
      </c>
      <c r="S66" s="82">
        <f t="shared" si="8"/>
        <v>0</v>
      </c>
      <c r="T66" s="82">
        <f t="shared" si="8"/>
        <v>0</v>
      </c>
    </row>
    <row r="67" spans="1:20" s="360" customFormat="1" x14ac:dyDescent="0.2">
      <c r="A67" s="360" t="str">
        <f>'Data 2009-15 (Real $2008)'!A109</f>
        <v>three phase direct connected meter</v>
      </c>
      <c r="B67" s="365"/>
      <c r="C67" s="365"/>
      <c r="D67" s="779"/>
      <c r="E67" s="779"/>
      <c r="F67" s="779"/>
      <c r="G67" s="518">
        <f>'Data 2009-15 (Real $2008)'!I109</f>
        <v>0</v>
      </c>
      <c r="H67" s="518">
        <f>'Data 2009-15 (Real $2008)'!J109</f>
        <v>0</v>
      </c>
      <c r="J67" s="780"/>
      <c r="K67" s="780"/>
      <c r="M67" s="517">
        <f>'Data 2009-15 (Real $2008)'!P109</f>
        <v>0</v>
      </c>
      <c r="N67" s="517">
        <f>'Data 2009-15 (Real $2008)'!Q109</f>
        <v>0</v>
      </c>
      <c r="S67" s="82">
        <f t="shared" si="8"/>
        <v>0</v>
      </c>
      <c r="T67" s="82">
        <f t="shared" si="8"/>
        <v>0</v>
      </c>
    </row>
    <row r="68" spans="1:20" s="360" customFormat="1" x14ac:dyDescent="0.2">
      <c r="A68" s="360" t="str">
        <f>'Data 2009-15 (Real $2008)'!A110</f>
        <v>three phase direct connected meter with contactor</v>
      </c>
      <c r="B68" s="365"/>
      <c r="C68" s="365"/>
      <c r="D68" s="779"/>
      <c r="E68" s="779"/>
      <c r="F68" s="779"/>
      <c r="G68" s="518">
        <f>'Data 2009-15 (Real $2008)'!I110</f>
        <v>0</v>
      </c>
      <c r="H68" s="518">
        <f>'Data 2009-15 (Real $2008)'!J110</f>
        <v>0</v>
      </c>
      <c r="J68" s="780"/>
      <c r="K68" s="780"/>
      <c r="M68" s="517">
        <f>'Data 2009-15 (Real $2008)'!P110</f>
        <v>0</v>
      </c>
      <c r="N68" s="517">
        <f>'Data 2009-15 (Real $2008)'!Q110</f>
        <v>0</v>
      </c>
      <c r="S68" s="82">
        <f t="shared" si="8"/>
        <v>0</v>
      </c>
      <c r="T68" s="82">
        <f t="shared" si="8"/>
        <v>0</v>
      </c>
    </row>
    <row r="69" spans="1:20" s="360" customFormat="1" x14ac:dyDescent="0.2">
      <c r="A69" s="360" t="str">
        <f>'Data 2009-15 (Real $2008)'!A111</f>
        <v>three phase Current transformer connected meter</v>
      </c>
      <c r="B69" s="365"/>
      <c r="C69" s="365"/>
      <c r="D69" s="779"/>
      <c r="E69" s="779"/>
      <c r="F69" s="779"/>
      <c r="G69" s="518">
        <f>'Data 2009-15 (Real $2008)'!I111</f>
        <v>0</v>
      </c>
      <c r="H69" s="518">
        <f>'Data 2009-15 (Real $2008)'!J111</f>
        <v>0</v>
      </c>
      <c r="J69" s="780"/>
      <c r="K69" s="780"/>
      <c r="M69" s="517">
        <f>'Data 2009-15 (Real $2008)'!P111</f>
        <v>0</v>
      </c>
      <c r="N69" s="517">
        <f>'Data 2009-15 (Real $2008)'!Q111</f>
        <v>0</v>
      </c>
      <c r="S69" s="82">
        <f t="shared" si="8"/>
        <v>0</v>
      </c>
      <c r="T69" s="82">
        <f t="shared" si="8"/>
        <v>0</v>
      </c>
    </row>
    <row r="70" spans="1:20" s="360" customFormat="1" x14ac:dyDescent="0.2">
      <c r="A70" s="360" t="str">
        <f>'Data 2009-15 (Real $2008)'!A112</f>
        <v>Other Category 1 : Describe………………..</v>
      </c>
      <c r="B70" s="365"/>
      <c r="C70" s="365"/>
      <c r="D70" s="779"/>
      <c r="E70" s="779"/>
      <c r="F70" s="779"/>
      <c r="G70" s="518">
        <f>'Data 2009-15 (Real $2008)'!I112</f>
        <v>0</v>
      </c>
      <c r="H70" s="518">
        <f>'Data 2009-15 (Real $2008)'!J112</f>
        <v>0</v>
      </c>
      <c r="J70" s="780"/>
      <c r="K70" s="780"/>
      <c r="M70" s="517">
        <f>'Data 2009-15 (Real $2008)'!P112</f>
        <v>0</v>
      </c>
      <c r="N70" s="517">
        <f>'Data 2009-15 (Real $2008)'!Q112</f>
        <v>0</v>
      </c>
      <c r="S70" s="82">
        <f t="shared" si="8"/>
        <v>0</v>
      </c>
      <c r="T70" s="82">
        <f t="shared" si="8"/>
        <v>0</v>
      </c>
    </row>
    <row r="71" spans="1:20" s="360" customFormat="1" x14ac:dyDescent="0.2">
      <c r="A71" s="360" t="str">
        <f>'Data 2009-15 (Real $2008)'!A113</f>
        <v>Other Category 2 : Describe………………..</v>
      </c>
      <c r="B71" s="365"/>
      <c r="C71" s="365"/>
      <c r="D71" s="779"/>
      <c r="E71" s="779"/>
      <c r="F71" s="779"/>
      <c r="G71" s="518">
        <f>'Data 2009-15 (Real $2008)'!I113</f>
        <v>0</v>
      </c>
      <c r="H71" s="518">
        <f>'Data 2009-15 (Real $2008)'!J113</f>
        <v>0</v>
      </c>
      <c r="J71" s="780"/>
      <c r="K71" s="780"/>
      <c r="M71" s="517">
        <f>'Data 2009-15 (Real $2008)'!P113</f>
        <v>0</v>
      </c>
      <c r="N71" s="517">
        <f>'Data 2009-15 (Real $2008)'!Q113</f>
        <v>0</v>
      </c>
      <c r="S71" s="82">
        <f t="shared" si="8"/>
        <v>0</v>
      </c>
      <c r="T71" s="82">
        <f t="shared" si="8"/>
        <v>0</v>
      </c>
    </row>
    <row r="72" spans="1:20" s="360" customFormat="1" x14ac:dyDescent="0.2">
      <c r="A72" s="360" t="str">
        <f>'Data 2009-15 (Real $2008)'!A114</f>
        <v>Other Category 3 : Describe………………..</v>
      </c>
      <c r="B72" s="365"/>
      <c r="C72" s="365"/>
      <c r="D72" s="779"/>
      <c r="E72" s="779"/>
      <c r="F72" s="779"/>
      <c r="G72" s="518">
        <f>'Data 2009-15 (Real $2008)'!I114</f>
        <v>0</v>
      </c>
      <c r="H72" s="518">
        <f>'Data 2009-15 (Real $2008)'!J114</f>
        <v>0</v>
      </c>
      <c r="J72" s="780"/>
      <c r="K72" s="780"/>
      <c r="M72" s="517">
        <f>'Data 2009-15 (Real $2008)'!P114</f>
        <v>0</v>
      </c>
      <c r="N72" s="517">
        <f>'Data 2009-15 (Real $2008)'!Q114</f>
        <v>0</v>
      </c>
      <c r="S72" s="82">
        <f t="shared" si="8"/>
        <v>0</v>
      </c>
      <c r="T72" s="82">
        <f t="shared" si="8"/>
        <v>0</v>
      </c>
    </row>
    <row r="73" spans="1:20" s="360" customFormat="1" x14ac:dyDescent="0.2">
      <c r="A73" s="360" t="str">
        <f>'Data 2009-15 (Real $2008)'!A115</f>
        <v>Other Category 4 : Describe………………..</v>
      </c>
      <c r="B73" s="365"/>
      <c r="C73" s="365"/>
      <c r="D73" s="779"/>
      <c r="E73" s="779"/>
      <c r="F73" s="779"/>
      <c r="G73" s="518">
        <f>'Data 2009-15 (Real $2008)'!I115</f>
        <v>0</v>
      </c>
      <c r="H73" s="518">
        <f>'Data 2009-15 (Real $2008)'!J115</f>
        <v>0</v>
      </c>
      <c r="J73" s="780"/>
      <c r="K73" s="780"/>
      <c r="M73" s="517">
        <f>'Data 2009-15 (Real $2008)'!P115</f>
        <v>0</v>
      </c>
      <c r="N73" s="517">
        <f>'Data 2009-15 (Real $2008)'!Q115</f>
        <v>0</v>
      </c>
      <c r="S73" s="82">
        <f t="shared" si="8"/>
        <v>0</v>
      </c>
      <c r="T73" s="82">
        <f t="shared" si="8"/>
        <v>0</v>
      </c>
    </row>
    <row r="74" spans="1:20" s="360" customFormat="1" x14ac:dyDescent="0.2">
      <c r="A74" s="360" t="str">
        <f>'Data 2009-15 (Real $2008)'!A116</f>
        <v>Other Category 5 : Describe………………..</v>
      </c>
      <c r="B74" s="365"/>
      <c r="C74" s="365"/>
      <c r="D74" s="779"/>
      <c r="E74" s="779"/>
      <c r="F74" s="779"/>
      <c r="G74" s="518">
        <f>'Data 2009-15 (Real $2008)'!I116</f>
        <v>0</v>
      </c>
      <c r="H74" s="518">
        <f>'Data 2009-15 (Real $2008)'!J116</f>
        <v>0</v>
      </c>
      <c r="J74" s="780"/>
      <c r="K74" s="780"/>
      <c r="M74" s="517">
        <f>'Data 2009-15 (Real $2008)'!P116</f>
        <v>0</v>
      </c>
      <c r="N74" s="517">
        <f>'Data 2009-15 (Real $2008)'!Q116</f>
        <v>0</v>
      </c>
      <c r="S74" s="82">
        <f t="shared" si="8"/>
        <v>0</v>
      </c>
      <c r="T74" s="82">
        <f t="shared" si="8"/>
        <v>0</v>
      </c>
    </row>
    <row r="75" spans="1:20" s="360" customFormat="1" x14ac:dyDescent="0.2">
      <c r="B75" s="365"/>
      <c r="C75" s="365"/>
      <c r="F75" s="779"/>
      <c r="K75" s="780"/>
    </row>
    <row r="76" spans="1:20" s="360" customFormat="1" ht="13.5" thickBot="1" x14ac:dyDescent="0.25">
      <c r="A76" s="360" t="s">
        <v>335</v>
      </c>
      <c r="B76" s="365"/>
      <c r="C76" s="365"/>
      <c r="F76" s="779"/>
      <c r="S76" s="519">
        <f>SUM(S30:S74)</f>
        <v>123070.49353282094</v>
      </c>
      <c r="T76" s="519">
        <f>SUM(T30:T74)</f>
        <v>160048.72172391039</v>
      </c>
    </row>
    <row r="77" spans="1:20" s="360" customFormat="1" ht="13.5" thickTop="1" x14ac:dyDescent="0.2">
      <c r="B77" s="365"/>
      <c r="C77" s="365"/>
    </row>
    <row r="78" spans="1:20" s="360" customFormat="1" x14ac:dyDescent="0.2">
      <c r="B78" s="365"/>
      <c r="C78" s="365"/>
    </row>
    <row r="79" spans="1:20" s="360" customFormat="1" x14ac:dyDescent="0.2">
      <c r="B79" s="365"/>
      <c r="C79" s="365"/>
    </row>
  </sheetData>
  <mergeCells count="2">
    <mergeCell ref="M26:N26"/>
    <mergeCell ref="S26:T26"/>
  </mergeCells>
  <phoneticPr fontId="4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J57" sqref="J57"/>
    </sheetView>
  </sheetViews>
  <sheetFormatPr defaultColWidth="9.140625"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2" x14ac:dyDescent="0.2">
      <c r="A1" s="555" t="str">
        <f>'Data 2006-08'!$A$1</f>
        <v>SP AusNet</v>
      </c>
      <c r="B1" s="495" t="s">
        <v>0</v>
      </c>
      <c r="C1" s="496" t="str">
        <f>IF(SUM(C35)&lt;0.001,"Ok","Error")</f>
        <v>Ok</v>
      </c>
      <c r="D1" s="783">
        <f>C35</f>
        <v>0</v>
      </c>
    </row>
    <row r="2" spans="1:22" x14ac:dyDescent="0.2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">
      <c r="C3" s="776" t="s">
        <v>393</v>
      </c>
      <c r="I3" s="776" t="s">
        <v>389</v>
      </c>
    </row>
    <row r="4" spans="1:22" s="84" customFormat="1" x14ac:dyDescent="0.2">
      <c r="A4" s="433" t="s">
        <v>308</v>
      </c>
      <c r="C4" s="776" t="s">
        <v>387</v>
      </c>
      <c r="I4" s="776" t="s">
        <v>390</v>
      </c>
    </row>
    <row r="5" spans="1:22" s="84" customFormat="1" x14ac:dyDescent="0.2"/>
    <row r="6" spans="1:22" s="84" customFormat="1" x14ac:dyDescent="0.2">
      <c r="A6" s="84" t="s">
        <v>309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4" customFormat="1" x14ac:dyDescent="0.2">
      <c r="A8" s="84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4" customFormat="1" x14ac:dyDescent="0.2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"/>
    <row r="13" spans="1:22" s="84" customFormat="1" x14ac:dyDescent="0.2">
      <c r="A13" s="84" t="s">
        <v>81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4" customFormat="1" x14ac:dyDescent="0.2">
      <c r="A14" s="84" t="s">
        <v>82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4" customFormat="1" x14ac:dyDescent="0.2">
      <c r="A15" s="84" t="s">
        <v>83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3.981653166780541E-2</v>
      </c>
      <c r="J15" s="85"/>
      <c r="K15" s="85"/>
      <c r="L15" s="85"/>
    </row>
    <row r="16" spans="1:22" s="84" customFormat="1" x14ac:dyDescent="0.2">
      <c r="A16" s="84" t="s">
        <v>84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5"/>
      <c r="L16" s="85"/>
    </row>
    <row r="17" spans="1:33" s="84" customFormat="1" x14ac:dyDescent="0.2"/>
    <row r="18" spans="1:33" s="84" customFormat="1" x14ac:dyDescent="0.2">
      <c r="A18" s="84" t="s">
        <v>337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5"/>
      <c r="L18" s="85"/>
    </row>
    <row r="19" spans="1:33" s="84" customFormat="1" x14ac:dyDescent="0.2">
      <c r="A19" s="84" t="s">
        <v>338</v>
      </c>
      <c r="C19" s="442">
        <f>(C14*(1-C10))+(C16*C10)</f>
        <v>9.5049999999999996E-2</v>
      </c>
      <c r="D19" s="447"/>
      <c r="E19" s="529"/>
      <c r="F19" s="85"/>
      <c r="G19" s="85"/>
      <c r="H19" s="85"/>
      <c r="I19" s="442">
        <f>(I14*(1-I10))+(I16*I10)</f>
        <v>7.6179999999999998E-2</v>
      </c>
      <c r="J19" s="85"/>
      <c r="K19" s="85"/>
      <c r="L19" s="85"/>
    </row>
    <row r="20" spans="1:33" x14ac:dyDescent="0.2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">
      <c r="A22" s="422" t="s">
        <v>86</v>
      </c>
      <c r="B22" s="278"/>
      <c r="C22" s="278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2.16110019646365E-2</v>
      </c>
      <c r="J22" s="554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">
      <c r="A27" s="500" t="s">
        <v>332</v>
      </c>
      <c r="B27" s="508"/>
      <c r="C27" s="508"/>
      <c r="D27" s="498"/>
      <c r="E27" s="531" t="s">
        <v>350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349</v>
      </c>
      <c r="R27" s="499"/>
      <c r="S27" s="499"/>
      <c r="T27" s="499"/>
      <c r="U27" s="499"/>
      <c r="V27" s="499"/>
      <c r="X27" s="359"/>
      <c r="Y27" s="359"/>
      <c r="Z27" s="498"/>
      <c r="AB27" s="531" t="s">
        <v>349</v>
      </c>
      <c r="AC27" s="499"/>
    </row>
    <row r="28" spans="1:33" x14ac:dyDescent="0.2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">
      <c r="A29" s="409" t="s">
        <v>297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297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289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">
      <c r="A30" s="360" t="s">
        <v>136</v>
      </c>
      <c r="D30" s="82">
        <f>D24*('AMI RAB 2009-15'!D12*'Data 2009-15 (Real $2008)'!D145-D38)</f>
        <v>5929.1583384016421</v>
      </c>
      <c r="E30" s="82">
        <f>E24*('AMI RAB 2009-15'!E12*'Data 2009-15 (Real $2008)'!E145-E38)</f>
        <v>8104.5433383910013</v>
      </c>
      <c r="F30" s="82">
        <f>F24*('AMI RAB 2009-15'!F12*'Data 2009-15 (Real $2008)'!F145-F38)</f>
        <v>17098.547467727261</v>
      </c>
      <c r="G30" s="82">
        <f>G24*('AMI RAB 2009-15'!G12*'Data 2009-15 (Real $2008)'!G145-G38)</f>
        <v>28212.291115684373</v>
      </c>
      <c r="H30" s="82">
        <f>H24*('AMI RAB 2009-15'!H12*'Data 2009-15 (Real $2008)'!H145-H38)</f>
        <v>31900.791925382597</v>
      </c>
      <c r="I30" s="82">
        <f>I24*('AMI RAB 2009-15'!I12*'Data 2009-15 (Real $2008)'!I145-I38)</f>
        <v>29245.049502917813</v>
      </c>
      <c r="J30" s="82">
        <f>J24*('AMI RAB 2009-15'!J12*'Data 2009-15 (Real $2008)'!J145-J38)</f>
        <v>29045.704278309855</v>
      </c>
      <c r="K30" s="504"/>
      <c r="L30" s="504"/>
      <c r="M30" s="360" t="s">
        <v>136</v>
      </c>
      <c r="N30" s="504"/>
      <c r="O30" s="359"/>
      <c r="P30" s="82">
        <f>D23*'AMI RAB 2009-15'!D12*'Data 2009-15 (Real $2008)'!D145</f>
        <v>3486.3493179219727</v>
      </c>
      <c r="Q30" s="82">
        <f>E23*'AMI RAB 2009-15'!E12*'Data 2009-15 (Real $2008)'!E145</f>
        <v>6845.4216845755709</v>
      </c>
      <c r="R30" s="82">
        <f>F23*'AMI RAB 2009-15'!F12*'Data 2009-15 (Real $2008)'!F145</f>
        <v>12208.867479519171</v>
      </c>
      <c r="S30" s="82">
        <f>G23*'AMI RAB 2009-15'!G12*'Data 2009-15 (Real $2008)'!G145</f>
        <v>18781.567838532661</v>
      </c>
      <c r="T30" s="82">
        <f>H23*'AMI RAB 2009-15'!H12*'Data 2009-15 (Real $2008)'!H145</f>
        <v>24726.863861305032</v>
      </c>
      <c r="U30" s="82">
        <f>I23*'AMI RAB 2009-15'!I12*'Data 2009-15 (Real $2008)'!I145</f>
        <v>20579.693048694662</v>
      </c>
      <c r="V30" s="82">
        <f>J23*'AMI RAB 2009-15'!J12*'Data 2009-15 (Real $2008)'!J145</f>
        <v>20045.609577409243</v>
      </c>
      <c r="X30" s="360" t="s">
        <v>136</v>
      </c>
      <c r="Y30" s="504"/>
      <c r="Z30" s="359"/>
      <c r="AA30" s="82">
        <f>D23*'AMI RAB 2009-15'!D12</f>
        <v>3320.9309418764255</v>
      </c>
      <c r="AB30" s="82">
        <f>E23*'AMI RAB 2009-15'!E12</f>
        <v>6439.4061635449925</v>
      </c>
      <c r="AC30" s="82">
        <f>F23*'AMI RAB 2009-15'!F12</f>
        <v>11173.262448076979</v>
      </c>
      <c r="AD30" s="82">
        <f>G23*'AMI RAB 2009-15'!G12</f>
        <v>16603.994755804237</v>
      </c>
      <c r="AE30" s="82">
        <f>H23*'AMI RAB 2009-15'!H12</f>
        <v>21430.511918062239</v>
      </c>
      <c r="AF30" s="82">
        <f>I23*'AMI RAB 2009-15'!I12</f>
        <v>17458.898459008276</v>
      </c>
      <c r="AG30" s="82">
        <f>J23*'AMI RAB 2009-15'!J12</f>
        <v>16622.21613617631</v>
      </c>
    </row>
    <row r="31" spans="1:33" x14ac:dyDescent="0.2">
      <c r="A31" s="360" t="s">
        <v>137</v>
      </c>
      <c r="D31" s="82">
        <f t="shared" ref="D31:J31" si="1">D39</f>
        <v>7841.4996236364614</v>
      </c>
      <c r="E31" s="82">
        <f t="shared" si="1"/>
        <v>18344.214139890744</v>
      </c>
      <c r="F31" s="82">
        <f t="shared" si="1"/>
        <v>26206.955580040398</v>
      </c>
      <c r="G31" s="82">
        <f t="shared" si="1"/>
        <v>34445.846542166939</v>
      </c>
      <c r="H31" s="82">
        <f t="shared" si="1"/>
        <v>49627.176884218097</v>
      </c>
      <c r="I31" s="82">
        <f t="shared" si="1"/>
        <v>45142.579318849035</v>
      </c>
      <c r="J31" s="82">
        <f t="shared" si="1"/>
        <v>47486.923996602374</v>
      </c>
      <c r="K31" s="504"/>
      <c r="L31" s="504"/>
      <c r="M31" s="360" t="s">
        <v>137</v>
      </c>
      <c r="N31" s="504"/>
      <c r="O31" s="359"/>
      <c r="P31" s="82">
        <f>'AMI RAB 2009-15'!D9*'Data 2009-15 (Real $2008)'!D145</f>
        <v>10284.30864411613</v>
      </c>
      <c r="Q31" s="82">
        <f>'AMI RAB 2009-15'!E9*'Data 2009-15 (Real $2008)'!E145</f>
        <v>19603.33579370617</v>
      </c>
      <c r="R31" s="82">
        <f>'AMI RAB 2009-15'!F9*'Data 2009-15 (Real $2008)'!F145</f>
        <v>31096.635568248486</v>
      </c>
      <c r="S31" s="82">
        <f>'AMI RAB 2009-15'!G9*'Data 2009-15 (Real $2008)'!G145</f>
        <v>43876.569819318625</v>
      </c>
      <c r="T31" s="82">
        <f>'AMI RAB 2009-15'!H9*'Data 2009-15 (Real $2008)'!H145</f>
        <v>56801.104948295651</v>
      </c>
      <c r="U31" s="82">
        <f>'AMI RAB 2009-15'!I9*'Data 2009-15 (Real $2008)'!I145</f>
        <v>53807.935773072131</v>
      </c>
      <c r="V31" s="82">
        <f>'AMI RAB 2009-15'!J9*'Data 2009-15 (Real $2008)'!J145</f>
        <v>56487.018697502936</v>
      </c>
      <c r="X31" s="360" t="s">
        <v>137</v>
      </c>
      <c r="Y31" s="504"/>
      <c r="Z31" s="359"/>
      <c r="AA31" s="82">
        <f>'AMI RAB 2009-15'!D9</f>
        <v>9796.3444501911017</v>
      </c>
      <c r="AB31" s="82">
        <f>'AMI RAB 2009-15'!E9</f>
        <v>18440.623113177931</v>
      </c>
      <c r="AC31" s="82">
        <f>'AMI RAB 2009-15'!F9</f>
        <v>28458.894409256834</v>
      </c>
      <c r="AD31" s="82">
        <f>'AMI RAB 2009-15'!G9</f>
        <v>38789.431289542554</v>
      </c>
      <c r="AE31" s="82">
        <f>'AMI RAB 2009-15'!H9</f>
        <v>49228.918126510391</v>
      </c>
      <c r="AF31" s="82">
        <f>'AMI RAB 2009-15'!I9</f>
        <v>45648.265245165632</v>
      </c>
      <c r="AG31" s="82">
        <f>'AMI RAB 2009-15'!J9</f>
        <v>46840.153703097196</v>
      </c>
    </row>
    <row r="32" spans="1:33" x14ac:dyDescent="0.2">
      <c r="A32" s="360" t="s">
        <v>138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2">
        <f>'Data 2009-15 (Real $2008)'!G55*'Data 2009-15 (Real $2008)'!G145/10^3</f>
        <v>40190.981149277504</v>
      </c>
      <c r="H32" s="82">
        <f>'Data 2009-15 (Real $2008)'!H55*'Data 2009-15 (Real $2008)'!H145/10^3</f>
        <v>32545.055</v>
      </c>
      <c r="I32" s="82">
        <f>'Data 2009-15 (Real $2008)'!I55*'Data 2009-15 (Real $2008)'!I145/10^3</f>
        <v>40265.44350098318</v>
      </c>
      <c r="J32" s="82">
        <f>'Data 2009-15 (Real $2008)'!J55*'Data 2009-15 (Real $2008)'!J145/10^3</f>
        <v>40195.196589482213</v>
      </c>
      <c r="K32" s="504"/>
      <c r="L32" s="504"/>
      <c r="M32" s="360" t="s">
        <v>138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32545.055</v>
      </c>
      <c r="U32" s="82">
        <f>'Data 2009-15 (Real $2008)'!I55*'Data 2009-15 (Real $2008)'!I145/10^3</f>
        <v>40265.44350098318</v>
      </c>
      <c r="V32" s="82">
        <f>'Data 2009-15 (Real $2008)'!J55*'Data 2009-15 (Real $2008)'!J145/10^3</f>
        <v>40195.196589482213</v>
      </c>
      <c r="X32" s="360" t="s">
        <v>138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28206.45565744142</v>
      </c>
      <c r="AF32" s="82">
        <f>'Data 2009-15 (Real $2008)'!I55/10^3</f>
        <v>34159.415683568201</v>
      </c>
      <c r="AG32" s="82">
        <f>'Data 2009-15 (Real $2008)'!J55/10^3</f>
        <v>33330.652418743848</v>
      </c>
    </row>
    <row r="33" spans="1:33" x14ac:dyDescent="0.2">
      <c r="A33" s="360" t="s">
        <v>294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294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294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">
      <c r="A34" s="357" t="s">
        <v>348</v>
      </c>
      <c r="B34" s="507"/>
      <c r="C34" s="507"/>
      <c r="D34" s="109">
        <f t="shared" ref="D34:J34" si="5">SUM(D30:D33)</f>
        <v>40903.678412783018</v>
      </c>
      <c r="E34" s="109">
        <f t="shared" si="5"/>
        <v>66258.23164090488</v>
      </c>
      <c r="F34" s="109">
        <f t="shared" si="5"/>
        <v>86116.671452123643</v>
      </c>
      <c r="G34" s="109">
        <f t="shared" si="5"/>
        <v>102849.11880712882</v>
      </c>
      <c r="H34" s="109">
        <f t="shared" si="5"/>
        <v>114073.02380960068</v>
      </c>
      <c r="I34" s="109">
        <f t="shared" si="5"/>
        <v>114653.07232275003</v>
      </c>
      <c r="J34" s="109">
        <f t="shared" si="5"/>
        <v>116727.82486439444</v>
      </c>
      <c r="K34" s="504"/>
      <c r="L34" s="504"/>
      <c r="M34" s="357" t="s">
        <v>348</v>
      </c>
      <c r="N34" s="504"/>
      <c r="O34" s="395"/>
      <c r="P34" s="109">
        <f t="shared" ref="P34:V34" si="6">SUM(P30:P33)</f>
        <v>40903.678412783018</v>
      </c>
      <c r="Q34" s="109">
        <f t="shared" si="6"/>
        <v>66258.231640904865</v>
      </c>
      <c r="R34" s="109">
        <f t="shared" si="6"/>
        <v>86116.671452123628</v>
      </c>
      <c r="S34" s="109">
        <f t="shared" si="6"/>
        <v>102849.11880712879</v>
      </c>
      <c r="T34" s="109">
        <f t="shared" si="6"/>
        <v>114073.02380960068</v>
      </c>
      <c r="U34" s="109">
        <f t="shared" si="6"/>
        <v>114653.07232274997</v>
      </c>
      <c r="V34" s="109">
        <f t="shared" si="6"/>
        <v>116727.82486439438</v>
      </c>
      <c r="X34" s="357" t="s">
        <v>348</v>
      </c>
      <c r="Y34" s="504"/>
      <c r="Z34" s="395"/>
      <c r="AA34" s="109">
        <f t="shared" ref="AA34:AG34" si="7">SUM(AA30:AA33)</f>
        <v>38962.903280885206</v>
      </c>
      <c r="AB34" s="109">
        <f t="shared" si="7"/>
        <v>62328.324663389765</v>
      </c>
      <c r="AC34" s="109">
        <f t="shared" si="7"/>
        <v>78811.910515330674</v>
      </c>
      <c r="AD34" s="109">
        <f t="shared" si="7"/>
        <v>90924.583293258795</v>
      </c>
      <c r="AE34" s="109">
        <f t="shared" si="7"/>
        <v>98865.885702014042</v>
      </c>
      <c r="AF34" s="109">
        <f t="shared" si="7"/>
        <v>97266.579387742109</v>
      </c>
      <c r="AG34" s="109">
        <f t="shared" si="7"/>
        <v>96793.022258017358</v>
      </c>
    </row>
    <row r="35" spans="1:33" x14ac:dyDescent="0.2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8"/>
      <c r="L35" s="568"/>
      <c r="M35" s="568"/>
      <c r="N35" s="568"/>
      <c r="O35" s="568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">
      <c r="A37" s="57" t="s">
        <v>346</v>
      </c>
      <c r="B37" s="57"/>
      <c r="C37" s="360"/>
      <c r="D37" s="517">
        <f>'AMI RAB 2009-15'!D9*'Data 2009-15 (Real $2008)'!D145</f>
        <v>10284.30864411613</v>
      </c>
      <c r="E37" s="517">
        <f>'AMI RAB 2009-15'!E9*'Data 2009-15 (Real $2008)'!E145</f>
        <v>19603.33579370617</v>
      </c>
      <c r="F37" s="517">
        <f>'AMI RAB 2009-15'!F9*'Data 2009-15 (Real $2008)'!F145</f>
        <v>31096.635568248486</v>
      </c>
      <c r="G37" s="517">
        <f>'AMI RAB 2009-15'!G9*'Data 2009-15 (Real $2008)'!G145</f>
        <v>43876.569819318625</v>
      </c>
      <c r="H37" s="517">
        <f>'AMI RAB 2009-15'!H9*'Data 2009-15 (Real $2008)'!H145</f>
        <v>56801.104948295651</v>
      </c>
      <c r="I37" s="517">
        <f>'AMI RAB 2009-15'!I9*'Data 2009-15 (Real $2008)'!I145</f>
        <v>53807.935773072131</v>
      </c>
      <c r="J37" s="517">
        <f>'AMI RAB 2009-15'!J9*'Data 2009-15 (Real $2008)'!J145</f>
        <v>56487.018697502936</v>
      </c>
    </row>
    <row r="38" spans="1:33" x14ac:dyDescent="0.2">
      <c r="A38" s="57" t="s">
        <v>347</v>
      </c>
      <c r="B38" s="57"/>
      <c r="C38" s="360"/>
      <c r="D38" s="517">
        <f>'AMI RAB 2009-15'!D12*'Data 2009-15 (Real $2008)'!D144</f>
        <v>2442.809020479669</v>
      </c>
      <c r="E38" s="517">
        <f>'AMI RAB 2009-15'!E12*'Data 2009-15 (Real $2008)'!D145*'Data 2009-15 (Real $2008)'!E144</f>
        <v>1259.1216538154249</v>
      </c>
      <c r="F38" s="517">
        <f>'AMI RAB 2009-15'!F12*'Data 2009-15 (Real $2008)'!E145*'Data 2009-15 (Real $2008)'!F144</f>
        <v>4889.6799882080886</v>
      </c>
      <c r="G38" s="517">
        <f>'AMI RAB 2009-15'!G12*'Data 2009-15 (Real $2008)'!F145*'Data 2009-15 (Real $2008)'!G144</f>
        <v>9430.7232771516865</v>
      </c>
      <c r="H38" s="517">
        <f>'AMI RAB 2009-15'!H12*'Data 2009-15 (Real $2008)'!G145*'Data 2009-15 (Real $2008)'!H144</f>
        <v>7173.9280640775551</v>
      </c>
      <c r="I38" s="517">
        <f>'AMI RAB 2009-15'!I12*'Data 2009-15 (Real $2008)'!H145*'Data 2009-15 (Real $2008)'!I144</f>
        <v>8665.3564542230961</v>
      </c>
      <c r="J38" s="517">
        <f>'AMI RAB 2009-15'!J12*'Data 2009-15 (Real $2008)'!I145*'Data 2009-15 (Real $2008)'!J144</f>
        <v>9000.0947009005577</v>
      </c>
    </row>
    <row r="39" spans="1:33" x14ac:dyDescent="0.2">
      <c r="A39" s="57" t="s">
        <v>137</v>
      </c>
      <c r="B39" s="57"/>
      <c r="C39" s="360"/>
      <c r="D39" s="530">
        <f t="shared" ref="D39:J39" si="9">D37-D38</f>
        <v>7841.4996236364614</v>
      </c>
      <c r="E39" s="530">
        <f t="shared" si="9"/>
        <v>18344.214139890744</v>
      </c>
      <c r="F39" s="530">
        <f t="shared" si="9"/>
        <v>26206.955580040398</v>
      </c>
      <c r="G39" s="530">
        <f t="shared" si="9"/>
        <v>34445.846542166939</v>
      </c>
      <c r="H39" s="530">
        <f t="shared" si="9"/>
        <v>49627.176884218097</v>
      </c>
      <c r="I39" s="530">
        <f t="shared" si="9"/>
        <v>45142.579318849035</v>
      </c>
      <c r="J39" s="530">
        <f t="shared" si="9"/>
        <v>47486.923996602374</v>
      </c>
    </row>
    <row r="40" spans="1:33" x14ac:dyDescent="0.2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">
      <c r="A43" s="500" t="s">
        <v>333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">
      <c r="A45" s="356" t="s">
        <v>141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">
      <c r="A46" s="57" t="s">
        <v>84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">
      <c r="A47" s="356" t="s">
        <v>142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">
      <c r="A49" s="57"/>
      <c r="D49" s="57"/>
      <c r="E49" s="57"/>
      <c r="F49" s="57"/>
      <c r="G49" s="57"/>
      <c r="H49" s="57"/>
      <c r="I49" s="57"/>
      <c r="J49" s="57"/>
    </row>
    <row r="50" spans="1:10" x14ac:dyDescent="0.2">
      <c r="A50" s="409" t="s">
        <v>297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">
      <c r="A51" s="57" t="s">
        <v>293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101332.753</v>
      </c>
      <c r="I51" s="83">
        <f>'Tariff Compliance'!I8</f>
        <v>123070.49353282094</v>
      </c>
      <c r="J51" s="83">
        <f>'Tariff Compliance'!J8</f>
        <v>160048.72172391039</v>
      </c>
    </row>
    <row r="52" spans="1:10" x14ac:dyDescent="0.2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">
      <c r="A53" s="57" t="s">
        <v>126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32545.055</v>
      </c>
      <c r="I53" s="82">
        <f>'Data 2009-15 (Real $2008)'!I55/10^3*'Data 2009-15 (Real $2008)'!I145</f>
        <v>40265.443500983172</v>
      </c>
      <c r="J53" s="82">
        <f>'Data 2009-15 (Real $2008)'!J55/10^3*'Data 2009-15 (Real $2008)'!J145</f>
        <v>40195.196589482213</v>
      </c>
    </row>
    <row r="54" spans="1:10" x14ac:dyDescent="0.2">
      <c r="A54" s="57" t="s">
        <v>127</v>
      </c>
      <c r="D54" s="82">
        <f>'AMI Tax Depn 2009-15'!D56</f>
        <v>17924.793557809913</v>
      </c>
      <c r="E54" s="82">
        <f>'AMI Tax Depn 2009-15'!E56</f>
        <v>34884.310466703391</v>
      </c>
      <c r="F54" s="82">
        <f>'AMI Tax Depn 2009-15'!F56</f>
        <v>58635.296511139466</v>
      </c>
      <c r="G54" s="82">
        <f>'AMI Tax Depn 2009-15'!G56</f>
        <v>81911.417254297587</v>
      </c>
      <c r="H54" s="82">
        <f>'AMI Tax Depn 2009-15'!H56</f>
        <v>97792.91641196399</v>
      </c>
      <c r="I54" s="82">
        <f>'AMI Tax Depn 2009-15'!I56</f>
        <v>94997.989473389694</v>
      </c>
      <c r="J54" s="82">
        <f>'AMI Tax Depn 2009-15'!J56</f>
        <v>73728.563830865925</v>
      </c>
    </row>
    <row r="55" spans="1:10" x14ac:dyDescent="0.2">
      <c r="A55" s="57" t="s">
        <v>128</v>
      </c>
      <c r="D55" s="82">
        <f>'AMI RAB 2009-15'!D12*D45*'Data 2009-15 (Real $2008)'!D145*D46</f>
        <v>3497.5473322716857</v>
      </c>
      <c r="E55" s="82">
        <f>'AMI RAB 2009-15'!E12*E45*'Data 2009-15 (Real $2008)'!E145*E46</f>
        <v>4474.9155439210663</v>
      </c>
      <c r="F55" s="82">
        <f>'AMI RAB 2009-15'!F12*F45*'Data 2009-15 (Real $2008)'!F145*F46</f>
        <v>9731.994689981937</v>
      </c>
      <c r="G55" s="82">
        <f>'AMI RAB 2009-15'!G12*G45*'Data 2009-15 (Real $2008)'!G145*G46</f>
        <v>16263.418934923968</v>
      </c>
      <c r="H55" s="82">
        <f>'AMI RAB 2009-15'!H12*H45*'Data 2009-15 (Real $2008)'!H145*H46</f>
        <v>17889.771539819838</v>
      </c>
      <c r="I55" s="82">
        <f>'AMI RAB 2009-15'!I12*I45*'Data 2009-15 (Real $2008)'!I145*I46</f>
        <v>15309.210295292596</v>
      </c>
      <c r="J55" s="82">
        <f>'AMI RAB 2009-15'!J12*J45*'Data 2009-15 (Real $2008)'!J145*J46</f>
        <v>15276.824835284915</v>
      </c>
    </row>
    <row r="56" spans="1:10" x14ac:dyDescent="0.2">
      <c r="A56" s="356" t="s">
        <v>129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10628.116107326503</v>
      </c>
      <c r="F56" s="82">
        <f t="shared" si="10"/>
        <v>24142.922534574085</v>
      </c>
      <c r="G56" s="82">
        <f t="shared" si="10"/>
        <v>61843.201407651446</v>
      </c>
      <c r="H56" s="82">
        <f t="shared" si="10"/>
        <v>116609.66274615051</v>
      </c>
      <c r="I56" s="82">
        <f t="shared" si="10"/>
        <v>163504.65269793433</v>
      </c>
      <c r="J56" s="82">
        <f t="shared" si="10"/>
        <v>191006.80243477889</v>
      </c>
    </row>
    <row r="57" spans="1:10" x14ac:dyDescent="0.2">
      <c r="A57" s="57" t="s">
        <v>151</v>
      </c>
      <c r="D57" s="82">
        <f t="shared" ref="D57:J57" si="11">SUM(D51:D52)-SUM(D53:D56)</f>
        <v>-10628.116107326503</v>
      </c>
      <c r="E57" s="82">
        <f t="shared" si="11"/>
        <v>-24142.922534574085</v>
      </c>
      <c r="F57" s="82">
        <f t="shared" si="11"/>
        <v>-61843.201407651446</v>
      </c>
      <c r="G57" s="82">
        <f t="shared" si="11"/>
        <v>-116609.66274615051</v>
      </c>
      <c r="H57" s="82">
        <f t="shared" si="11"/>
        <v>-163504.65269793433</v>
      </c>
      <c r="I57" s="82">
        <f t="shared" si="11"/>
        <v>-191006.80243477889</v>
      </c>
      <c r="J57" s="82">
        <f t="shared" si="11"/>
        <v>-160158.66596650155</v>
      </c>
    </row>
    <row r="58" spans="1:10" x14ac:dyDescent="0.2">
      <c r="A58" s="57" t="s">
        <v>152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">
      <c r="A59" s="57" t="s">
        <v>132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">
      <c r="A60" s="57" t="s">
        <v>352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">
      <c r="A61" s="57"/>
      <c r="D61" s="57"/>
      <c r="E61" s="57"/>
      <c r="F61" s="57"/>
      <c r="G61" s="57"/>
      <c r="H61" s="57"/>
      <c r="I61" s="57"/>
      <c r="J61" s="57"/>
    </row>
    <row r="62" spans="1:10" x14ac:dyDescent="0.2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">
      <c r="A63" s="409" t="s">
        <v>289</v>
      </c>
    </row>
    <row r="64" spans="1:10" ht="13.5" thickBot="1" x14ac:dyDescent="0.25">
      <c r="A64" s="57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0"/>
      <c r="C65" s="360"/>
    </row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ColWidth="9.140625"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A2" s="268"/>
      <c r="B2" s="278"/>
      <c r="C2" s="783">
        <f>C59</f>
        <v>1.3909584595239721E-10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">
      <c r="A3" s="74" t="s">
        <v>330</v>
      </c>
      <c r="B3" s="433"/>
      <c r="C3" s="433"/>
    </row>
    <row r="4" spans="1:27" s="84" customFormat="1" x14ac:dyDescent="0.2">
      <c r="B4" s="85"/>
      <c r="C4" s="85"/>
    </row>
    <row r="5" spans="1:27" s="84" customFormat="1" x14ac:dyDescent="0.2">
      <c r="A5" s="74" t="s">
        <v>331</v>
      </c>
      <c r="B5" s="433"/>
      <c r="C5" s="433"/>
      <c r="D5" s="490" t="s">
        <v>187</v>
      </c>
      <c r="E5" s="486"/>
      <c r="F5" s="486"/>
    </row>
    <row r="6" spans="1:27" s="84" customFormat="1" x14ac:dyDescent="0.2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">
      <c r="B11" s="85"/>
      <c r="C11" s="85"/>
    </row>
    <row r="12" spans="1:27" s="84" customFormat="1" x14ac:dyDescent="0.2">
      <c r="B12" s="85"/>
      <c r="C12" s="85"/>
    </row>
    <row r="13" spans="1:27" s="84" customFormat="1" x14ac:dyDescent="0.2">
      <c r="A13" s="74" t="s">
        <v>183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">
      <c r="A14" s="409" t="s">
        <v>297</v>
      </c>
      <c r="B14" s="457"/>
      <c r="C14" s="457"/>
      <c r="D14" s="485"/>
      <c r="E14" s="485"/>
      <c r="F14" s="485"/>
    </row>
    <row r="15" spans="1:27" s="84" customFormat="1" x14ac:dyDescent="0.2">
      <c r="A15" s="101" t="s">
        <v>326</v>
      </c>
      <c r="B15" s="457"/>
      <c r="C15" s="457"/>
      <c r="D15" s="485"/>
      <c r="E15" s="485"/>
      <c r="F15" s="485"/>
    </row>
    <row r="16" spans="1:27" s="84" customFormat="1" x14ac:dyDescent="0.2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94519.245480000012</v>
      </c>
      <c r="I16" s="82">
        <f>'Data 2009-15 (Real $2008)'!I22*'Data 2009-15 (Real $2008)'!I$145/10^3</f>
        <v>50026.652390844742</v>
      </c>
      <c r="J16" s="82">
        <f>'Data 2009-15 (Real $2008)'!J22*'Data 2009-15 (Real $2008)'!J$145/10^3</f>
        <v>7690.5782703630603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26456.656351864352</v>
      </c>
      <c r="E18" s="82">
        <f>'Data 2009-15 (Real $2008)'!E24*'Data 2009-15 (Real $2008)'!E$145/10^3</f>
        <v>38827.401623737562</v>
      </c>
      <c r="F18" s="82">
        <f>'Data 2009-15 (Real $2008)'!F24*'Data 2009-15 (Real $2008)'!F$145/10^3</f>
        <v>23232.071948036104</v>
      </c>
      <c r="G18" s="82">
        <f>'Data 2009-15 (Real $2008)'!G24*'Data 2009-15 (Real $2008)'!G$145/10^3</f>
        <v>24642.546559058472</v>
      </c>
      <c r="H18" s="82">
        <f>'Data 2009-15 (Real $2008)'!H24*'Data 2009-15 (Real $2008)'!H$145/10^3</f>
        <v>9036.4600667708892</v>
      </c>
      <c r="I18" s="82">
        <f>'Data 2009-15 (Real $2008)'!I24*'Data 2009-15 (Real $2008)'!I$145/10^3</f>
        <v>9973.3476091552766</v>
      </c>
      <c r="J18" s="82">
        <f>'Data 2009-15 (Real $2008)'!J24*'Data 2009-15 (Real $2008)'!J$145/10^3</f>
        <v>2293.5821968656237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18817.796080000004</v>
      </c>
      <c r="I19" s="82">
        <f>'Data 2009-15 (Real $2008)'!I25*'Data 2009-15 (Real $2008)'!I$145/10^3</f>
        <v>0</v>
      </c>
      <c r="J19" s="82">
        <f>'Data 2009-15 (Real $2008)'!J25*'Data 2009-15 (Real $2008)'!J$145/10^3</f>
        <v>0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">
      <c r="A21" s="87"/>
      <c r="B21" s="108"/>
      <c r="C21" s="108"/>
      <c r="D21" s="109">
        <f t="shared" ref="D21:J21" si="1">SUM(D16:D19)</f>
        <v>38593.720407229659</v>
      </c>
      <c r="E21" s="109">
        <f t="shared" si="1"/>
        <v>88848.084033738007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122373.5016267709</v>
      </c>
      <c r="I21" s="109">
        <f t="shared" si="1"/>
        <v>60000.000000000015</v>
      </c>
      <c r="J21" s="109">
        <f t="shared" si="1"/>
        <v>9984.1604672286849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">
      <c r="A22" s="346" t="s">
        <v>351</v>
      </c>
      <c r="B22" s="93"/>
      <c r="C22" s="93"/>
      <c r="D22" s="91"/>
      <c r="E22" s="91"/>
      <c r="F22" s="91"/>
    </row>
    <row r="23" spans="1:27" s="84" customFormat="1" x14ac:dyDescent="0.2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">
      <c r="A24" s="85" t="s">
        <v>353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159480.40802471511</v>
      </c>
      <c r="J24" s="82">
        <f t="shared" si="2"/>
        <v>140321.91008300829</v>
      </c>
      <c r="K24" s="82">
        <f t="shared" si="2"/>
        <v>93949.788646550165</v>
      </c>
      <c r="L24" s="82">
        <f t="shared" si="2"/>
        <v>58718.617904093851</v>
      </c>
      <c r="M24" s="82">
        <f t="shared" si="2"/>
        <v>36699.136190058656</v>
      </c>
      <c r="N24" s="82">
        <f t="shared" si="2"/>
        <v>22936.960118786661</v>
      </c>
      <c r="O24" s="82">
        <f t="shared" si="2"/>
        <v>14335.600074241664</v>
      </c>
      <c r="P24" s="82">
        <f t="shared" si="2"/>
        <v>8959.7500464010409</v>
      </c>
      <c r="Q24" s="82">
        <f t="shared" si="2"/>
        <v>5599.8437790006501</v>
      </c>
      <c r="R24" s="82">
        <f t="shared" si="2"/>
        <v>3499.9023618754063</v>
      </c>
      <c r="S24" s="82">
        <f t="shared" si="2"/>
        <v>2187.4389761721291</v>
      </c>
      <c r="T24" s="82">
        <f t="shared" si="2"/>
        <v>1367.1493601075806</v>
      </c>
      <c r="U24" s="82">
        <f t="shared" si="2"/>
        <v>854.46835006723791</v>
      </c>
      <c r="V24" s="82">
        <f t="shared" si="2"/>
        <v>534.04271879202372</v>
      </c>
      <c r="W24" s="82">
        <f t="shared" si="2"/>
        <v>333.77669924501481</v>
      </c>
      <c r="X24" s="82">
        <f>W27</f>
        <v>208.61043702813424</v>
      </c>
      <c r="Y24" s="82">
        <f>X27</f>
        <v>130.38152314258389</v>
      </c>
      <c r="Z24" s="82">
        <f>Y27</f>
        <v>81.48845196411493</v>
      </c>
      <c r="AA24" s="82">
        <f>Z27</f>
        <v>50.930282477571829</v>
      </c>
    </row>
    <row r="25" spans="1:27" s="84" customFormat="1" x14ac:dyDescent="0.2">
      <c r="A25" s="85" t="s">
        <v>176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67332.471170829085</v>
      </c>
      <c r="I25" s="82">
        <f t="shared" si="3"/>
        <v>69185.150332551551</v>
      </c>
      <c r="J25" s="82">
        <f t="shared" si="3"/>
        <v>54062.699706821179</v>
      </c>
      <c r="K25" s="82">
        <f t="shared" si="3"/>
        <v>35231.170742456314</v>
      </c>
      <c r="L25" s="82">
        <f t="shared" si="3"/>
        <v>22019.481714035195</v>
      </c>
      <c r="M25" s="82">
        <f t="shared" si="3"/>
        <v>13762.176071271995</v>
      </c>
      <c r="N25" s="82">
        <f t="shared" si="3"/>
        <v>8601.3600445449974</v>
      </c>
      <c r="O25" s="82">
        <f t="shared" si="3"/>
        <v>5375.8500278406236</v>
      </c>
      <c r="P25" s="82">
        <f t="shared" si="3"/>
        <v>3359.9062674003903</v>
      </c>
      <c r="Q25" s="82">
        <f t="shared" si="3"/>
        <v>2099.9414171252438</v>
      </c>
      <c r="R25" s="82">
        <f t="shared" si="3"/>
        <v>1312.4633857032773</v>
      </c>
      <c r="S25" s="82">
        <f t="shared" si="3"/>
        <v>820.28961606454845</v>
      </c>
      <c r="T25" s="82">
        <f t="shared" si="3"/>
        <v>512.6810100403427</v>
      </c>
      <c r="U25" s="82">
        <f t="shared" si="3"/>
        <v>320.42563127521419</v>
      </c>
      <c r="V25" s="82">
        <f t="shared" si="3"/>
        <v>200.26601954700891</v>
      </c>
      <c r="W25" s="82">
        <f t="shared" si="3"/>
        <v>125.16626221688055</v>
      </c>
      <c r="X25" s="82">
        <f>$D$6*(X24+X26*0.5)</f>
        <v>78.228913885550341</v>
      </c>
      <c r="Y25" s="82">
        <f>$D$6*(Y24+Y26*0.5)</f>
        <v>48.893071178468958</v>
      </c>
      <c r="Z25" s="82">
        <f>$D$6*(Z24+Z26*0.5)</f>
        <v>30.5581694865431</v>
      </c>
      <c r="AA25" s="82">
        <f>$D$6*(AA24+AA26*0.5)</f>
        <v>19.098855929089435</v>
      </c>
    </row>
    <row r="26" spans="1:27" s="84" customFormat="1" x14ac:dyDescent="0.2">
      <c r="A26" s="85" t="s">
        <v>200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94519.245480000012</v>
      </c>
      <c r="I26" s="82">
        <f t="shared" si="4"/>
        <v>50026.652390844742</v>
      </c>
      <c r="J26" s="82">
        <f t="shared" si="4"/>
        <v>7690.5782703630603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">
      <c r="A27" s="85" t="s">
        <v>201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159480.40802471511</v>
      </c>
      <c r="I27" s="109">
        <f t="shared" si="5"/>
        <v>140321.91008300829</v>
      </c>
      <c r="J27" s="109">
        <f t="shared" si="5"/>
        <v>93949.788646550165</v>
      </c>
      <c r="K27" s="109">
        <f t="shared" si="5"/>
        <v>58718.617904093851</v>
      </c>
      <c r="L27" s="109">
        <f t="shared" si="5"/>
        <v>36699.136190058656</v>
      </c>
      <c r="M27" s="109">
        <f t="shared" si="5"/>
        <v>22936.960118786661</v>
      </c>
      <c r="N27" s="109">
        <f t="shared" si="5"/>
        <v>14335.600074241664</v>
      </c>
      <c r="O27" s="109">
        <f t="shared" si="5"/>
        <v>8959.7500464010409</v>
      </c>
      <c r="P27" s="109">
        <f t="shared" si="5"/>
        <v>5599.8437790006501</v>
      </c>
      <c r="Q27" s="109">
        <f t="shared" si="5"/>
        <v>3499.9023618754063</v>
      </c>
      <c r="R27" s="109">
        <f t="shared" si="5"/>
        <v>2187.4389761721291</v>
      </c>
      <c r="S27" s="109">
        <f t="shared" si="5"/>
        <v>1367.1493601075806</v>
      </c>
      <c r="T27" s="109">
        <f t="shared" si="5"/>
        <v>854.46835006723791</v>
      </c>
      <c r="U27" s="109">
        <f t="shared" si="5"/>
        <v>534.04271879202372</v>
      </c>
      <c r="V27" s="109">
        <f t="shared" si="5"/>
        <v>333.77669924501481</v>
      </c>
      <c r="W27" s="109">
        <f t="shared" si="5"/>
        <v>208.61043702813424</v>
      </c>
      <c r="X27" s="109">
        <f>X24-X25+X26</f>
        <v>130.38152314258389</v>
      </c>
      <c r="Y27" s="109">
        <f>Y24-Y25+Y26</f>
        <v>81.48845196411493</v>
      </c>
      <c r="Z27" s="109">
        <f>Z24-Z25+Z26</f>
        <v>50.930282477571829</v>
      </c>
      <c r="AA27" s="109">
        <f>AA24-AA25+AA26</f>
        <v>31.831426548482394</v>
      </c>
    </row>
    <row r="28" spans="1:27" s="84" customFormat="1" x14ac:dyDescent="0.2">
      <c r="A28" s="91"/>
      <c r="B28" s="91"/>
      <c r="C28" s="91"/>
      <c r="D28" s="85"/>
      <c r="E28" s="85"/>
      <c r="F28" s="85"/>
    </row>
    <row r="29" spans="1:27" s="84" customFormat="1" x14ac:dyDescent="0.2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29915.946467811482</v>
      </c>
      <c r="F36" s="82">
        <f t="shared" si="10"/>
        <v>49011.489179676937</v>
      </c>
      <c r="G36" s="82">
        <f t="shared" si="10"/>
        <v>47992.551066235043</v>
      </c>
      <c r="H36" s="82">
        <f t="shared" si="10"/>
        <v>48509.567886987803</v>
      </c>
      <c r="I36" s="82">
        <f t="shared" si="10"/>
        <v>36334.90878560939</v>
      </c>
      <c r="J36" s="82">
        <f t="shared" si="10"/>
        <v>29779.623358689856</v>
      </c>
      <c r="K36" s="82">
        <f t="shared" si="10"/>
        <v>19702.63977270641</v>
      </c>
      <c r="L36" s="82">
        <f t="shared" si="10"/>
        <v>11821.583863623846</v>
      </c>
      <c r="M36" s="82">
        <f t="shared" si="10"/>
        <v>7092.9503181743075</v>
      </c>
      <c r="N36" s="82">
        <f t="shared" si="10"/>
        <v>4255.7701909045845</v>
      </c>
      <c r="O36" s="82">
        <f t="shared" si="10"/>
        <v>2553.4621145427509</v>
      </c>
      <c r="P36" s="82">
        <f t="shared" si="10"/>
        <v>1532.0772687256504</v>
      </c>
      <c r="Q36" s="82">
        <f t="shared" si="10"/>
        <v>919.24636123539017</v>
      </c>
      <c r="R36" s="82">
        <f t="shared" si="10"/>
        <v>551.5478167412341</v>
      </c>
      <c r="S36" s="82">
        <f t="shared" si="10"/>
        <v>330.92869004474045</v>
      </c>
      <c r="T36" s="82">
        <f t="shared" si="10"/>
        <v>198.55721402684426</v>
      </c>
      <c r="U36" s="82">
        <f t="shared" si="10"/>
        <v>119.13432841610656</v>
      </c>
      <c r="V36" s="82">
        <f t="shared" si="10"/>
        <v>71.480597049663928</v>
      </c>
      <c r="W36" s="82">
        <f t="shared" si="10"/>
        <v>42.888358229798357</v>
      </c>
      <c r="X36" s="82">
        <f>W39</f>
        <v>25.733014937879013</v>
      </c>
      <c r="Y36" s="82">
        <f>X39</f>
        <v>15.439808962727406</v>
      </c>
      <c r="Z36" s="82">
        <f>Y39</f>
        <v>9.2638853776364432</v>
      </c>
      <c r="AA36" s="82">
        <f>Z39</f>
        <v>5.5583312265818652</v>
      </c>
    </row>
    <row r="37" spans="1:27" s="84" customFormat="1" x14ac:dyDescent="0.2">
      <c r="A37" s="85" t="str">
        <f>A$25</f>
        <v>Depreciation</v>
      </c>
      <c r="B37" s="85"/>
      <c r="C37" s="85"/>
      <c r="D37" s="82">
        <f t="shared" ref="D37:W37" si="11">$D$8*(D36+D38*0.5)</f>
        <v>11125.07886125287</v>
      </c>
      <c r="E37" s="82">
        <f t="shared" si="11"/>
        <v>19731.858911872107</v>
      </c>
      <c r="F37" s="82">
        <f t="shared" si="11"/>
        <v>24251.010061477995</v>
      </c>
      <c r="G37" s="82">
        <f t="shared" si="11"/>
        <v>24125.529738305715</v>
      </c>
      <c r="H37" s="82">
        <f t="shared" si="11"/>
        <v>21211.1191681493</v>
      </c>
      <c r="I37" s="82">
        <f t="shared" si="11"/>
        <v>16528.633036074811</v>
      </c>
      <c r="J37" s="82">
        <f t="shared" si="11"/>
        <v>12370.565782849068</v>
      </c>
      <c r="K37" s="82">
        <f t="shared" si="11"/>
        <v>7881.0559090825645</v>
      </c>
      <c r="L37" s="82">
        <f t="shared" si="11"/>
        <v>4728.6335454495384</v>
      </c>
      <c r="M37" s="82">
        <f t="shared" si="11"/>
        <v>2837.180127269723</v>
      </c>
      <c r="N37" s="82">
        <f t="shared" si="11"/>
        <v>1702.3080763618339</v>
      </c>
      <c r="O37" s="82">
        <f t="shared" si="11"/>
        <v>1021.3848458171004</v>
      </c>
      <c r="P37" s="82">
        <f t="shared" si="11"/>
        <v>612.83090749026019</v>
      </c>
      <c r="Q37" s="82">
        <f t="shared" si="11"/>
        <v>367.69854449415607</v>
      </c>
      <c r="R37" s="82">
        <f t="shared" si="11"/>
        <v>220.61912669649365</v>
      </c>
      <c r="S37" s="82">
        <f t="shared" si="11"/>
        <v>132.37147601789619</v>
      </c>
      <c r="T37" s="82">
        <f t="shared" si="11"/>
        <v>79.422885610737708</v>
      </c>
      <c r="U37" s="82">
        <f t="shared" si="11"/>
        <v>47.653731366442628</v>
      </c>
      <c r="V37" s="82">
        <f t="shared" si="11"/>
        <v>28.592238819865571</v>
      </c>
      <c r="W37" s="82">
        <f t="shared" si="11"/>
        <v>17.155343291919344</v>
      </c>
      <c r="X37" s="82">
        <f>$D$8*(X36+X38*0.5)</f>
        <v>10.293205975151606</v>
      </c>
      <c r="Y37" s="82">
        <f>$D$8*(Y36+Y38*0.5)</f>
        <v>6.1759235850909633</v>
      </c>
      <c r="Z37" s="82">
        <f>$D$8*(Z36+Z38*0.5)</f>
        <v>3.7055541510545775</v>
      </c>
      <c r="AA37" s="82">
        <f>$D$8*(AA36+AA38*0.5)</f>
        <v>2.2233324906327461</v>
      </c>
    </row>
    <row r="38" spans="1:27" s="84" customFormat="1" x14ac:dyDescent="0.2">
      <c r="A38" s="85" t="str">
        <f>A$26</f>
        <v>Gross capex</v>
      </c>
      <c r="B38" s="85"/>
      <c r="C38" s="85"/>
      <c r="D38" s="82">
        <f t="shared" ref="D38:W38" si="12">D18</f>
        <v>26456.656351864352</v>
      </c>
      <c r="E38" s="82">
        <f t="shared" si="12"/>
        <v>38827.401623737562</v>
      </c>
      <c r="F38" s="82">
        <f t="shared" si="12"/>
        <v>23232.071948036104</v>
      </c>
      <c r="G38" s="82">
        <f t="shared" si="12"/>
        <v>24642.546559058472</v>
      </c>
      <c r="H38" s="82">
        <f t="shared" si="12"/>
        <v>9036.4600667708892</v>
      </c>
      <c r="I38" s="82">
        <f t="shared" si="12"/>
        <v>9973.3476091552766</v>
      </c>
      <c r="J38" s="82">
        <f t="shared" si="12"/>
        <v>2293.5821968656237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">
      <c r="A39" s="85" t="str">
        <f>A$27</f>
        <v>Closing asset value</v>
      </c>
      <c r="B39" s="85"/>
      <c r="C39" s="85"/>
      <c r="D39" s="109">
        <f t="shared" ref="D39:W39" si="13">D36-D37+D38</f>
        <v>29915.946467811482</v>
      </c>
      <c r="E39" s="109">
        <f t="shared" si="13"/>
        <v>49011.489179676937</v>
      </c>
      <c r="F39" s="109">
        <f t="shared" si="13"/>
        <v>47992.551066235043</v>
      </c>
      <c r="G39" s="109">
        <f t="shared" si="13"/>
        <v>48509.567886987803</v>
      </c>
      <c r="H39" s="109">
        <f t="shared" si="13"/>
        <v>36334.90878560939</v>
      </c>
      <c r="I39" s="109">
        <f t="shared" si="13"/>
        <v>29779.623358689856</v>
      </c>
      <c r="J39" s="109">
        <f t="shared" si="13"/>
        <v>19702.63977270641</v>
      </c>
      <c r="K39" s="109">
        <f t="shared" si="13"/>
        <v>11821.583863623846</v>
      </c>
      <c r="L39" s="109">
        <f t="shared" si="13"/>
        <v>7092.9503181743075</v>
      </c>
      <c r="M39" s="109">
        <f t="shared" si="13"/>
        <v>4255.7701909045845</v>
      </c>
      <c r="N39" s="109">
        <f t="shared" si="13"/>
        <v>2553.4621145427509</v>
      </c>
      <c r="O39" s="109">
        <f t="shared" si="13"/>
        <v>1532.0772687256504</v>
      </c>
      <c r="P39" s="109">
        <f t="shared" si="13"/>
        <v>919.24636123539017</v>
      </c>
      <c r="Q39" s="109">
        <f t="shared" si="13"/>
        <v>551.5478167412341</v>
      </c>
      <c r="R39" s="109">
        <f t="shared" si="13"/>
        <v>330.92869004474045</v>
      </c>
      <c r="S39" s="109">
        <f t="shared" si="13"/>
        <v>198.55721402684426</v>
      </c>
      <c r="T39" s="109">
        <f t="shared" si="13"/>
        <v>119.13432841610656</v>
      </c>
      <c r="U39" s="109">
        <f t="shared" si="13"/>
        <v>71.480597049663928</v>
      </c>
      <c r="V39" s="109">
        <f t="shared" si="13"/>
        <v>42.888358229798357</v>
      </c>
      <c r="W39" s="109">
        <f t="shared" si="13"/>
        <v>25.733014937879013</v>
      </c>
      <c r="X39" s="109">
        <f>X36-X37+X38</f>
        <v>15.439808962727406</v>
      </c>
      <c r="Y39" s="109">
        <f>Y36-Y37+Y38</f>
        <v>9.2638853776364432</v>
      </c>
      <c r="Z39" s="109">
        <f>Z36-Z37+Z38</f>
        <v>5.5583312265818652</v>
      </c>
      <c r="AA39" s="109">
        <f>AA36-AA37+AA38</f>
        <v>3.3349987359491191</v>
      </c>
    </row>
    <row r="40" spans="1:27" s="84" customFormat="1" x14ac:dyDescent="0.2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43256.57328172437</v>
      </c>
      <c r="J42" s="82">
        <f t="shared" si="14"/>
        <v>33987.307578497719</v>
      </c>
      <c r="K42" s="82">
        <f t="shared" si="14"/>
        <v>26704.313097391067</v>
      </c>
      <c r="L42" s="82">
        <f t="shared" si="14"/>
        <v>20981.960290807267</v>
      </c>
      <c r="M42" s="82">
        <f t="shared" si="14"/>
        <v>16485.825942777137</v>
      </c>
      <c r="N42" s="82">
        <f t="shared" si="14"/>
        <v>12953.14895503918</v>
      </c>
      <c r="O42" s="82">
        <f t="shared" si="14"/>
        <v>10177.474178959355</v>
      </c>
      <c r="P42" s="82">
        <f t="shared" si="14"/>
        <v>7996.5868548966364</v>
      </c>
      <c r="Q42" s="82">
        <f t="shared" si="14"/>
        <v>6283.0325288473578</v>
      </c>
      <c r="R42" s="82">
        <f t="shared" si="14"/>
        <v>4936.6684155229241</v>
      </c>
      <c r="S42" s="82">
        <f t="shared" si="14"/>
        <v>3878.8108979108692</v>
      </c>
      <c r="T42" s="82">
        <f t="shared" si="14"/>
        <v>3047.637134072826</v>
      </c>
      <c r="U42" s="82">
        <f t="shared" si="14"/>
        <v>2394.5720339143636</v>
      </c>
      <c r="V42" s="82">
        <f t="shared" si="14"/>
        <v>1881.4494552184287</v>
      </c>
      <c r="W42" s="82">
        <f t="shared" si="14"/>
        <v>1478.2817148144798</v>
      </c>
      <c r="X42" s="82">
        <f>W45</f>
        <v>1161.5070616399485</v>
      </c>
      <c r="Y42" s="82">
        <f>X45</f>
        <v>912.61269128853098</v>
      </c>
      <c r="Z42" s="82">
        <f>Y45</f>
        <v>717.05282886956002</v>
      </c>
      <c r="AA42" s="82">
        <f>Z45</f>
        <v>563.39865125465428</v>
      </c>
    </row>
    <row r="43" spans="1:27" s="84" customFormat="1" x14ac:dyDescent="0.2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9231.1841568339169</v>
      </c>
      <c r="I43" s="82">
        <f t="shared" si="15"/>
        <v>9269.2657032266507</v>
      </c>
      <c r="J43" s="82">
        <f t="shared" si="15"/>
        <v>7282.9944811066534</v>
      </c>
      <c r="K43" s="82">
        <f t="shared" si="15"/>
        <v>5722.3528065838</v>
      </c>
      <c r="L43" s="82">
        <f t="shared" si="15"/>
        <v>4496.1343480301284</v>
      </c>
      <c r="M43" s="82">
        <f t="shared" si="15"/>
        <v>3532.6769877379579</v>
      </c>
      <c r="N43" s="82">
        <f t="shared" si="15"/>
        <v>2775.6747760798239</v>
      </c>
      <c r="O43" s="82">
        <f t="shared" si="15"/>
        <v>2180.887324062719</v>
      </c>
      <c r="P43" s="82">
        <f t="shared" si="15"/>
        <v>1713.5543260492791</v>
      </c>
      <c r="Q43" s="82">
        <f t="shared" si="15"/>
        <v>1346.3641133244337</v>
      </c>
      <c r="R43" s="82">
        <f t="shared" si="15"/>
        <v>1057.8575176120551</v>
      </c>
      <c r="S43" s="82">
        <f t="shared" si="15"/>
        <v>831.17376383804333</v>
      </c>
      <c r="T43" s="82">
        <f t="shared" si="15"/>
        <v>653.06510015846266</v>
      </c>
      <c r="U43" s="82">
        <f t="shared" si="15"/>
        <v>513.12257869593498</v>
      </c>
      <c r="V43" s="82">
        <f t="shared" si="15"/>
        <v>403.16774040394898</v>
      </c>
      <c r="W43" s="82">
        <f t="shared" si="15"/>
        <v>316.77465317453135</v>
      </c>
      <c r="X43" s="82">
        <f>$D$9*(X42+X44*0.5)</f>
        <v>248.89437035141751</v>
      </c>
      <c r="Y43" s="82">
        <f>$D$9*(Y42+Y44*0.5)</f>
        <v>195.55986241897091</v>
      </c>
      <c r="Z43" s="82">
        <f>$D$9*(Z42+Z44*0.5)</f>
        <v>153.65417761490571</v>
      </c>
      <c r="AA43" s="82">
        <f>$D$9*(AA42+AA44*0.5)</f>
        <v>120.72828241171163</v>
      </c>
    </row>
    <row r="44" spans="1:27" s="84" customFormat="1" x14ac:dyDescent="0.2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18817.796080000004</v>
      </c>
      <c r="I44" s="82">
        <f t="shared" si="16"/>
        <v>0</v>
      </c>
      <c r="J44" s="82">
        <f t="shared" si="16"/>
        <v>0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43256.57328172437</v>
      </c>
      <c r="I45" s="109">
        <f t="shared" si="17"/>
        <v>33987.307578497719</v>
      </c>
      <c r="J45" s="109">
        <f t="shared" si="17"/>
        <v>26704.313097391067</v>
      </c>
      <c r="K45" s="109">
        <f t="shared" si="17"/>
        <v>20981.960290807267</v>
      </c>
      <c r="L45" s="109">
        <f t="shared" si="17"/>
        <v>16485.825942777137</v>
      </c>
      <c r="M45" s="109">
        <f t="shared" si="17"/>
        <v>12953.14895503918</v>
      </c>
      <c r="N45" s="109">
        <f t="shared" si="17"/>
        <v>10177.474178959355</v>
      </c>
      <c r="O45" s="109">
        <f t="shared" si="17"/>
        <v>7996.5868548966364</v>
      </c>
      <c r="P45" s="109">
        <f t="shared" si="17"/>
        <v>6283.0325288473578</v>
      </c>
      <c r="Q45" s="109">
        <f t="shared" si="17"/>
        <v>4936.6684155229241</v>
      </c>
      <c r="R45" s="109">
        <f t="shared" si="17"/>
        <v>3878.8108979108692</v>
      </c>
      <c r="S45" s="109">
        <f t="shared" si="17"/>
        <v>3047.637134072826</v>
      </c>
      <c r="T45" s="109">
        <f t="shared" si="17"/>
        <v>2394.5720339143636</v>
      </c>
      <c r="U45" s="109">
        <f t="shared" si="17"/>
        <v>1881.4494552184287</v>
      </c>
      <c r="V45" s="109">
        <f t="shared" si="17"/>
        <v>1478.2817148144798</v>
      </c>
      <c r="W45" s="109">
        <f t="shared" si="17"/>
        <v>1161.5070616399485</v>
      </c>
      <c r="X45" s="109">
        <f>X42-X43+X44</f>
        <v>912.61269128853098</v>
      </c>
      <c r="Y45" s="109">
        <f>Y42-Y43+Y44</f>
        <v>717.05282886956002</v>
      </c>
      <c r="Z45" s="109">
        <f>Z42-Z43+Z44</f>
        <v>563.39865125465428</v>
      </c>
      <c r="AA45" s="109">
        <f>AA42-AA43+AA44</f>
        <v>442.67036884294265</v>
      </c>
    </row>
    <row r="46" spans="1:27" s="84" customFormat="1" x14ac:dyDescent="0.2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">
      <c r="A54" s="455" t="s">
        <v>45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47626.069102076945</v>
      </c>
      <c r="F55" s="82">
        <f t="shared" si="23"/>
        <v>101589.84266911157</v>
      </c>
      <c r="G55" s="82">
        <f t="shared" si="23"/>
        <v>155648.98232600818</v>
      </c>
      <c r="H55" s="82">
        <f t="shared" si="23"/>
        <v>214575.96715261645</v>
      </c>
      <c r="I55" s="82">
        <f t="shared" si="23"/>
        <v>239156.55236742334</v>
      </c>
      <c r="J55" s="82">
        <f t="shared" si="23"/>
        <v>204158.56289403368</v>
      </c>
      <c r="K55" s="82">
        <f t="shared" si="23"/>
        <v>140414.15953039646</v>
      </c>
      <c r="L55" s="82">
        <f t="shared" si="23"/>
        <v>91569.447481612209</v>
      </c>
      <c r="M55" s="82">
        <f t="shared" si="23"/>
        <v>60316.853387670177</v>
      </c>
      <c r="N55" s="82">
        <f t="shared" si="23"/>
        <v>40177.948271391666</v>
      </c>
      <c r="O55" s="82">
        <f t="shared" si="23"/>
        <v>27092.946137935382</v>
      </c>
      <c r="P55" s="82">
        <f t="shared" si="23"/>
        <v>18510.163392534065</v>
      </c>
      <c r="Q55" s="82">
        <f t="shared" si="23"/>
        <v>12820.033793504006</v>
      </c>
      <c r="R55" s="82">
        <f t="shared" si="23"/>
        <v>9002.8689318977122</v>
      </c>
      <c r="S55" s="82">
        <f t="shared" si="23"/>
        <v>6409.3259011050368</v>
      </c>
      <c r="T55" s="82">
        <f t="shared" si="23"/>
        <v>4623.3473974826729</v>
      </c>
      <c r="U55" s="82">
        <f t="shared" si="23"/>
        <v>3376.4130447421735</v>
      </c>
      <c r="V55" s="82">
        <f t="shared" si="23"/>
        <v>2493.7572800496764</v>
      </c>
      <c r="W55" s="82">
        <f t="shared" si="23"/>
        <v>1860.5340149865776</v>
      </c>
      <c r="X55" s="82">
        <f t="shared" ref="X55:AA58" si="24">SUM(X24,X30,X36,X42,X48)</f>
        <v>1400.451772297843</v>
      </c>
      <c r="Y55" s="82">
        <f t="shared" si="24"/>
        <v>1062.2232952577447</v>
      </c>
      <c r="Z55" s="82">
        <f t="shared" si="24"/>
        <v>810.9257430404075</v>
      </c>
      <c r="AA55" s="82">
        <f t="shared" si="24"/>
        <v>622.45715175923999</v>
      </c>
    </row>
    <row r="56" spans="1:27" s="84" customFormat="1" x14ac:dyDescent="0.2">
      <c r="A56" s="85" t="str">
        <f>A$25</f>
        <v>Depreciation</v>
      </c>
      <c r="B56" s="85"/>
      <c r="C56" s="85"/>
      <c r="D56" s="82">
        <f t="shared" ref="D56:W56" si="25">SUM(D25,D31,D37,D43,D49)</f>
        <v>17924.793557809913</v>
      </c>
      <c r="E56" s="82">
        <f t="shared" si="25"/>
        <v>34884.310466703391</v>
      </c>
      <c r="F56" s="82">
        <f t="shared" si="25"/>
        <v>58635.296511139466</v>
      </c>
      <c r="G56" s="82">
        <f t="shared" si="25"/>
        <v>81911.417254297587</v>
      </c>
      <c r="H56" s="82">
        <f t="shared" si="25"/>
        <v>97792.91641196399</v>
      </c>
      <c r="I56" s="82">
        <f t="shared" si="25"/>
        <v>94997.989473389694</v>
      </c>
      <c r="J56" s="82">
        <f t="shared" si="25"/>
        <v>73728.563830865925</v>
      </c>
      <c r="K56" s="82">
        <f t="shared" si="25"/>
        <v>48844.712048784233</v>
      </c>
      <c r="L56" s="82">
        <f t="shared" si="25"/>
        <v>31252.594093942022</v>
      </c>
      <c r="M56" s="82">
        <f t="shared" si="25"/>
        <v>20138.905116278514</v>
      </c>
      <c r="N56" s="82">
        <f t="shared" si="25"/>
        <v>13085.002133456288</v>
      </c>
      <c r="O56" s="82">
        <f t="shared" si="25"/>
        <v>8582.7827454013168</v>
      </c>
      <c r="P56" s="82">
        <f t="shared" si="25"/>
        <v>5690.1295990300596</v>
      </c>
      <c r="Q56" s="82">
        <f t="shared" si="25"/>
        <v>3817.1648616062939</v>
      </c>
      <c r="R56" s="82">
        <f t="shared" si="25"/>
        <v>2593.5430307926758</v>
      </c>
      <c r="S56" s="82">
        <f t="shared" si="25"/>
        <v>1785.9785036223641</v>
      </c>
      <c r="T56" s="82">
        <f t="shared" si="25"/>
        <v>1246.9343527404999</v>
      </c>
      <c r="U56" s="82">
        <f t="shared" si="25"/>
        <v>882.65576469249743</v>
      </c>
      <c r="V56" s="82">
        <f t="shared" si="25"/>
        <v>633.22326506309867</v>
      </c>
      <c r="W56" s="82">
        <f t="shared" si="25"/>
        <v>460.08224268873442</v>
      </c>
      <c r="X56" s="82">
        <f t="shared" si="24"/>
        <v>338.22847704009854</v>
      </c>
      <c r="Y56" s="82">
        <f t="shared" si="24"/>
        <v>251.29755221733711</v>
      </c>
      <c r="Z56" s="82">
        <f t="shared" si="24"/>
        <v>188.46859128116739</v>
      </c>
      <c r="AA56" s="82">
        <f t="shared" si="24"/>
        <v>142.50398026680418</v>
      </c>
    </row>
    <row r="57" spans="1:27" s="84" customFormat="1" x14ac:dyDescent="0.2">
      <c r="A57" s="85" t="str">
        <f>A$26</f>
        <v>Gross capex</v>
      </c>
      <c r="B57" s="85"/>
      <c r="C57" s="85"/>
      <c r="D57" s="82">
        <f t="shared" ref="D57:W57" si="26">SUM(D26,D32,D38,D44,D50)</f>
        <v>38593.720407229659</v>
      </c>
      <c r="E57" s="82">
        <f t="shared" si="26"/>
        <v>88848.084033738007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122373.5016267709</v>
      </c>
      <c r="I57" s="82">
        <f t="shared" si="26"/>
        <v>60000.000000000015</v>
      </c>
      <c r="J57" s="82">
        <f t="shared" si="26"/>
        <v>9984.1604672286849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">
      <c r="A58" s="85" t="str">
        <f>A$27</f>
        <v>Closing asset value</v>
      </c>
      <c r="B58" s="85"/>
      <c r="C58" s="85"/>
      <c r="D58" s="109">
        <f t="shared" ref="D58:W58" si="27">SUM(D27,D33,D39,D45,D51)</f>
        <v>47626.069102076945</v>
      </c>
      <c r="E58" s="109">
        <f t="shared" si="27"/>
        <v>101589.84266911157</v>
      </c>
      <c r="F58" s="109">
        <f t="shared" si="27"/>
        <v>155648.98232600818</v>
      </c>
      <c r="G58" s="109">
        <f t="shared" si="27"/>
        <v>214575.96715261645</v>
      </c>
      <c r="H58" s="109">
        <f t="shared" si="27"/>
        <v>239156.55236742334</v>
      </c>
      <c r="I58" s="109">
        <f t="shared" si="27"/>
        <v>204158.56289403368</v>
      </c>
      <c r="J58" s="109">
        <f t="shared" si="27"/>
        <v>140414.15953039646</v>
      </c>
      <c r="K58" s="109">
        <f t="shared" si="27"/>
        <v>91569.447481612209</v>
      </c>
      <c r="L58" s="109">
        <f t="shared" si="27"/>
        <v>60316.853387670177</v>
      </c>
      <c r="M58" s="109">
        <f t="shared" si="27"/>
        <v>40177.948271391666</v>
      </c>
      <c r="N58" s="109">
        <f t="shared" si="27"/>
        <v>27092.946137935382</v>
      </c>
      <c r="O58" s="109">
        <f t="shared" si="27"/>
        <v>18510.163392534065</v>
      </c>
      <c r="P58" s="109">
        <f t="shared" si="27"/>
        <v>12820.033793504006</v>
      </c>
      <c r="Q58" s="109">
        <f t="shared" si="27"/>
        <v>9002.8689318977122</v>
      </c>
      <c r="R58" s="109">
        <f t="shared" si="27"/>
        <v>6409.3259011050368</v>
      </c>
      <c r="S58" s="109">
        <f t="shared" si="27"/>
        <v>4623.3473974826729</v>
      </c>
      <c r="T58" s="109">
        <f t="shared" si="27"/>
        <v>3376.4130447421735</v>
      </c>
      <c r="U58" s="109">
        <f t="shared" si="27"/>
        <v>2493.7572800496764</v>
      </c>
      <c r="V58" s="109">
        <f t="shared" si="27"/>
        <v>1860.5340149865776</v>
      </c>
      <c r="W58" s="109">
        <f t="shared" si="27"/>
        <v>1400.451772297843</v>
      </c>
      <c r="X58" s="109">
        <f t="shared" si="24"/>
        <v>1062.2232952577447</v>
      </c>
      <c r="Y58" s="109">
        <f t="shared" si="24"/>
        <v>810.9257430404075</v>
      </c>
      <c r="Z58" s="109">
        <f t="shared" si="24"/>
        <v>622.45715175923999</v>
      </c>
      <c r="AA58" s="109">
        <f t="shared" si="24"/>
        <v>479.95317149243584</v>
      </c>
    </row>
    <row r="59" spans="1:27" s="84" customFormat="1" x14ac:dyDescent="0.2">
      <c r="A59" s="561" t="s">
        <v>0</v>
      </c>
      <c r="B59" s="557"/>
      <c r="C59" s="557">
        <f>SUM(D59:AA59)</f>
        <v>1.3909584595239721E-10</v>
      </c>
      <c r="D59" s="560">
        <f>ABS(D55-D56+D57-D58)</f>
        <v>7.2759576141834259E-12</v>
      </c>
      <c r="E59" s="560">
        <f t="shared" ref="E59:W59" si="28">ABS(E55-E56+E57-E58)</f>
        <v>1.4551915228366852E-11</v>
      </c>
      <c r="F59" s="560">
        <f t="shared" si="28"/>
        <v>2.9103830456733704E-11</v>
      </c>
      <c r="G59" s="560">
        <f t="shared" si="28"/>
        <v>0</v>
      </c>
      <c r="H59" s="560">
        <f t="shared" si="28"/>
        <v>2.9103830456733704E-11</v>
      </c>
      <c r="I59" s="560">
        <f t="shared" si="28"/>
        <v>0</v>
      </c>
      <c r="J59" s="560">
        <f t="shared" si="28"/>
        <v>2.9103830456733704E-11</v>
      </c>
      <c r="K59" s="560">
        <f t="shared" si="28"/>
        <v>1.4551915228366852E-11</v>
      </c>
      <c r="L59" s="560">
        <f t="shared" si="28"/>
        <v>7.2759576141834259E-12</v>
      </c>
      <c r="M59" s="560">
        <f t="shared" si="28"/>
        <v>0</v>
      </c>
      <c r="N59" s="560">
        <f t="shared" si="28"/>
        <v>3.637978807091713E-12</v>
      </c>
      <c r="O59" s="560">
        <f t="shared" si="28"/>
        <v>0</v>
      </c>
      <c r="P59" s="560">
        <f t="shared" si="28"/>
        <v>1.8189894035458565E-12</v>
      </c>
      <c r="Q59" s="560">
        <f t="shared" si="28"/>
        <v>0</v>
      </c>
      <c r="R59" s="560">
        <f t="shared" si="28"/>
        <v>9.0949470177292824E-13</v>
      </c>
      <c r="S59" s="560">
        <f t="shared" si="28"/>
        <v>0</v>
      </c>
      <c r="T59" s="560">
        <f t="shared" si="28"/>
        <v>4.5474735088646412E-13</v>
      </c>
      <c r="U59" s="560">
        <f t="shared" si="28"/>
        <v>4.5474735088646412E-13</v>
      </c>
      <c r="V59" s="560">
        <f t="shared" si="28"/>
        <v>2.2737367544323206E-13</v>
      </c>
      <c r="W59" s="560">
        <f t="shared" si="28"/>
        <v>2.2737367544323206E-13</v>
      </c>
      <c r="X59" s="560">
        <f>ABS(X55-X56+X57-X58)</f>
        <v>2.2737367544323206E-13</v>
      </c>
      <c r="Y59" s="560">
        <f>ABS(Y55-Y56+Y57-Y58)</f>
        <v>0</v>
      </c>
      <c r="Z59" s="560">
        <f>ABS(Z55-Z56+Z57-Z58)</f>
        <v>1.1368683772161603E-13</v>
      </c>
      <c r="AA59" s="560">
        <f>ABS(AA55-AA56+AA57-AA58)</f>
        <v>5.6843418860808015E-14</v>
      </c>
    </row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dcterms:created xsi:type="dcterms:W3CDTF">2009-04-11T02:58:03Z</dcterms:created>
  <dcterms:modified xsi:type="dcterms:W3CDTF">2016-05-24T01:30:18Z</dcterms:modified>
</cp:coreProperties>
</file>