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2450" tabRatio="861"/>
  </bookViews>
  <sheets>
    <sheet name="Cover" sheetId="111" r:id="rId1"/>
    <sheet name="Contents" sheetId="10" r:id="rId2"/>
    <sheet name="Capex Model Category Index" sheetId="100" r:id="rId3"/>
    <sheet name="Mapping" sheetId="68" r:id="rId4"/>
    <sheet name="CPI" sheetId="76" r:id="rId5"/>
    <sheet name="Growth Capex Volumes" sheetId="60" r:id="rId6"/>
    <sheet name="Business Cases" sheetId="62" r:id="rId7"/>
    <sheet name="Real Cost Escalation" sheetId="11" r:id="rId8"/>
    <sheet name="Overheads" sheetId="101" r:id="rId9"/>
    <sheet name="Capex Category Summary (Vic)" sheetId="58" r:id="rId10"/>
    <sheet name="Capex Category Summary (Alb)" sheetId="88" r:id="rId11"/>
    <sheet name="Capex Category Summary (Comb)" sheetId="93" r:id="rId12"/>
    <sheet name="Overheads (Vic)" sheetId="86" r:id="rId13"/>
    <sheet name="Overheads (Alb)" sheetId="90" r:id="rId14"/>
    <sheet name="Overheads (Comb)" sheetId="95" r:id="rId15"/>
    <sheet name="Consolidated Summary (Vic)" sheetId="48" r:id="rId16"/>
    <sheet name="Consolidated Summary (Alb)" sheetId="91" r:id="rId17"/>
    <sheet name="Consolidated Summary (Comb) $17" sheetId="96" r:id="rId18"/>
    <sheet name="PTRM Input" sheetId="113" r:id="rId19"/>
  </sheets>
  <externalReferences>
    <externalReference r:id="rId20"/>
    <externalReference r:id="rId21"/>
  </externalReferences>
  <calcPr calcId="145621"/>
</workbook>
</file>

<file path=xl/calcChain.xml><?xml version="1.0" encoding="utf-8"?>
<calcChain xmlns="http://schemas.openxmlformats.org/spreadsheetml/2006/main">
  <c r="AE31" i="88" l="1"/>
  <c r="AD31" i="88"/>
  <c r="AF31" i="88"/>
  <c r="AG31" i="88"/>
  <c r="AH31" i="88"/>
  <c r="AD35" i="88"/>
  <c r="AE35" i="88"/>
  <c r="AF35" i="88"/>
  <c r="AG35" i="88"/>
  <c r="AH35" i="88"/>
  <c r="H15" i="60" l="1"/>
  <c r="G15" i="60"/>
  <c r="F15" i="60"/>
  <c r="H10" i="60"/>
  <c r="G10" i="60"/>
  <c r="F10" i="60"/>
  <c r="S6" i="88" l="1"/>
  <c r="AE69" i="88" l="1"/>
  <c r="AF69" i="88"/>
  <c r="AG69" i="88"/>
  <c r="AH69" i="88"/>
  <c r="AD69" i="88"/>
  <c r="AE67" i="88"/>
  <c r="AF67" i="88"/>
  <c r="AG67" i="88"/>
  <c r="AH67" i="88"/>
  <c r="AD67" i="88"/>
  <c r="AE67" i="58" l="1"/>
  <c r="AF67" i="58"/>
  <c r="AG67" i="58"/>
  <c r="AH67" i="58"/>
  <c r="AE69" i="58"/>
  <c r="AF69" i="58"/>
  <c r="AG69" i="58"/>
  <c r="AH69" i="58"/>
  <c r="AD69" i="58"/>
  <c r="AD67" i="58"/>
  <c r="Q19" i="62" l="1"/>
  <c r="AH68" i="88" s="1"/>
  <c r="P19" i="62"/>
  <c r="AG68" i="88" s="1"/>
  <c r="O19" i="62"/>
  <c r="AF68" i="88" s="1"/>
  <c r="N19" i="62"/>
  <c r="AE68" i="88" s="1"/>
  <c r="M19" i="62"/>
  <c r="AD68" i="88" s="1"/>
  <c r="Z18" i="62"/>
  <c r="Y18" i="62"/>
  <c r="X18" i="62"/>
  <c r="W18" i="62"/>
  <c r="V18" i="62"/>
  <c r="U18" i="62"/>
  <c r="T18" i="62"/>
  <c r="I18" i="62"/>
  <c r="R18" i="62"/>
  <c r="L18" i="62"/>
  <c r="K18" i="62"/>
  <c r="E19" i="62"/>
  <c r="AE68" i="58" s="1"/>
  <c r="AA18" i="62" l="1"/>
  <c r="D13" i="62"/>
  <c r="D19" i="62" s="1"/>
  <c r="AD68" i="58" s="1"/>
  <c r="Q20" i="101" l="1"/>
  <c r="P20" i="101"/>
  <c r="O20" i="101"/>
  <c r="X10" i="93"/>
  <c r="L54" i="93"/>
  <c r="L53" i="93"/>
  <c r="L52" i="93"/>
  <c r="L51" i="93"/>
  <c r="L45" i="93"/>
  <c r="L44" i="93"/>
  <c r="L38" i="93"/>
  <c r="L37" i="93"/>
  <c r="L36" i="93"/>
  <c r="L17" i="93"/>
  <c r="L10" i="93"/>
  <c r="N21" i="60" l="1"/>
  <c r="M7" i="60"/>
  <c r="S17" i="60" l="1"/>
  <c r="R17" i="60"/>
  <c r="Q12" i="60"/>
  <c r="R12" i="60"/>
  <c r="Q17" i="60"/>
  <c r="S12" i="60"/>
  <c r="V24" i="60"/>
  <c r="V29" i="60"/>
  <c r="G12" i="60"/>
  <c r="F12" i="60"/>
  <c r="H17" i="60"/>
  <c r="G17" i="60"/>
  <c r="H12" i="60"/>
  <c r="F17" i="60"/>
  <c r="T17" i="60" l="1"/>
  <c r="R30" i="60" s="1"/>
  <c r="R31" i="60" s="1"/>
  <c r="R37" i="60" s="1"/>
  <c r="T12" i="60"/>
  <c r="I12" i="60"/>
  <c r="I17" i="60"/>
  <c r="K29" i="60"/>
  <c r="S30" i="60" l="1"/>
  <c r="S31" i="60" s="1"/>
  <c r="S37" i="60" s="1"/>
  <c r="U30" i="60"/>
  <c r="U31" i="60" s="1"/>
  <c r="U37" i="60" s="1"/>
  <c r="Q30" i="60"/>
  <c r="Q31" i="60" s="1"/>
  <c r="Q37" i="60" s="1"/>
  <c r="T30" i="60"/>
  <c r="T31" i="60" s="1"/>
  <c r="T37" i="60" s="1"/>
  <c r="G30" i="60"/>
  <c r="G31" i="60" s="1"/>
  <c r="G37" i="60" s="1"/>
  <c r="I30" i="60"/>
  <c r="I31" i="60" s="1"/>
  <c r="I37" i="60" s="1"/>
  <c r="J30" i="60"/>
  <c r="J31" i="60" s="1"/>
  <c r="J37" i="60" s="1"/>
  <c r="H30" i="60"/>
  <c r="H31" i="60" s="1"/>
  <c r="H37" i="60" s="1"/>
  <c r="F30" i="60"/>
  <c r="F31" i="60" s="1"/>
  <c r="F37" i="60" s="1"/>
  <c r="V30" i="60" l="1"/>
  <c r="V31" i="60" s="1"/>
  <c r="K30" i="60"/>
  <c r="K31" i="60" s="1"/>
  <c r="N53" i="101" l="1"/>
  <c r="U42" i="60" l="1"/>
  <c r="T42" i="60"/>
  <c r="S42" i="60"/>
  <c r="R42" i="60"/>
  <c r="Q42" i="60"/>
  <c r="V42" i="60" l="1"/>
  <c r="Q71" i="60" l="1"/>
  <c r="C19" i="90" l="1"/>
  <c r="N19" i="90" s="1"/>
  <c r="Y19" i="90" s="1"/>
  <c r="B19" i="90"/>
  <c r="M19" i="90" s="1"/>
  <c r="X19" i="90" s="1"/>
  <c r="C19" i="86"/>
  <c r="N19" i="86" s="1"/>
  <c r="Y19" i="86" s="1"/>
  <c r="B19" i="86"/>
  <c r="M19" i="86" s="1"/>
  <c r="X19" i="86" s="1"/>
  <c r="C19" i="95"/>
  <c r="N19" i="95" s="1"/>
  <c r="Y19" i="95" s="1"/>
  <c r="B19" i="95"/>
  <c r="M19" i="95" s="1"/>
  <c r="X19" i="95" s="1"/>
  <c r="Q53" i="62"/>
  <c r="AH63" i="88" s="1"/>
  <c r="P53" i="62"/>
  <c r="AG63" i="88" s="1"/>
  <c r="O53" i="62"/>
  <c r="AF63" i="88" s="1"/>
  <c r="N53" i="62"/>
  <c r="AE63" i="88" s="1"/>
  <c r="H53" i="62"/>
  <c r="AH63" i="58" s="1"/>
  <c r="F53" i="62"/>
  <c r="AF63" i="58" s="1"/>
  <c r="E53" i="62"/>
  <c r="AE63" i="58" s="1"/>
  <c r="L30" i="88"/>
  <c r="L30" i="93" s="1"/>
  <c r="L24" i="88"/>
  <c r="L24" i="93" s="1"/>
  <c r="L23" i="88"/>
  <c r="L23" i="93" s="1"/>
  <c r="L22" i="88"/>
  <c r="L22" i="93" s="1"/>
  <c r="L21" i="88"/>
  <c r="L21" i="93" s="1"/>
  <c r="L20" i="88"/>
  <c r="L20" i="93" s="1"/>
  <c r="L19" i="88"/>
  <c r="L19" i="93" s="1"/>
  <c r="L18" i="88"/>
  <c r="L18" i="93" s="1"/>
  <c r="L11" i="88"/>
  <c r="L11" i="93" s="1"/>
  <c r="X54" i="88"/>
  <c r="X54" i="93" s="1"/>
  <c r="X53" i="88"/>
  <c r="X53" i="93" s="1"/>
  <c r="X52" i="88"/>
  <c r="X52" i="93" s="1"/>
  <c r="X51" i="88"/>
  <c r="X51" i="93" s="1"/>
  <c r="X45" i="88"/>
  <c r="X45" i="93" s="1"/>
  <c r="X44" i="88"/>
  <c r="X44" i="93" s="1"/>
  <c r="X38" i="88"/>
  <c r="X38" i="93" s="1"/>
  <c r="X37" i="88"/>
  <c r="X37" i="93" s="1"/>
  <c r="X36" i="88"/>
  <c r="X36" i="93" s="1"/>
  <c r="X30" i="88"/>
  <c r="X30" i="93" s="1"/>
  <c r="X24" i="88"/>
  <c r="X24" i="93" s="1"/>
  <c r="X23" i="88"/>
  <c r="X23" i="93" s="1"/>
  <c r="X22" i="88"/>
  <c r="X22" i="93" s="1"/>
  <c r="X21" i="88"/>
  <c r="X21" i="93" s="1"/>
  <c r="X20" i="88"/>
  <c r="X20" i="93" s="1"/>
  <c r="X19" i="88"/>
  <c r="X19" i="93" s="1"/>
  <c r="X18" i="88"/>
  <c r="X18" i="93" s="1"/>
  <c r="X17" i="88"/>
  <c r="X17" i="93" s="1"/>
  <c r="X11" i="88"/>
  <c r="X11" i="93" s="1"/>
  <c r="M53" i="62" l="1"/>
  <c r="AD63" i="88" s="1"/>
  <c r="G53" i="62"/>
  <c r="AG63" i="58" s="1"/>
  <c r="D53" i="62"/>
  <c r="AD63" i="58" s="1"/>
  <c r="C17" i="90" l="1"/>
  <c r="N17" i="90" s="1"/>
  <c r="Y17" i="90" s="1"/>
  <c r="B17" i="90"/>
  <c r="M17" i="90" s="1"/>
  <c r="X17" i="90" s="1"/>
  <c r="C17" i="86"/>
  <c r="N17" i="86" s="1"/>
  <c r="Y17" i="86" s="1"/>
  <c r="B17" i="86"/>
  <c r="M17" i="86" s="1"/>
  <c r="X17" i="86" s="1"/>
  <c r="C17" i="95"/>
  <c r="N17" i="95" s="1"/>
  <c r="Y17" i="95" s="1"/>
  <c r="B17" i="95"/>
  <c r="M17" i="95" s="1"/>
  <c r="X17" i="95" s="1"/>
  <c r="C22" i="93"/>
  <c r="O22" i="93" s="1"/>
  <c r="AL22" i="93" s="1"/>
  <c r="B22" i="93"/>
  <c r="Z22" i="93" s="1"/>
  <c r="AV22" i="93" s="1"/>
  <c r="B22" i="88"/>
  <c r="N22" i="88" s="1"/>
  <c r="AK22" i="88" s="1"/>
  <c r="C22" i="88"/>
  <c r="O22" i="88" s="1"/>
  <c r="AL22" i="88" s="1"/>
  <c r="AA22" i="93" l="1"/>
  <c r="AW22" i="93" s="1"/>
  <c r="N22" i="93"/>
  <c r="AK22" i="93" s="1"/>
  <c r="Z22" i="88"/>
  <c r="AV22" i="88" s="1"/>
  <c r="AA22" i="88"/>
  <c r="AW22" i="88" s="1"/>
  <c r="AI22" i="88" l="1"/>
  <c r="B22" i="58"/>
  <c r="Z22" i="58" s="1"/>
  <c r="AV22" i="58" s="1"/>
  <c r="B23" i="58"/>
  <c r="Z23" i="58" s="1"/>
  <c r="B24" i="58"/>
  <c r="Z24" i="58" s="1"/>
  <c r="N22" i="58"/>
  <c r="AK22" i="58" s="1"/>
  <c r="O22" i="58"/>
  <c r="AL22" i="58" s="1"/>
  <c r="C22" i="58"/>
  <c r="AA22" i="58" s="1"/>
  <c r="AW22" i="58" s="1"/>
  <c r="D11" i="68"/>
  <c r="E11" i="68"/>
  <c r="D12" i="68"/>
  <c r="E12" i="68"/>
  <c r="D13" i="68"/>
  <c r="E13" i="68"/>
  <c r="AI22" i="58" l="1"/>
  <c r="AI22" i="93" l="1"/>
  <c r="V12" i="62"/>
  <c r="X12" i="62"/>
  <c r="Z12" i="62"/>
  <c r="W12" i="62"/>
  <c r="Y12" i="62"/>
  <c r="H40" i="62"/>
  <c r="AH66" i="58" s="1"/>
  <c r="G40" i="62"/>
  <c r="AG66" i="58" s="1"/>
  <c r="F40" i="62"/>
  <c r="AF66" i="58" s="1"/>
  <c r="E40" i="62"/>
  <c r="AE66" i="58" s="1"/>
  <c r="D40" i="62"/>
  <c r="AD66" i="58" s="1"/>
  <c r="J42" i="60" l="1"/>
  <c r="I42" i="60"/>
  <c r="H42" i="60"/>
  <c r="G42" i="60"/>
  <c r="F42" i="60"/>
  <c r="Q40" i="62" l="1"/>
  <c r="AH66" i="88" s="1"/>
  <c r="P40" i="62"/>
  <c r="AG66" i="88" s="1"/>
  <c r="O40" i="62"/>
  <c r="AF66" i="88" s="1"/>
  <c r="N40" i="62"/>
  <c r="AE66" i="88" s="1"/>
  <c r="M40" i="62"/>
  <c r="AD66" i="88" s="1"/>
  <c r="V47" i="60" l="1"/>
  <c r="K47" i="60"/>
  <c r="M52" i="60"/>
  <c r="M51" i="60"/>
  <c r="M50" i="60"/>
  <c r="M49" i="60"/>
  <c r="M113" i="60"/>
  <c r="N112" i="60"/>
  <c r="M112" i="60"/>
  <c r="N111" i="60"/>
  <c r="N110" i="60"/>
  <c r="M110" i="60"/>
  <c r="M109" i="60"/>
  <c r="M104" i="60"/>
  <c r="N103" i="60"/>
  <c r="M103" i="60"/>
  <c r="N102" i="60"/>
  <c r="N101" i="60"/>
  <c r="M101" i="60"/>
  <c r="M100" i="60"/>
  <c r="M98" i="60"/>
  <c r="M97" i="60"/>
  <c r="M96" i="60"/>
  <c r="M95" i="60"/>
  <c r="M93" i="60"/>
  <c r="M92" i="60"/>
  <c r="M91" i="60"/>
  <c r="M90" i="60"/>
  <c r="M86" i="60"/>
  <c r="N85" i="60"/>
  <c r="M85" i="60"/>
  <c r="N84" i="60"/>
  <c r="N83" i="60"/>
  <c r="N82" i="60"/>
  <c r="M82" i="60"/>
  <c r="M81" i="60"/>
  <c r="M78" i="60"/>
  <c r="N77" i="60"/>
  <c r="M77" i="60"/>
  <c r="N76" i="60"/>
  <c r="N75" i="60"/>
  <c r="N74" i="60"/>
  <c r="M74" i="60"/>
  <c r="M73" i="60"/>
  <c r="M68" i="60"/>
  <c r="M67" i="60"/>
  <c r="M66" i="60"/>
  <c r="M65" i="60"/>
  <c r="M64" i="60"/>
  <c r="M62" i="60"/>
  <c r="M61" i="60"/>
  <c r="M60" i="60"/>
  <c r="M59" i="60"/>
  <c r="M58" i="60"/>
  <c r="M57" i="60"/>
  <c r="M43" i="60"/>
  <c r="M42" i="60"/>
  <c r="M41" i="60"/>
  <c r="M40" i="60"/>
  <c r="M37" i="60"/>
  <c r="M36" i="60"/>
  <c r="M35" i="60"/>
  <c r="T92" i="60" l="1"/>
  <c r="T93" i="60" l="1"/>
  <c r="T91" i="60"/>
  <c r="R98" i="60"/>
  <c r="Q98" i="60"/>
  <c r="S65" i="60"/>
  <c r="S98" i="60"/>
  <c r="Q97" i="60"/>
  <c r="R97" i="60"/>
  <c r="R65" i="60"/>
  <c r="S96" i="60"/>
  <c r="S97" i="60"/>
  <c r="Q66" i="60"/>
  <c r="R96" i="60"/>
  <c r="R66" i="60"/>
  <c r="Q96" i="60"/>
  <c r="Q65" i="60"/>
  <c r="R67" i="60"/>
  <c r="S67" i="60"/>
  <c r="Q67" i="60"/>
  <c r="S66" i="60"/>
  <c r="T98" i="60" l="1"/>
  <c r="T66" i="60"/>
  <c r="T96" i="60"/>
  <c r="T97" i="60"/>
  <c r="R68" i="60"/>
  <c r="S68" i="60"/>
  <c r="T67" i="60"/>
  <c r="T65" i="60"/>
  <c r="Q68" i="60"/>
  <c r="T68" i="60" l="1"/>
  <c r="T61" i="60"/>
  <c r="T60" i="60"/>
  <c r="T59" i="60"/>
  <c r="T58" i="60"/>
  <c r="I93" i="60" l="1"/>
  <c r="I92" i="60"/>
  <c r="I91" i="60"/>
  <c r="T62" i="60"/>
  <c r="S62" i="60"/>
  <c r="Q62" i="60"/>
  <c r="R62" i="60"/>
  <c r="C24" i="93" l="1"/>
  <c r="AA24" i="93" s="1"/>
  <c r="AW24" i="93" s="1"/>
  <c r="B24" i="93"/>
  <c r="N24" i="93" s="1"/>
  <c r="AK24" i="93" s="1"/>
  <c r="J25" i="88"/>
  <c r="I25" i="88"/>
  <c r="H25" i="88"/>
  <c r="G25" i="88"/>
  <c r="F25" i="88"/>
  <c r="K24" i="88"/>
  <c r="B24" i="88"/>
  <c r="N24" i="88" s="1"/>
  <c r="AK24" i="88" s="1"/>
  <c r="C24" i="88"/>
  <c r="AA24" i="88" s="1"/>
  <c r="AW24" i="88" s="1"/>
  <c r="AI24" i="88" l="1"/>
  <c r="O24" i="88"/>
  <c r="AL24" i="88" s="1"/>
  <c r="O24" i="93"/>
  <c r="AL24" i="93" s="1"/>
  <c r="Z24" i="88"/>
  <c r="AV24" i="88" s="1"/>
  <c r="Z24" i="93"/>
  <c r="AV24" i="93" s="1"/>
  <c r="AV24" i="58" l="1"/>
  <c r="C24" i="58"/>
  <c r="AA24" i="58" l="1"/>
  <c r="AW24" i="58" s="1"/>
  <c r="O24" i="58"/>
  <c r="AL24" i="58" s="1"/>
  <c r="N24" i="58"/>
  <c r="AK24" i="58" s="1"/>
  <c r="F65" i="60" l="1"/>
  <c r="H65" i="60"/>
  <c r="G65" i="60"/>
  <c r="G67" i="60"/>
  <c r="H67" i="60"/>
  <c r="F66" i="60"/>
  <c r="G66" i="60"/>
  <c r="F67" i="60"/>
  <c r="H66" i="60"/>
  <c r="F98" i="60"/>
  <c r="G98" i="60"/>
  <c r="H98" i="60"/>
  <c r="F96" i="60"/>
  <c r="H96" i="60"/>
  <c r="F97" i="60"/>
  <c r="G97" i="60"/>
  <c r="H97" i="60"/>
  <c r="G96" i="60"/>
  <c r="I61" i="60"/>
  <c r="G62" i="60"/>
  <c r="F62" i="60"/>
  <c r="H62" i="60"/>
  <c r="I58" i="60"/>
  <c r="I60" i="60"/>
  <c r="I59" i="60"/>
  <c r="I97" i="60" l="1"/>
  <c r="I98" i="60"/>
  <c r="I96" i="60"/>
  <c r="I66" i="60"/>
  <c r="I62" i="60"/>
  <c r="G68" i="60" l="1"/>
  <c r="I65" i="60"/>
  <c r="H68" i="60"/>
  <c r="I67" i="60"/>
  <c r="F68" i="60"/>
  <c r="L29" i="93"/>
  <c r="L29" i="88"/>
  <c r="I68" i="60" l="1"/>
  <c r="V37" i="60"/>
  <c r="K37" i="60"/>
  <c r="K42" i="60" l="1"/>
  <c r="K51" i="60" l="1"/>
  <c r="V51" i="60"/>
  <c r="E31" i="68"/>
  <c r="D31" i="68"/>
  <c r="E29" i="68"/>
  <c r="E30" i="68"/>
  <c r="D30" i="68"/>
  <c r="D29" i="68"/>
  <c r="E28" i="68"/>
  <c r="D28" i="68"/>
  <c r="E27" i="68"/>
  <c r="D27" i="68"/>
  <c r="E25" i="68"/>
  <c r="E26" i="68"/>
  <c r="D26" i="68"/>
  <c r="D25" i="68"/>
  <c r="E23" i="68"/>
  <c r="E24" i="68"/>
  <c r="D24" i="68"/>
  <c r="D23" i="68"/>
  <c r="D21" i="68"/>
  <c r="E21" i="68"/>
  <c r="D22" i="68"/>
  <c r="E22" i="68"/>
  <c r="D17" i="68"/>
  <c r="E17" i="68"/>
  <c r="D18" i="68"/>
  <c r="E18" i="68"/>
  <c r="D19" i="68"/>
  <c r="E19" i="68"/>
  <c r="D20" i="68"/>
  <c r="E20" i="68"/>
  <c r="E16" i="68"/>
  <c r="D16" i="68"/>
  <c r="E15" i="68"/>
  <c r="D15" i="68"/>
  <c r="E6" i="68"/>
  <c r="E7" i="68"/>
  <c r="E8" i="68"/>
  <c r="E9" i="68"/>
  <c r="E10" i="68"/>
  <c r="E14" i="68"/>
  <c r="D7" i="68"/>
  <c r="D8" i="68"/>
  <c r="D9" i="68"/>
  <c r="D10" i="68"/>
  <c r="D14" i="68"/>
  <c r="D6" i="68"/>
  <c r="C40" i="90"/>
  <c r="N40" i="90" s="1"/>
  <c r="B40" i="90"/>
  <c r="M40" i="90" s="1"/>
  <c r="C39" i="90"/>
  <c r="N39" i="90" s="1"/>
  <c r="B39" i="90"/>
  <c r="M39" i="90" s="1"/>
  <c r="C38" i="90"/>
  <c r="N38" i="90" s="1"/>
  <c r="B38" i="90"/>
  <c r="M38" i="90" s="1"/>
  <c r="C37" i="90"/>
  <c r="N37" i="90" s="1"/>
  <c r="B37" i="90"/>
  <c r="M37" i="90" s="1"/>
  <c r="C36" i="90"/>
  <c r="N36" i="90" s="1"/>
  <c r="B36" i="90"/>
  <c r="C35" i="90"/>
  <c r="N35" i="90" s="1"/>
  <c r="B35" i="90"/>
  <c r="M35" i="90" s="1"/>
  <c r="C34" i="90"/>
  <c r="B34" i="90"/>
  <c r="M34" i="90" s="1"/>
  <c r="C33" i="90"/>
  <c r="N33" i="90" s="1"/>
  <c r="B33" i="90"/>
  <c r="M33" i="90" s="1"/>
  <c r="C29" i="90"/>
  <c r="N29" i="90" s="1"/>
  <c r="B29" i="90"/>
  <c r="M29" i="90" s="1"/>
  <c r="C28" i="90"/>
  <c r="N28" i="90" s="1"/>
  <c r="B28" i="90"/>
  <c r="M28" i="90" s="1"/>
  <c r="C27" i="90"/>
  <c r="N27" i="90" s="1"/>
  <c r="B27" i="90"/>
  <c r="M27" i="90" s="1"/>
  <c r="C26" i="90"/>
  <c r="N26" i="90" s="1"/>
  <c r="B26" i="90"/>
  <c r="C25" i="90"/>
  <c r="N25" i="90" s="1"/>
  <c r="B25" i="90"/>
  <c r="M25" i="90" s="1"/>
  <c r="C24" i="90"/>
  <c r="N24" i="90" s="1"/>
  <c r="B24" i="90"/>
  <c r="C23" i="90"/>
  <c r="N23" i="90" s="1"/>
  <c r="B23" i="90"/>
  <c r="M23" i="90" s="1"/>
  <c r="C22" i="90"/>
  <c r="N22" i="90" s="1"/>
  <c r="B22" i="90"/>
  <c r="M22" i="90" s="1"/>
  <c r="C21" i="90"/>
  <c r="N21" i="90" s="1"/>
  <c r="B21" i="90"/>
  <c r="M21" i="90" s="1"/>
  <c r="C20" i="90"/>
  <c r="N20" i="90" s="1"/>
  <c r="B20" i="90"/>
  <c r="M20" i="90" s="1"/>
  <c r="C18" i="90"/>
  <c r="B18" i="90"/>
  <c r="M18" i="90" s="1"/>
  <c r="C16" i="90"/>
  <c r="N16" i="90" s="1"/>
  <c r="B16" i="90"/>
  <c r="M16" i="90" s="1"/>
  <c r="C15" i="90"/>
  <c r="N15" i="90" s="1"/>
  <c r="B15" i="90"/>
  <c r="C14" i="90"/>
  <c r="N14" i="90" s="1"/>
  <c r="B14" i="90"/>
  <c r="M14" i="90" s="1"/>
  <c r="C13" i="90"/>
  <c r="N13" i="90" s="1"/>
  <c r="B13" i="90"/>
  <c r="M13" i="90" s="1"/>
  <c r="C12" i="90"/>
  <c r="N12" i="90" s="1"/>
  <c r="B12" i="90"/>
  <c r="M12" i="90" s="1"/>
  <c r="C11" i="90"/>
  <c r="N11" i="90" s="1"/>
  <c r="B11" i="90"/>
  <c r="C10" i="90"/>
  <c r="N10" i="90" s="1"/>
  <c r="B10" i="90"/>
  <c r="M10" i="90" s="1"/>
  <c r="C40" i="86"/>
  <c r="N40" i="86" s="1"/>
  <c r="B40" i="86"/>
  <c r="M40" i="86" s="1"/>
  <c r="C39" i="86"/>
  <c r="N39" i="86" s="1"/>
  <c r="B39" i="86"/>
  <c r="M39" i="86" s="1"/>
  <c r="C38" i="86"/>
  <c r="N38" i="86" s="1"/>
  <c r="B38" i="86"/>
  <c r="C37" i="86"/>
  <c r="N37" i="86" s="1"/>
  <c r="B37" i="86"/>
  <c r="C36" i="86"/>
  <c r="N36" i="86" s="1"/>
  <c r="B36" i="86"/>
  <c r="C35" i="86"/>
  <c r="B35" i="86"/>
  <c r="M35" i="86" s="1"/>
  <c r="C34" i="86"/>
  <c r="N34" i="86" s="1"/>
  <c r="B34" i="86"/>
  <c r="M34" i="86" s="1"/>
  <c r="C33" i="86"/>
  <c r="N33" i="86" s="1"/>
  <c r="B33" i="86"/>
  <c r="M33" i="86" s="1"/>
  <c r="C29" i="86"/>
  <c r="N29" i="86" s="1"/>
  <c r="B29" i="86"/>
  <c r="M29" i="86" s="1"/>
  <c r="C28" i="86"/>
  <c r="N28" i="86" s="1"/>
  <c r="B28" i="86"/>
  <c r="M28" i="86" s="1"/>
  <c r="C27" i="86"/>
  <c r="N27" i="86" s="1"/>
  <c r="B27" i="86"/>
  <c r="M27" i="86" s="1"/>
  <c r="C26" i="86"/>
  <c r="N26" i="86" s="1"/>
  <c r="B26" i="86"/>
  <c r="M26" i="86" s="1"/>
  <c r="C25" i="86"/>
  <c r="N25" i="86" s="1"/>
  <c r="B25" i="86"/>
  <c r="M25" i="86" s="1"/>
  <c r="C24" i="86"/>
  <c r="N24" i="86" s="1"/>
  <c r="B24" i="86"/>
  <c r="M24" i="86" s="1"/>
  <c r="C23" i="86"/>
  <c r="N23" i="86" s="1"/>
  <c r="B23" i="86"/>
  <c r="M23" i="86" s="1"/>
  <c r="C22" i="86"/>
  <c r="B22" i="86"/>
  <c r="M22" i="86" s="1"/>
  <c r="C21" i="86"/>
  <c r="N21" i="86" s="1"/>
  <c r="B21" i="86"/>
  <c r="M21" i="86" s="1"/>
  <c r="C20" i="86"/>
  <c r="N20" i="86" s="1"/>
  <c r="B20" i="86"/>
  <c r="M20" i="86" s="1"/>
  <c r="C18" i="86"/>
  <c r="N18" i="86" s="1"/>
  <c r="B18" i="86"/>
  <c r="C16" i="86"/>
  <c r="N16" i="86" s="1"/>
  <c r="B16" i="86"/>
  <c r="M16" i="86" s="1"/>
  <c r="C15" i="86"/>
  <c r="N15" i="86" s="1"/>
  <c r="B15" i="86"/>
  <c r="C14" i="86"/>
  <c r="N14" i="86" s="1"/>
  <c r="B14" i="86"/>
  <c r="M14" i="86" s="1"/>
  <c r="C13" i="86"/>
  <c r="N13" i="86" s="1"/>
  <c r="B13" i="86"/>
  <c r="C12" i="86"/>
  <c r="B12" i="86"/>
  <c r="M12" i="86" s="1"/>
  <c r="C11" i="86"/>
  <c r="N11" i="86" s="1"/>
  <c r="B11" i="86"/>
  <c r="C10" i="86"/>
  <c r="N10" i="86" s="1"/>
  <c r="B10" i="86"/>
  <c r="AA69" i="93"/>
  <c r="Z69" i="93"/>
  <c r="AA68" i="93"/>
  <c r="Z68" i="93"/>
  <c r="AA67" i="93"/>
  <c r="Z67" i="93"/>
  <c r="AA66" i="93"/>
  <c r="Z66" i="93"/>
  <c r="AA65" i="93"/>
  <c r="Z65" i="93"/>
  <c r="AA64" i="93"/>
  <c r="Z64" i="93"/>
  <c r="AA63" i="93"/>
  <c r="Z63" i="93"/>
  <c r="AA62" i="93"/>
  <c r="Z62" i="93"/>
  <c r="AA69" i="88"/>
  <c r="Z69" i="88"/>
  <c r="AA68" i="88"/>
  <c r="Z68" i="88"/>
  <c r="AA67" i="88"/>
  <c r="Z67" i="88"/>
  <c r="AA66" i="88"/>
  <c r="Z66" i="88"/>
  <c r="AA65" i="88"/>
  <c r="Z65" i="88"/>
  <c r="AA64" i="88"/>
  <c r="Z64" i="88"/>
  <c r="AA63" i="88"/>
  <c r="Z63" i="88"/>
  <c r="AA62" i="88"/>
  <c r="Z62" i="88"/>
  <c r="AA62" i="58"/>
  <c r="AA63" i="58"/>
  <c r="AA64" i="58"/>
  <c r="AA65" i="58"/>
  <c r="AA66" i="58"/>
  <c r="AA67" i="58"/>
  <c r="AA68" i="58"/>
  <c r="AA69" i="58"/>
  <c r="Z63" i="58"/>
  <c r="Z64" i="58"/>
  <c r="Z65" i="58"/>
  <c r="Z66" i="58"/>
  <c r="Z67" i="58"/>
  <c r="Z68" i="58"/>
  <c r="Z69" i="58"/>
  <c r="Z62" i="58"/>
  <c r="C33" i="95"/>
  <c r="C34" i="95"/>
  <c r="C35" i="95"/>
  <c r="C36" i="95"/>
  <c r="N36" i="95" s="1"/>
  <c r="C37" i="95"/>
  <c r="C38" i="95"/>
  <c r="C39" i="95"/>
  <c r="C40" i="95"/>
  <c r="N40" i="95" s="1"/>
  <c r="B34" i="95"/>
  <c r="B35" i="95"/>
  <c r="B36" i="95"/>
  <c r="B37" i="95"/>
  <c r="M37" i="95" s="1"/>
  <c r="B38" i="95"/>
  <c r="M38" i="95" s="1"/>
  <c r="B39" i="95"/>
  <c r="B40" i="95"/>
  <c r="B33" i="95"/>
  <c r="M33" i="95" s="1"/>
  <c r="C10" i="95"/>
  <c r="N10" i="95" s="1"/>
  <c r="C11" i="95"/>
  <c r="C12" i="95"/>
  <c r="C13" i="95"/>
  <c r="N13" i="95" s="1"/>
  <c r="C14" i="95"/>
  <c r="N14" i="95" s="1"/>
  <c r="C15" i="95"/>
  <c r="C16" i="95"/>
  <c r="C18" i="95"/>
  <c r="N18" i="95" s="1"/>
  <c r="C20" i="95"/>
  <c r="N20" i="95" s="1"/>
  <c r="C21" i="95"/>
  <c r="C22" i="95"/>
  <c r="C23" i="95"/>
  <c r="N23" i="95" s="1"/>
  <c r="C24" i="95"/>
  <c r="N24" i="95" s="1"/>
  <c r="C25" i="95"/>
  <c r="C26" i="95"/>
  <c r="C27" i="95"/>
  <c r="N27" i="95" s="1"/>
  <c r="C28" i="95"/>
  <c r="N28" i="95" s="1"/>
  <c r="C29" i="95"/>
  <c r="B11" i="95"/>
  <c r="B12" i="95"/>
  <c r="M12" i="95" s="1"/>
  <c r="B13" i="95"/>
  <c r="M13" i="95" s="1"/>
  <c r="B14" i="95"/>
  <c r="B15" i="95"/>
  <c r="B16" i="95"/>
  <c r="M16" i="95" s="1"/>
  <c r="B18" i="95"/>
  <c r="M18" i="95" s="1"/>
  <c r="B20" i="95"/>
  <c r="B21" i="95"/>
  <c r="B22" i="95"/>
  <c r="M22" i="95" s="1"/>
  <c r="B23" i="95"/>
  <c r="M23" i="95" s="1"/>
  <c r="B24" i="95"/>
  <c r="M24" i="95" s="1"/>
  <c r="B25" i="95"/>
  <c r="B26" i="95"/>
  <c r="M26" i="95" s="1"/>
  <c r="B27" i="95"/>
  <c r="M27" i="95" s="1"/>
  <c r="B28" i="95"/>
  <c r="B29" i="95"/>
  <c r="B10" i="95"/>
  <c r="M10" i="95" s="1"/>
  <c r="C54" i="93"/>
  <c r="B54" i="93"/>
  <c r="C53" i="93"/>
  <c r="B53" i="93"/>
  <c r="C52" i="93"/>
  <c r="B52" i="93"/>
  <c r="C51" i="93"/>
  <c r="B51" i="93"/>
  <c r="C45" i="93"/>
  <c r="B45" i="93"/>
  <c r="C44" i="93"/>
  <c r="B44" i="93"/>
  <c r="C38" i="93"/>
  <c r="B38" i="93"/>
  <c r="C37" i="93"/>
  <c r="B37" i="93"/>
  <c r="C36" i="93"/>
  <c r="B36" i="93"/>
  <c r="C30" i="93"/>
  <c r="B30" i="93"/>
  <c r="C23" i="93"/>
  <c r="B23" i="93"/>
  <c r="C21" i="93"/>
  <c r="B21" i="93"/>
  <c r="C20" i="93"/>
  <c r="B20" i="93"/>
  <c r="C19" i="93"/>
  <c r="B19" i="93"/>
  <c r="C18" i="93"/>
  <c r="B18" i="93"/>
  <c r="C17" i="93"/>
  <c r="B17" i="93"/>
  <c r="C11" i="93"/>
  <c r="B11" i="93"/>
  <c r="C10" i="93"/>
  <c r="B10" i="93"/>
  <c r="C54" i="88"/>
  <c r="B54" i="88"/>
  <c r="C53" i="88"/>
  <c r="B53" i="88"/>
  <c r="C52" i="88"/>
  <c r="B52" i="88"/>
  <c r="C51" i="88"/>
  <c r="B51" i="88"/>
  <c r="C45" i="88"/>
  <c r="B45" i="88"/>
  <c r="C44" i="88"/>
  <c r="B44" i="88"/>
  <c r="C38" i="88"/>
  <c r="B38" i="88"/>
  <c r="C37" i="88"/>
  <c r="B37" i="88"/>
  <c r="C36" i="88"/>
  <c r="B36" i="88"/>
  <c r="C30" i="88"/>
  <c r="B30" i="88"/>
  <c r="C23" i="88"/>
  <c r="B23" i="88"/>
  <c r="C21" i="88"/>
  <c r="B21" i="88"/>
  <c r="C20" i="88"/>
  <c r="B20" i="88"/>
  <c r="C19" i="88"/>
  <c r="B19" i="88"/>
  <c r="C18" i="88"/>
  <c r="B18" i="88"/>
  <c r="C17" i="88"/>
  <c r="B17" i="88"/>
  <c r="C11" i="88"/>
  <c r="B11" i="88"/>
  <c r="C10" i="88"/>
  <c r="B10" i="88"/>
  <c r="C51" i="58"/>
  <c r="C52" i="58"/>
  <c r="C53" i="58"/>
  <c r="C54" i="58"/>
  <c r="B52" i="58"/>
  <c r="B53" i="58"/>
  <c r="B54" i="58"/>
  <c r="B51" i="58"/>
  <c r="C44" i="58"/>
  <c r="C45" i="58"/>
  <c r="B45" i="58"/>
  <c r="B44" i="58"/>
  <c r="C36" i="58"/>
  <c r="C37" i="58"/>
  <c r="C38" i="58"/>
  <c r="B37" i="58"/>
  <c r="B38" i="58"/>
  <c r="B36" i="58"/>
  <c r="C30" i="58"/>
  <c r="B30" i="58"/>
  <c r="C17" i="58"/>
  <c r="C18" i="58"/>
  <c r="C19" i="58"/>
  <c r="C20" i="58"/>
  <c r="C21" i="58"/>
  <c r="C23" i="58"/>
  <c r="AA23" i="58" s="1"/>
  <c r="B18" i="58"/>
  <c r="B19" i="58"/>
  <c r="B20" i="58"/>
  <c r="B21" i="58"/>
  <c r="B17" i="58"/>
  <c r="C10" i="58"/>
  <c r="C11" i="58"/>
  <c r="B11" i="58"/>
  <c r="B10" i="58"/>
  <c r="N34" i="90"/>
  <c r="M36" i="90"/>
  <c r="N18" i="90"/>
  <c r="M11" i="90"/>
  <c r="M15" i="90"/>
  <c r="M24" i="90"/>
  <c r="M26" i="90"/>
  <c r="N35" i="86"/>
  <c r="M36" i="86"/>
  <c r="M37" i="86"/>
  <c r="M38" i="86"/>
  <c r="N12" i="86"/>
  <c r="N22" i="86"/>
  <c r="M11" i="86"/>
  <c r="M13" i="86"/>
  <c r="M15" i="86"/>
  <c r="M18" i="86"/>
  <c r="M10" i="86"/>
  <c r="N33" i="95"/>
  <c r="N34" i="95"/>
  <c r="N35" i="95"/>
  <c r="N37" i="95"/>
  <c r="N38" i="95"/>
  <c r="N39" i="95"/>
  <c r="M34" i="95"/>
  <c r="M35" i="95"/>
  <c r="M36" i="95"/>
  <c r="M39" i="95"/>
  <c r="M40" i="95"/>
  <c r="N11" i="95"/>
  <c r="N12" i="95"/>
  <c r="N15" i="95"/>
  <c r="N16" i="95"/>
  <c r="N21" i="95"/>
  <c r="N22" i="95"/>
  <c r="N25" i="95"/>
  <c r="N26" i="95"/>
  <c r="N29" i="95"/>
  <c r="M11" i="95"/>
  <c r="M14" i="95"/>
  <c r="M15" i="95"/>
  <c r="M20" i="95"/>
  <c r="M21" i="95"/>
  <c r="M25" i="95"/>
  <c r="M28" i="95"/>
  <c r="M29" i="95"/>
  <c r="K77" i="60" l="1"/>
  <c r="V77" i="60"/>
  <c r="T31" i="62"/>
  <c r="T32" i="62"/>
  <c r="T33" i="62"/>
  <c r="T34" i="62"/>
  <c r="U32" i="62"/>
  <c r="U33" i="62"/>
  <c r="U34" i="62"/>
  <c r="U31" i="62"/>
  <c r="U39" i="62"/>
  <c r="U38" i="62"/>
  <c r="L39" i="62"/>
  <c r="L38" i="62"/>
  <c r="L32" i="62"/>
  <c r="L33" i="62"/>
  <c r="L34" i="62"/>
  <c r="L31" i="62"/>
  <c r="U23" i="62"/>
  <c r="U24" i="62"/>
  <c r="U25" i="62"/>
  <c r="U26" i="62"/>
  <c r="U27" i="62"/>
  <c r="U22" i="62"/>
  <c r="L23" i="62"/>
  <c r="L24" i="62"/>
  <c r="L25" i="62"/>
  <c r="L26" i="62"/>
  <c r="L27" i="62"/>
  <c r="L22" i="62"/>
  <c r="E24" i="11" l="1"/>
  <c r="E25" i="11" s="1"/>
  <c r="F23" i="11"/>
  <c r="G23" i="11" l="1"/>
  <c r="F24" i="11"/>
  <c r="F25" i="11" s="1"/>
  <c r="H23" i="11" l="1"/>
  <c r="G24" i="11"/>
  <c r="G25" i="11" s="1"/>
  <c r="H24" i="11" l="1"/>
  <c r="H25" i="11" s="1"/>
  <c r="I25" i="11" s="1"/>
  <c r="I23" i="11"/>
  <c r="I24" i="11" s="1"/>
  <c r="G19" i="62" l="1"/>
  <c r="AG68" i="58" s="1"/>
  <c r="F19" i="62"/>
  <c r="AF68" i="58" s="1"/>
  <c r="H19" i="62"/>
  <c r="AH68" i="58" s="1"/>
  <c r="AD67" i="93" l="1"/>
  <c r="G17" i="96" s="1"/>
  <c r="AE67" i="93"/>
  <c r="H17" i="96" s="1"/>
  <c r="AF67" i="93"/>
  <c r="I17" i="96" s="1"/>
  <c r="AG67" i="93"/>
  <c r="J17" i="96" s="1"/>
  <c r="AH67" i="93"/>
  <c r="K17" i="96" s="1"/>
  <c r="AD69" i="93"/>
  <c r="G18" i="96" s="1"/>
  <c r="AE69" i="93"/>
  <c r="H18" i="96" s="1"/>
  <c r="AF69" i="93"/>
  <c r="I18" i="96" s="1"/>
  <c r="AG69" i="93"/>
  <c r="J18" i="96" s="1"/>
  <c r="AH69" i="93"/>
  <c r="K18" i="96" s="1"/>
  <c r="Y40" i="95" l="1"/>
  <c r="X40" i="95"/>
  <c r="Y39" i="95"/>
  <c r="X39" i="95"/>
  <c r="Y38" i="95"/>
  <c r="X38" i="95"/>
  <c r="Y37" i="95"/>
  <c r="X37" i="95"/>
  <c r="Y36" i="95"/>
  <c r="X36" i="95"/>
  <c r="Y35" i="95"/>
  <c r="X35" i="95"/>
  <c r="Y34" i="95"/>
  <c r="X34" i="95"/>
  <c r="Y33" i="95"/>
  <c r="X33" i="95"/>
  <c r="Y29" i="95"/>
  <c r="X29" i="95"/>
  <c r="Y28" i="95"/>
  <c r="X28" i="95"/>
  <c r="Y27" i="95"/>
  <c r="X27" i="95"/>
  <c r="Y26" i="95"/>
  <c r="X26" i="95"/>
  <c r="Y25" i="95"/>
  <c r="X25" i="95"/>
  <c r="Y24" i="95"/>
  <c r="X24" i="95"/>
  <c r="Y23" i="95"/>
  <c r="X23" i="95"/>
  <c r="Y22" i="95"/>
  <c r="X22" i="95"/>
  <c r="Y21" i="95"/>
  <c r="X21" i="95"/>
  <c r="Y20" i="95"/>
  <c r="X20" i="95"/>
  <c r="Y18" i="95"/>
  <c r="X18" i="95"/>
  <c r="Y15" i="95"/>
  <c r="X15" i="95"/>
  <c r="Y16" i="95"/>
  <c r="X16" i="95"/>
  <c r="Y14" i="95"/>
  <c r="X14" i="95"/>
  <c r="Y13" i="95"/>
  <c r="X13" i="95"/>
  <c r="Y12" i="95"/>
  <c r="X12" i="95"/>
  <c r="Y11" i="95"/>
  <c r="X11" i="95"/>
  <c r="Y10" i="95"/>
  <c r="X10" i="95"/>
  <c r="AL70" i="93"/>
  <c r="AW70" i="93" s="1"/>
  <c r="AI69" i="93"/>
  <c r="AW68" i="93"/>
  <c r="AK68" i="93"/>
  <c r="AI67" i="93"/>
  <c r="AV67" i="93"/>
  <c r="AL66" i="93"/>
  <c r="AL64" i="93"/>
  <c r="AV64" i="93"/>
  <c r="AV63" i="93"/>
  <c r="AW62" i="93"/>
  <c r="O53" i="93"/>
  <c r="AL53" i="93" s="1"/>
  <c r="N53" i="93"/>
  <c r="AK53" i="93" s="1"/>
  <c r="O52" i="93"/>
  <c r="AL52" i="93" s="1"/>
  <c r="X50" i="93"/>
  <c r="W50" i="93"/>
  <c r="AI50" i="93" s="1"/>
  <c r="V50" i="93"/>
  <c r="AH50" i="93" s="1"/>
  <c r="U50" i="93"/>
  <c r="AG50" i="93" s="1"/>
  <c r="T50" i="93"/>
  <c r="AF50" i="93" s="1"/>
  <c r="S50" i="93"/>
  <c r="AE50" i="93" s="1"/>
  <c r="R50" i="93"/>
  <c r="AD50" i="93" s="1"/>
  <c r="O45" i="93"/>
  <c r="AL45" i="93" s="1"/>
  <c r="X43" i="93"/>
  <c r="W43" i="93"/>
  <c r="AI43" i="93" s="1"/>
  <c r="V43" i="93"/>
  <c r="AH43" i="93" s="1"/>
  <c r="U43" i="93"/>
  <c r="AG43" i="93" s="1"/>
  <c r="T43" i="93"/>
  <c r="AF43" i="93" s="1"/>
  <c r="S43" i="93"/>
  <c r="AE43" i="93" s="1"/>
  <c r="R43" i="93"/>
  <c r="AD43" i="93" s="1"/>
  <c r="Z38" i="93"/>
  <c r="AV38" i="93" s="1"/>
  <c r="Z37" i="93"/>
  <c r="AV37" i="93" s="1"/>
  <c r="N36" i="93"/>
  <c r="AK36" i="93" s="1"/>
  <c r="X35" i="93"/>
  <c r="W35" i="93"/>
  <c r="AI35" i="93" s="1"/>
  <c r="V35" i="93"/>
  <c r="AH35" i="93" s="1"/>
  <c r="U35" i="93"/>
  <c r="AG35" i="93" s="1"/>
  <c r="T35" i="93"/>
  <c r="AF35" i="93" s="1"/>
  <c r="S35" i="93"/>
  <c r="AE35" i="93" s="1"/>
  <c r="R35" i="93"/>
  <c r="AD35" i="93" s="1"/>
  <c r="O30" i="93"/>
  <c r="AA30" i="93" s="1"/>
  <c r="N30" i="93"/>
  <c r="Z30" i="93" s="1"/>
  <c r="K29" i="93"/>
  <c r="J29" i="93"/>
  <c r="I29" i="93"/>
  <c r="H29" i="93"/>
  <c r="G29" i="93"/>
  <c r="F29" i="93"/>
  <c r="AA23" i="93"/>
  <c r="AW23" i="93" s="1"/>
  <c r="O20" i="93"/>
  <c r="AL20" i="93" s="1"/>
  <c r="Z20" i="93"/>
  <c r="AV20" i="93" s="1"/>
  <c r="AA21" i="93"/>
  <c r="AW21" i="93" s="1"/>
  <c r="Z21" i="93"/>
  <c r="AV21" i="93" s="1"/>
  <c r="O19" i="93"/>
  <c r="AL19" i="93" s="1"/>
  <c r="AA18" i="93"/>
  <c r="AW18" i="93" s="1"/>
  <c r="N18" i="93"/>
  <c r="AK18" i="93" s="1"/>
  <c r="X16" i="93"/>
  <c r="W16" i="93"/>
  <c r="V16" i="93"/>
  <c r="AH16" i="93" s="1"/>
  <c r="AS16" i="93" s="1"/>
  <c r="AS29" i="93" s="1"/>
  <c r="U16" i="93"/>
  <c r="AG16" i="93" s="1"/>
  <c r="AR16" i="93" s="1"/>
  <c r="AR29" i="93" s="1"/>
  <c r="T16" i="93"/>
  <c r="AF16" i="93" s="1"/>
  <c r="AQ16" i="93" s="1"/>
  <c r="AQ29" i="93" s="1"/>
  <c r="S16" i="93"/>
  <c r="R16" i="93"/>
  <c r="R29" i="93" s="1"/>
  <c r="AA11" i="93"/>
  <c r="AW11" i="93" s="1"/>
  <c r="Z11" i="93"/>
  <c r="AV11" i="93" s="1"/>
  <c r="O11" i="93"/>
  <c r="AL11" i="93" s="1"/>
  <c r="N11" i="93"/>
  <c r="AK11" i="93" s="1"/>
  <c r="AA10" i="93"/>
  <c r="AW10" i="93" s="1"/>
  <c r="Z10" i="93"/>
  <c r="AV10" i="93" s="1"/>
  <c r="O10" i="93"/>
  <c r="AL10" i="93" s="1"/>
  <c r="N10" i="93"/>
  <c r="AK10" i="93" s="1"/>
  <c r="X9" i="93"/>
  <c r="W9" i="93"/>
  <c r="AI9" i="93" s="1"/>
  <c r="V9" i="93"/>
  <c r="AH9" i="93" s="1"/>
  <c r="U9" i="93"/>
  <c r="AG9" i="93" s="1"/>
  <c r="T9" i="93"/>
  <c r="AF9" i="93" s="1"/>
  <c r="S9" i="93"/>
  <c r="AE9" i="93" s="1"/>
  <c r="R9" i="93"/>
  <c r="AD9" i="93" s="1"/>
  <c r="K18" i="91"/>
  <c r="J18" i="91"/>
  <c r="I18" i="91"/>
  <c r="H18" i="91"/>
  <c r="G18" i="91"/>
  <c r="K17" i="91"/>
  <c r="J17" i="91"/>
  <c r="I17" i="91"/>
  <c r="H17" i="91"/>
  <c r="G17" i="91"/>
  <c r="Y40" i="90"/>
  <c r="X40" i="90"/>
  <c r="Y39" i="90"/>
  <c r="X39" i="90"/>
  <c r="Y38" i="90"/>
  <c r="X38" i="90"/>
  <c r="Y37" i="90"/>
  <c r="X37" i="90"/>
  <c r="Y36" i="90"/>
  <c r="X36" i="90"/>
  <c r="Y35" i="90"/>
  <c r="X35" i="90"/>
  <c r="Y34" i="90"/>
  <c r="X34" i="90"/>
  <c r="Y33" i="90"/>
  <c r="X33" i="90"/>
  <c r="Y29" i="90"/>
  <c r="X29" i="90"/>
  <c r="Y28" i="90"/>
  <c r="X28" i="90"/>
  <c r="Y27" i="90"/>
  <c r="X27" i="90"/>
  <c r="Y26" i="90"/>
  <c r="X26" i="90"/>
  <c r="Y25" i="90"/>
  <c r="X25" i="90"/>
  <c r="Y24" i="90"/>
  <c r="X24" i="90"/>
  <c r="Y23" i="90"/>
  <c r="X23" i="90"/>
  <c r="Y22" i="90"/>
  <c r="X22" i="90"/>
  <c r="Y21" i="90"/>
  <c r="X21" i="90"/>
  <c r="Y20" i="90"/>
  <c r="X20" i="90"/>
  <c r="Y18" i="90"/>
  <c r="X18" i="90"/>
  <c r="Y15" i="90"/>
  <c r="X15" i="90"/>
  <c r="Y16" i="90"/>
  <c r="X16" i="90"/>
  <c r="Y14" i="90"/>
  <c r="X14" i="90"/>
  <c r="Y13" i="90"/>
  <c r="X13" i="90"/>
  <c r="Y12" i="90"/>
  <c r="X12" i="90"/>
  <c r="Y11" i="90"/>
  <c r="X11" i="90"/>
  <c r="Y10" i="90"/>
  <c r="X10" i="90"/>
  <c r="AL70" i="88"/>
  <c r="AW70" i="88" s="1"/>
  <c r="AI69" i="88"/>
  <c r="AW69" i="88"/>
  <c r="AL68" i="88"/>
  <c r="AV68" i="88"/>
  <c r="AI67" i="88"/>
  <c r="AV67" i="88"/>
  <c r="AW66" i="88"/>
  <c r="AW65" i="88"/>
  <c r="AL64" i="88"/>
  <c r="AW63" i="88"/>
  <c r="AV63" i="88"/>
  <c r="N54" i="88"/>
  <c r="AK54" i="88" s="1"/>
  <c r="O53" i="88"/>
  <c r="AL53" i="88" s="1"/>
  <c r="N53" i="88"/>
  <c r="AK53" i="88" s="1"/>
  <c r="O52" i="88"/>
  <c r="AL52" i="88" s="1"/>
  <c r="Z52" i="88"/>
  <c r="AV52" i="88" s="1"/>
  <c r="AA51" i="88"/>
  <c r="AW51" i="88" s="1"/>
  <c r="N51" i="88"/>
  <c r="AK51" i="88" s="1"/>
  <c r="X50" i="88"/>
  <c r="W50" i="88"/>
  <c r="AI50" i="88" s="1"/>
  <c r="V50" i="88"/>
  <c r="AH50" i="88" s="1"/>
  <c r="U50" i="88"/>
  <c r="AG50" i="88" s="1"/>
  <c r="T50" i="88"/>
  <c r="AF50" i="88" s="1"/>
  <c r="S50" i="88"/>
  <c r="AE50" i="88" s="1"/>
  <c r="R50" i="88"/>
  <c r="AD50" i="88" s="1"/>
  <c r="O45" i="88"/>
  <c r="AL45" i="88" s="1"/>
  <c r="N45" i="88"/>
  <c r="AK45" i="88" s="1"/>
  <c r="Z44" i="88"/>
  <c r="AV44" i="88" s="1"/>
  <c r="X43" i="88"/>
  <c r="W43" i="88"/>
  <c r="AI43" i="88" s="1"/>
  <c r="V43" i="88"/>
  <c r="AH43" i="88" s="1"/>
  <c r="U43" i="88"/>
  <c r="AG43" i="88" s="1"/>
  <c r="T43" i="88"/>
  <c r="AF43" i="88" s="1"/>
  <c r="S43" i="88"/>
  <c r="AE43" i="88" s="1"/>
  <c r="R43" i="88"/>
  <c r="AD43" i="88" s="1"/>
  <c r="O38" i="88"/>
  <c r="AL38" i="88" s="1"/>
  <c r="O37" i="88"/>
  <c r="AL37" i="88" s="1"/>
  <c r="AA36" i="88"/>
  <c r="AW36" i="88" s="1"/>
  <c r="Z36" i="88"/>
  <c r="AV36" i="88" s="1"/>
  <c r="X35" i="88"/>
  <c r="W35" i="88"/>
  <c r="AI35" i="88" s="1"/>
  <c r="V35" i="88"/>
  <c r="U35" i="88"/>
  <c r="T35" i="88"/>
  <c r="S35" i="88"/>
  <c r="R35" i="88"/>
  <c r="O30" i="88"/>
  <c r="AA30" i="88" s="1"/>
  <c r="N30" i="88"/>
  <c r="Z30" i="88" s="1"/>
  <c r="K29" i="88"/>
  <c r="J29" i="88"/>
  <c r="I29" i="88"/>
  <c r="H29" i="88"/>
  <c r="G29" i="88"/>
  <c r="F29" i="88"/>
  <c r="K23" i="88"/>
  <c r="O23" i="88"/>
  <c r="AL23" i="88" s="1"/>
  <c r="N23" i="88"/>
  <c r="AK23" i="88" s="1"/>
  <c r="K20" i="88"/>
  <c r="AA20" i="88"/>
  <c r="AW20" i="88" s="1"/>
  <c r="K21" i="88"/>
  <c r="O21" i="88"/>
  <c r="AL21" i="88" s="1"/>
  <c r="K19" i="88"/>
  <c r="O19" i="88"/>
  <c r="AL19" i="88" s="1"/>
  <c r="Z19" i="88"/>
  <c r="AV19" i="88" s="1"/>
  <c r="K18" i="88"/>
  <c r="O18" i="88"/>
  <c r="AL18" i="88" s="1"/>
  <c r="N18" i="88"/>
  <c r="AK18" i="88" s="1"/>
  <c r="K17" i="88"/>
  <c r="AA17" i="88"/>
  <c r="AW17" i="88" s="1"/>
  <c r="N17" i="88"/>
  <c r="AK17" i="88" s="1"/>
  <c r="X16" i="88"/>
  <c r="W16" i="88"/>
  <c r="AI16" i="88" s="1"/>
  <c r="AT16" i="88" s="1"/>
  <c r="AT29" i="88" s="1"/>
  <c r="V16" i="88"/>
  <c r="V29" i="88" s="1"/>
  <c r="U16" i="88"/>
  <c r="U29" i="88" s="1"/>
  <c r="T16" i="88"/>
  <c r="S16" i="88"/>
  <c r="S29" i="88" s="1"/>
  <c r="R16" i="88"/>
  <c r="AA11" i="88"/>
  <c r="AW11" i="88" s="1"/>
  <c r="Z11" i="88"/>
  <c r="AV11" i="88" s="1"/>
  <c r="O11" i="88"/>
  <c r="AL11" i="88" s="1"/>
  <c r="N11" i="88"/>
  <c r="AK11" i="88" s="1"/>
  <c r="AA10" i="88"/>
  <c r="AW10" i="88" s="1"/>
  <c r="Z10" i="88"/>
  <c r="AV10" i="88" s="1"/>
  <c r="O10" i="88"/>
  <c r="AL10" i="88" s="1"/>
  <c r="N10" i="88"/>
  <c r="AK10" i="88" s="1"/>
  <c r="X9" i="88"/>
  <c r="W9" i="88"/>
  <c r="AI9" i="88" s="1"/>
  <c r="V9" i="88"/>
  <c r="AH9" i="88" s="1"/>
  <c r="U9" i="88"/>
  <c r="AG9" i="88" s="1"/>
  <c r="T9" i="88"/>
  <c r="AF9" i="88" s="1"/>
  <c r="S9" i="88"/>
  <c r="AE9" i="88" s="1"/>
  <c r="R9" i="88"/>
  <c r="AD9" i="88" s="1"/>
  <c r="K18" i="48"/>
  <c r="J18" i="48"/>
  <c r="I18" i="48"/>
  <c r="H18" i="48"/>
  <c r="K17" i="48"/>
  <c r="J17" i="48"/>
  <c r="I17" i="48"/>
  <c r="H17" i="48"/>
  <c r="G18" i="48"/>
  <c r="G17" i="48"/>
  <c r="AI69" i="58"/>
  <c r="AI67" i="58"/>
  <c r="Y40" i="86"/>
  <c r="X40" i="86"/>
  <c r="Y39" i="86"/>
  <c r="X39" i="86"/>
  <c r="Y38" i="86"/>
  <c r="X38" i="86"/>
  <c r="Y37" i="86"/>
  <c r="X37" i="86"/>
  <c r="Y36" i="86"/>
  <c r="X36" i="86"/>
  <c r="Y35" i="86"/>
  <c r="X35" i="86"/>
  <c r="Y34" i="86"/>
  <c r="X34" i="86"/>
  <c r="Y33" i="86"/>
  <c r="X33" i="86"/>
  <c r="Y29" i="86"/>
  <c r="X29" i="86"/>
  <c r="Y28" i="86"/>
  <c r="X28" i="86"/>
  <c r="Y27" i="86"/>
  <c r="X27" i="86"/>
  <c r="Y26" i="86"/>
  <c r="X26" i="86"/>
  <c r="Y25" i="86"/>
  <c r="X25" i="86"/>
  <c r="Y24" i="86"/>
  <c r="X24" i="86"/>
  <c r="Y23" i="86"/>
  <c r="X23" i="86"/>
  <c r="Y22" i="86"/>
  <c r="X22" i="86"/>
  <c r="Y21" i="86"/>
  <c r="X21" i="86"/>
  <c r="Y20" i="86"/>
  <c r="X20" i="86"/>
  <c r="Y18" i="86"/>
  <c r="X18" i="86"/>
  <c r="Y15" i="86"/>
  <c r="X15" i="86"/>
  <c r="Y16" i="86"/>
  <c r="X16" i="86"/>
  <c r="Y14" i="86"/>
  <c r="X14" i="86"/>
  <c r="Y13" i="86"/>
  <c r="X13" i="86"/>
  <c r="Y12" i="86"/>
  <c r="X12" i="86"/>
  <c r="Y11" i="86"/>
  <c r="X11" i="86"/>
  <c r="Y10" i="86"/>
  <c r="X10" i="86"/>
  <c r="AE25" i="88" l="1"/>
  <c r="AF25" i="88"/>
  <c r="AD25" i="88"/>
  <c r="AG25" i="88"/>
  <c r="K25" i="88"/>
  <c r="AH25" i="88"/>
  <c r="AP9" i="93"/>
  <c r="BA9" i="93" s="1"/>
  <c r="AQ35" i="93"/>
  <c r="BB35" i="93" s="1"/>
  <c r="AO50" i="93"/>
  <c r="AZ50" i="93" s="1"/>
  <c r="AS50" i="93"/>
  <c r="BD50" i="93" s="1"/>
  <c r="AQ9" i="93"/>
  <c r="BB9" i="93" s="1"/>
  <c r="AR43" i="93"/>
  <c r="BC43" i="93" s="1"/>
  <c r="AT50" i="93"/>
  <c r="BE50" i="93" s="1"/>
  <c r="AR9" i="93"/>
  <c r="BC9" i="93" s="1"/>
  <c r="AO35" i="93"/>
  <c r="AZ35" i="93" s="1"/>
  <c r="AS35" i="93"/>
  <c r="BD35" i="93" s="1"/>
  <c r="AO43" i="93"/>
  <c r="AZ43" i="93" s="1"/>
  <c r="AS43" i="93"/>
  <c r="BD43" i="93" s="1"/>
  <c r="AQ50" i="93"/>
  <c r="BB50" i="93" s="1"/>
  <c r="AT9" i="93"/>
  <c r="BE9" i="93" s="1"/>
  <c r="AL30" i="93"/>
  <c r="AW30" i="93" s="1"/>
  <c r="AQ43" i="93"/>
  <c r="BB43" i="93" s="1"/>
  <c r="AR35" i="93"/>
  <c r="BC35" i="93" s="1"/>
  <c r="AP50" i="93"/>
  <c r="BA50" i="93" s="1"/>
  <c r="AO9" i="93"/>
  <c r="AZ9" i="93" s="1"/>
  <c r="AS9" i="93"/>
  <c r="BD9" i="93" s="1"/>
  <c r="AK30" i="93"/>
  <c r="AV30" i="93" s="1"/>
  <c r="AP35" i="93"/>
  <c r="BA35" i="93" s="1"/>
  <c r="AT35" i="93"/>
  <c r="BE35" i="93" s="1"/>
  <c r="AP43" i="93"/>
  <c r="BA43" i="93" s="1"/>
  <c r="AT43" i="93"/>
  <c r="BE43" i="93" s="1"/>
  <c r="AR50" i="93"/>
  <c r="BC50" i="93" s="1"/>
  <c r="AK30" i="88"/>
  <c r="AV30" i="88" s="1"/>
  <c r="AQ35" i="88"/>
  <c r="BB35" i="88" s="1"/>
  <c r="AZ43" i="88"/>
  <c r="AO43" i="88"/>
  <c r="AS43" i="88"/>
  <c r="BD43" i="88" s="1"/>
  <c r="AR50" i="88"/>
  <c r="BC50" i="88" s="1"/>
  <c r="AL30" i="88"/>
  <c r="AW30" i="88" s="1"/>
  <c r="AR35" i="88"/>
  <c r="BC35" i="88" s="1"/>
  <c r="AP43" i="88"/>
  <c r="BA43" i="88" s="1"/>
  <c r="AT43" i="88"/>
  <c r="BE43" i="88" s="1"/>
  <c r="AZ50" i="88"/>
  <c r="AO50" i="88"/>
  <c r="AS50" i="88"/>
  <c r="BD50" i="88" s="1"/>
  <c r="AQ9" i="88"/>
  <c r="BB9" i="88" s="1"/>
  <c r="AP35" i="88"/>
  <c r="BA35" i="88" s="1"/>
  <c r="AT35" i="88"/>
  <c r="BE35" i="88" s="1"/>
  <c r="AR43" i="88"/>
  <c r="BC43" i="88" s="1"/>
  <c r="BB50" i="88"/>
  <c r="AQ50" i="88"/>
  <c r="AR9" i="88"/>
  <c r="BC9" i="88" s="1"/>
  <c r="AO9" i="88"/>
  <c r="AZ9" i="88" s="1"/>
  <c r="BD9" i="88"/>
  <c r="AS9" i="88"/>
  <c r="AP9" i="88"/>
  <c r="BA9" i="88" s="1"/>
  <c r="AT9" i="88"/>
  <c r="BE9" i="88" s="1"/>
  <c r="AO35" i="88"/>
  <c r="AZ35" i="88" s="1"/>
  <c r="AS35" i="88"/>
  <c r="BD35" i="88" s="1"/>
  <c r="AQ43" i="88"/>
  <c r="BB43" i="88" s="1"/>
  <c r="BA50" i="88"/>
  <c r="AP50" i="88"/>
  <c r="AT50" i="88"/>
  <c r="BE50" i="88" s="1"/>
  <c r="AK64" i="93"/>
  <c r="Z23" i="88"/>
  <c r="AV23" i="88" s="1"/>
  <c r="N19" i="88"/>
  <c r="AK19" i="88" s="1"/>
  <c r="O20" i="88"/>
  <c r="AL20" i="88" s="1"/>
  <c r="AL66" i="88"/>
  <c r="AA19" i="88"/>
  <c r="AW19" i="88" s="1"/>
  <c r="Z54" i="88"/>
  <c r="AV54" i="88" s="1"/>
  <c r="AK63" i="88"/>
  <c r="N21" i="93"/>
  <c r="AK21" i="93" s="1"/>
  <c r="AA52" i="93"/>
  <c r="AW52" i="93" s="1"/>
  <c r="N52" i="88"/>
  <c r="AK52" i="88" s="1"/>
  <c r="N38" i="93"/>
  <c r="AK38" i="93" s="1"/>
  <c r="Z53" i="93"/>
  <c r="AV53" i="93" s="1"/>
  <c r="AE16" i="88"/>
  <c r="W29" i="88"/>
  <c r="O36" i="88"/>
  <c r="AL36" i="88" s="1"/>
  <c r="AA37" i="88"/>
  <c r="AW37" i="88" s="1"/>
  <c r="AA52" i="88"/>
  <c r="AW52" i="88" s="1"/>
  <c r="AK68" i="88"/>
  <c r="AL69" i="88"/>
  <c r="O21" i="93"/>
  <c r="AL21" i="93" s="1"/>
  <c r="O23" i="93"/>
  <c r="AL23" i="93" s="1"/>
  <c r="AK63" i="93"/>
  <c r="AW64" i="93"/>
  <c r="AL68" i="93"/>
  <c r="O17" i="88"/>
  <c r="AL17" i="88" s="1"/>
  <c r="Z45" i="88"/>
  <c r="AV45" i="88" s="1"/>
  <c r="AK67" i="88"/>
  <c r="N20" i="93"/>
  <c r="AK20" i="93" s="1"/>
  <c r="AH29" i="93"/>
  <c r="AL62" i="93"/>
  <c r="AW66" i="93"/>
  <c r="AK67" i="93"/>
  <c r="AA37" i="93"/>
  <c r="AW37" i="93" s="1"/>
  <c r="O37" i="93"/>
  <c r="AL37" i="93" s="1"/>
  <c r="Z18" i="88"/>
  <c r="AV18" i="88" s="1"/>
  <c r="N21" i="88"/>
  <c r="AK21" i="88" s="1"/>
  <c r="Z21" i="88"/>
  <c r="AV21" i="88" s="1"/>
  <c r="Z20" i="88"/>
  <c r="AV20" i="88" s="1"/>
  <c r="N20" i="88"/>
  <c r="AK20" i="88" s="1"/>
  <c r="N38" i="88"/>
  <c r="AK38" i="88" s="1"/>
  <c r="Z38" i="88"/>
  <c r="AV38" i="88" s="1"/>
  <c r="AA44" i="88"/>
  <c r="AW44" i="88" s="1"/>
  <c r="O44" i="88"/>
  <c r="AL44" i="88" s="1"/>
  <c r="AV65" i="88"/>
  <c r="AK65" i="88"/>
  <c r="AD16" i="88"/>
  <c r="AO16" i="88" s="1"/>
  <c r="AO29" i="88" s="1"/>
  <c r="R29" i="88"/>
  <c r="AK69" i="93"/>
  <c r="AV69" i="93"/>
  <c r="T29" i="88"/>
  <c r="AF16" i="88"/>
  <c r="Z37" i="88"/>
  <c r="AV37" i="88" s="1"/>
  <c r="N37" i="88"/>
  <c r="AK37" i="88" s="1"/>
  <c r="Z17" i="93"/>
  <c r="AV17" i="93" s="1"/>
  <c r="N17" i="93"/>
  <c r="AK17" i="93" s="1"/>
  <c r="N19" i="93"/>
  <c r="AK19" i="93" s="1"/>
  <c r="Z19" i="93"/>
  <c r="AV19" i="93" s="1"/>
  <c r="Z23" i="93"/>
  <c r="AV23" i="93" s="1"/>
  <c r="N23" i="93"/>
  <c r="AK23" i="93" s="1"/>
  <c r="Z52" i="93"/>
  <c r="AV52" i="93" s="1"/>
  <c r="N52" i="93"/>
  <c r="AK52" i="93" s="1"/>
  <c r="N54" i="93"/>
  <c r="AK54" i="93" s="1"/>
  <c r="Z54" i="93"/>
  <c r="AV54" i="93" s="1"/>
  <c r="AK65" i="93"/>
  <c r="AV65" i="93"/>
  <c r="AA45" i="88"/>
  <c r="AW45" i="88" s="1"/>
  <c r="Z53" i="88"/>
  <c r="AV53" i="88" s="1"/>
  <c r="O54" i="88"/>
  <c r="AL54" i="88" s="1"/>
  <c r="AA54" i="88"/>
  <c r="AW54" i="88" s="1"/>
  <c r="AL67" i="88"/>
  <c r="AW67" i="88"/>
  <c r="AW68" i="88"/>
  <c r="AA17" i="93"/>
  <c r="AW17" i="93" s="1"/>
  <c r="O17" i="93"/>
  <c r="AL17" i="93" s="1"/>
  <c r="AW62" i="88"/>
  <c r="AL62" i="88"/>
  <c r="S29" i="93"/>
  <c r="AE16" i="93"/>
  <c r="AP16" i="93" s="1"/>
  <c r="AP29" i="93" s="1"/>
  <c r="W29" i="93"/>
  <c r="AI16" i="93"/>
  <c r="O44" i="93"/>
  <c r="AL44" i="93" s="1"/>
  <c r="AA44" i="93"/>
  <c r="AW44" i="93" s="1"/>
  <c r="N51" i="93"/>
  <c r="AK51" i="93" s="1"/>
  <c r="Z51" i="93"/>
  <c r="AV51" i="93" s="1"/>
  <c r="AA36" i="93"/>
  <c r="AW36" i="93" s="1"/>
  <c r="O36" i="93"/>
  <c r="AL36" i="93" s="1"/>
  <c r="O38" i="93"/>
  <c r="AL38" i="93" s="1"/>
  <c r="AA38" i="93"/>
  <c r="AW38" i="93" s="1"/>
  <c r="N45" i="93"/>
  <c r="AK45" i="93" s="1"/>
  <c r="Z45" i="93"/>
  <c r="AV45" i="93" s="1"/>
  <c r="AA53" i="88"/>
  <c r="AW53" i="88" s="1"/>
  <c r="AV68" i="93"/>
  <c r="AI23" i="88"/>
  <c r="AI20" i="88"/>
  <c r="AI17" i="88"/>
  <c r="AI19" i="88"/>
  <c r="AF29" i="93"/>
  <c r="AA20" i="93"/>
  <c r="AW20" i="93" s="1"/>
  <c r="T29" i="93"/>
  <c r="U29" i="93"/>
  <c r="AA45" i="93"/>
  <c r="AW45" i="93" s="1"/>
  <c r="AV62" i="93"/>
  <c r="AK62" i="93"/>
  <c r="AV66" i="93"/>
  <c r="AK66" i="93"/>
  <c r="AW65" i="93"/>
  <c r="AL65" i="93"/>
  <c r="AG29" i="93"/>
  <c r="BD16" i="93"/>
  <c r="BD29" i="93" s="1"/>
  <c r="O18" i="93"/>
  <c r="AL18" i="93" s="1"/>
  <c r="AA19" i="93"/>
  <c r="AW19" i="93" s="1"/>
  <c r="Z18" i="93"/>
  <c r="AV18" i="93" s="1"/>
  <c r="Z36" i="93"/>
  <c r="AV36" i="93" s="1"/>
  <c r="N37" i="93"/>
  <c r="AK37" i="93" s="1"/>
  <c r="Z44" i="93"/>
  <c r="AV44" i="93" s="1"/>
  <c r="N44" i="93"/>
  <c r="AK44" i="93" s="1"/>
  <c r="V29" i="93"/>
  <c r="AA53" i="93"/>
  <c r="AW53" i="93" s="1"/>
  <c r="AA54" i="93"/>
  <c r="AW54" i="93" s="1"/>
  <c r="O54" i="93"/>
  <c r="AL54" i="93" s="1"/>
  <c r="AD16" i="93"/>
  <c r="AO16" i="93" s="1"/>
  <c r="AO29" i="93" s="1"/>
  <c r="AA51" i="93"/>
  <c r="AW51" i="93" s="1"/>
  <c r="O51" i="93"/>
  <c r="AL51" i="93" s="1"/>
  <c r="AW63" i="93"/>
  <c r="AL63" i="93"/>
  <c r="AW67" i="93"/>
  <c r="AL67" i="93"/>
  <c r="AW69" i="93"/>
  <c r="AL69" i="93"/>
  <c r="BE16" i="88"/>
  <c r="BE29" i="88" s="1"/>
  <c r="AV64" i="88"/>
  <c r="AK64" i="88"/>
  <c r="AG16" i="88"/>
  <c r="AR16" i="88" s="1"/>
  <c r="AR29" i="88" s="1"/>
  <c r="Z17" i="88"/>
  <c r="AV17" i="88" s="1"/>
  <c r="AA18" i="88"/>
  <c r="AW18" i="88" s="1"/>
  <c r="AI18" i="88"/>
  <c r="AI21" i="88"/>
  <c r="AW64" i="88"/>
  <c r="AH16" i="88"/>
  <c r="AS16" i="88" s="1"/>
  <c r="AS29" i="88" s="1"/>
  <c r="AI29" i="88"/>
  <c r="N44" i="88"/>
  <c r="AK44" i="88" s="1"/>
  <c r="O51" i="88"/>
  <c r="AL51" i="88" s="1"/>
  <c r="AV62" i="88"/>
  <c r="AK62" i="88"/>
  <c r="AV66" i="88"/>
  <c r="AK66" i="88"/>
  <c r="AA21" i="88"/>
  <c r="AW21" i="88" s="1"/>
  <c r="AA23" i="88"/>
  <c r="AW23" i="88" s="1"/>
  <c r="N36" i="88"/>
  <c r="AK36" i="88" s="1"/>
  <c r="AA38" i="88"/>
  <c r="AW38" i="88" s="1"/>
  <c r="Z51" i="88"/>
  <c r="AV51" i="88" s="1"/>
  <c r="AL63" i="88"/>
  <c r="AL65" i="88"/>
  <c r="AV69" i="88"/>
  <c r="AK69" i="88"/>
  <c r="AI25" i="88" l="1"/>
  <c r="AI29" i="93"/>
  <c r="AT16" i="93"/>
  <c r="AT29" i="93" s="1"/>
  <c r="AF29" i="88"/>
  <c r="AQ16" i="88"/>
  <c r="AQ29" i="88" s="1"/>
  <c r="AE29" i="88"/>
  <c r="AP16" i="88"/>
  <c r="AP29" i="88" s="1"/>
  <c r="AD29" i="88"/>
  <c r="AE29" i="93"/>
  <c r="BC16" i="93"/>
  <c r="BC29" i="93" s="1"/>
  <c r="AD29" i="93"/>
  <c r="BB16" i="93"/>
  <c r="BB29" i="93" s="1"/>
  <c r="AH29" i="88"/>
  <c r="AZ16" i="88"/>
  <c r="AZ29" i="88" s="1"/>
  <c r="AG29" i="88"/>
  <c r="BA16" i="88" l="1"/>
  <c r="BA29" i="88" s="1"/>
  <c r="BE16" i="93"/>
  <c r="BE29" i="93" s="1"/>
  <c r="BB16" i="88"/>
  <c r="BB29" i="88" s="1"/>
  <c r="BA16" i="93"/>
  <c r="BA29" i="93" s="1"/>
  <c r="AZ16" i="93"/>
  <c r="AZ29" i="93" s="1"/>
  <c r="BC16" i="88"/>
  <c r="BC29" i="88" s="1"/>
  <c r="BD16" i="88"/>
  <c r="BD29" i="88" s="1"/>
  <c r="Z58" i="62" l="1"/>
  <c r="Y58" i="62"/>
  <c r="X58" i="62"/>
  <c r="W58" i="62"/>
  <c r="V58" i="62"/>
  <c r="Z56" i="62"/>
  <c r="Y56" i="62"/>
  <c r="X56" i="62"/>
  <c r="W56" i="62"/>
  <c r="V56" i="62"/>
  <c r="Z51" i="62"/>
  <c r="Y51" i="62"/>
  <c r="X51" i="62"/>
  <c r="W51" i="62"/>
  <c r="V51" i="62"/>
  <c r="Z49" i="62"/>
  <c r="Y49" i="62"/>
  <c r="X49" i="62"/>
  <c r="W49" i="62"/>
  <c r="V49" i="62"/>
  <c r="Z48" i="62"/>
  <c r="Y48" i="62"/>
  <c r="X48" i="62"/>
  <c r="W48" i="62"/>
  <c r="V48" i="62"/>
  <c r="Z46" i="62"/>
  <c r="Y46" i="62"/>
  <c r="X46" i="62"/>
  <c r="W46" i="62"/>
  <c r="V46" i="62"/>
  <c r="Z45" i="62"/>
  <c r="Y45" i="62"/>
  <c r="X45" i="62"/>
  <c r="W45" i="62"/>
  <c r="V45" i="62"/>
  <c r="Z44" i="62"/>
  <c r="Y44" i="62"/>
  <c r="X44" i="62"/>
  <c r="W44" i="62"/>
  <c r="V44" i="62"/>
  <c r="Z43" i="62"/>
  <c r="Y43" i="62"/>
  <c r="X43" i="62"/>
  <c r="W43" i="62"/>
  <c r="V43" i="62"/>
  <c r="Z34" i="62"/>
  <c r="Y34" i="62"/>
  <c r="X34" i="62"/>
  <c r="W34" i="62"/>
  <c r="V34" i="62"/>
  <c r="Z32" i="62"/>
  <c r="Y32" i="62"/>
  <c r="X32" i="62"/>
  <c r="W32" i="62"/>
  <c r="V32" i="62"/>
  <c r="Z31" i="62"/>
  <c r="Y31" i="62"/>
  <c r="X31" i="62"/>
  <c r="W31" i="62"/>
  <c r="V31" i="62"/>
  <c r="Z17" i="62"/>
  <c r="Y17" i="62"/>
  <c r="X17" i="62"/>
  <c r="W17" i="62"/>
  <c r="V17" i="62"/>
  <c r="Z16" i="62"/>
  <c r="Y16" i="62"/>
  <c r="X16" i="62"/>
  <c r="W16" i="62"/>
  <c r="V16" i="62"/>
  <c r="Z15" i="62"/>
  <c r="Y15" i="62"/>
  <c r="X15" i="62"/>
  <c r="W15" i="62"/>
  <c r="V15" i="62"/>
  <c r="Z14" i="62"/>
  <c r="Y14" i="62"/>
  <c r="X14" i="62"/>
  <c r="W14" i="62"/>
  <c r="V14" i="62"/>
  <c r="Z13" i="62"/>
  <c r="Y13" i="62"/>
  <c r="X13" i="62"/>
  <c r="W13" i="62"/>
  <c r="V13" i="62"/>
  <c r="Z11" i="62"/>
  <c r="Y11" i="62"/>
  <c r="X11" i="62"/>
  <c r="W11" i="62"/>
  <c r="V11" i="62"/>
  <c r="Z10" i="62"/>
  <c r="Z19" i="62" s="1"/>
  <c r="Y10" i="62"/>
  <c r="X10" i="62"/>
  <c r="W10" i="62"/>
  <c r="V10" i="62"/>
  <c r="V19" i="62" s="1"/>
  <c r="R58" i="62"/>
  <c r="R56" i="62"/>
  <c r="R51" i="62"/>
  <c r="R49" i="62"/>
  <c r="R48" i="62"/>
  <c r="R46" i="62"/>
  <c r="R45" i="62"/>
  <c r="R44" i="62"/>
  <c r="R43" i="62"/>
  <c r="R34" i="62"/>
  <c r="R32" i="62"/>
  <c r="R31" i="62"/>
  <c r="R17" i="62"/>
  <c r="R16" i="62"/>
  <c r="R15" i="62"/>
  <c r="R14" i="62"/>
  <c r="R13" i="62"/>
  <c r="R12" i="62"/>
  <c r="R11" i="62"/>
  <c r="R10" i="62"/>
  <c r="R19" i="62" s="1"/>
  <c r="F17" i="11"/>
  <c r="G17" i="11"/>
  <c r="H17" i="11"/>
  <c r="I17" i="11"/>
  <c r="E17" i="11"/>
  <c r="D17" i="11"/>
  <c r="AW70" i="58"/>
  <c r="AW63" i="58"/>
  <c r="AL64" i="58"/>
  <c r="AL65" i="58"/>
  <c r="AL69" i="58"/>
  <c r="AV69" i="58"/>
  <c r="AK63" i="58"/>
  <c r="AV66" i="58"/>
  <c r="AK67" i="58"/>
  <c r="O45" i="58"/>
  <c r="AL45" i="58" s="1"/>
  <c r="AA45" i="58"/>
  <c r="AW45" i="58" s="1"/>
  <c r="Z45" i="58"/>
  <c r="AV45" i="58" s="1"/>
  <c r="O44" i="58"/>
  <c r="AL44" i="58" s="1"/>
  <c r="Z44" i="58"/>
  <c r="AV44" i="58" s="1"/>
  <c r="W43" i="58"/>
  <c r="AI43" i="58" s="1"/>
  <c r="AT43" i="58" s="1"/>
  <c r="BE43" i="58" s="1"/>
  <c r="AH43" i="58"/>
  <c r="AS43" i="58" s="1"/>
  <c r="BD43" i="58" s="1"/>
  <c r="AG43" i="58"/>
  <c r="AR43" i="58" s="1"/>
  <c r="BC43" i="58" s="1"/>
  <c r="AF43" i="58"/>
  <c r="AQ43" i="58" s="1"/>
  <c r="BB43" i="58" s="1"/>
  <c r="AE43" i="58"/>
  <c r="AP43" i="58" s="1"/>
  <c r="BA43" i="58" s="1"/>
  <c r="AD43" i="58"/>
  <c r="AO43" i="58" s="1"/>
  <c r="AZ43" i="58" s="1"/>
  <c r="AA11" i="58"/>
  <c r="AW11" i="58" s="1"/>
  <c r="Z11" i="58"/>
  <c r="AV11" i="58" s="1"/>
  <c r="O11" i="58"/>
  <c r="AL11" i="58" s="1"/>
  <c r="N11" i="58"/>
  <c r="AK11" i="58" s="1"/>
  <c r="AA10" i="58"/>
  <c r="AW10" i="58" s="1"/>
  <c r="Z10" i="58"/>
  <c r="AV10" i="58" s="1"/>
  <c r="O10" i="58"/>
  <c r="AL10" i="58" s="1"/>
  <c r="N10" i="58"/>
  <c r="AK10" i="58" s="1"/>
  <c r="W9" i="58"/>
  <c r="AI9" i="58" s="1"/>
  <c r="AT9" i="58" s="1"/>
  <c r="BE9" i="58" s="1"/>
  <c r="V9" i="58"/>
  <c r="AH9" i="58" s="1"/>
  <c r="AS9" i="58" s="1"/>
  <c r="BD9" i="58" s="1"/>
  <c r="U9" i="58"/>
  <c r="AG9" i="58" s="1"/>
  <c r="AR9" i="58" s="1"/>
  <c r="BC9" i="58" s="1"/>
  <c r="T9" i="58"/>
  <c r="AF9" i="58" s="1"/>
  <c r="AQ9" i="58" s="1"/>
  <c r="BB9" i="58" s="1"/>
  <c r="S9" i="58"/>
  <c r="AE9" i="58" s="1"/>
  <c r="AP9" i="58" s="1"/>
  <c r="BA9" i="58" s="1"/>
  <c r="R9" i="58"/>
  <c r="AD9" i="58" s="1"/>
  <c r="AO9" i="58" s="1"/>
  <c r="AZ9" i="58" s="1"/>
  <c r="Y19" i="62" l="1"/>
  <c r="W19" i="62"/>
  <c r="X19" i="62"/>
  <c r="X20" i="62" s="1"/>
  <c r="Y20" i="62"/>
  <c r="Z20" i="62"/>
  <c r="W20" i="62"/>
  <c r="V20" i="62"/>
  <c r="G10" i="91"/>
  <c r="I10" i="91"/>
  <c r="AA10" i="62"/>
  <c r="AA12" i="62"/>
  <c r="AA13" i="62"/>
  <c r="AA14" i="62"/>
  <c r="AA16" i="62"/>
  <c r="AA56" i="62"/>
  <c r="AA58" i="62"/>
  <c r="AA15" i="62"/>
  <c r="AA17" i="62"/>
  <c r="AA46" i="62"/>
  <c r="AA49" i="62"/>
  <c r="AA11" i="62"/>
  <c r="AA32" i="62"/>
  <c r="AA34" i="62"/>
  <c r="AA31" i="62"/>
  <c r="AA44" i="62"/>
  <c r="AA48" i="62"/>
  <c r="AA51" i="62"/>
  <c r="AV64" i="58"/>
  <c r="AW65" i="58"/>
  <c r="AL68" i="58"/>
  <c r="AK62" i="58"/>
  <c r="AV68" i="58"/>
  <c r="AK68" i="58"/>
  <c r="AV62" i="58"/>
  <c r="AW69" i="58"/>
  <c r="AK64" i="58"/>
  <c r="AW62" i="58"/>
  <c r="AW64" i="58"/>
  <c r="AW66" i="58"/>
  <c r="AW68" i="58"/>
  <c r="AW67" i="58"/>
  <c r="AV63" i="58"/>
  <c r="AV65" i="58"/>
  <c r="AV67" i="58"/>
  <c r="AA43" i="62"/>
  <c r="AA45" i="62"/>
  <c r="AK69" i="58"/>
  <c r="AL66" i="58"/>
  <c r="AL62" i="58"/>
  <c r="AL67" i="58"/>
  <c r="AL63" i="58"/>
  <c r="AK66" i="58"/>
  <c r="AK65" i="58"/>
  <c r="N44" i="58"/>
  <c r="AK44" i="58" s="1"/>
  <c r="N45" i="58"/>
  <c r="AK45" i="58" s="1"/>
  <c r="AA44" i="58"/>
  <c r="AW44" i="58" s="1"/>
  <c r="AA19" i="62" l="1"/>
  <c r="H10" i="91"/>
  <c r="J10" i="91"/>
  <c r="K10" i="91"/>
  <c r="AI68" i="88"/>
  <c r="L10" i="91" l="1"/>
  <c r="D19" i="76" l="1"/>
  <c r="E19" i="76" s="1"/>
  <c r="D18" i="76"/>
  <c r="D17" i="76"/>
  <c r="D16" i="76"/>
  <c r="D15" i="76"/>
  <c r="D14" i="76"/>
  <c r="D13" i="76"/>
  <c r="D12" i="76"/>
  <c r="D11" i="76"/>
  <c r="D10" i="76"/>
  <c r="D9" i="76"/>
  <c r="D8" i="76"/>
  <c r="F19" i="76" s="1"/>
  <c r="E11" i="76" l="1"/>
  <c r="E15" i="76"/>
  <c r="E9" i="76"/>
  <c r="E13" i="76"/>
  <c r="E17" i="76"/>
  <c r="E10" i="76"/>
  <c r="E14" i="76"/>
  <c r="E18" i="76"/>
  <c r="E12" i="76"/>
  <c r="E16" i="76"/>
  <c r="F9" i="76"/>
  <c r="E8" i="76"/>
  <c r="F8" i="76"/>
  <c r="F12" i="76"/>
  <c r="F16" i="76"/>
  <c r="F13" i="76"/>
  <c r="F17" i="76"/>
  <c r="F10" i="76"/>
  <c r="F14" i="76"/>
  <c r="F18" i="76"/>
  <c r="F11" i="76"/>
  <c r="F15" i="76"/>
  <c r="P11" i="101" l="1"/>
  <c r="D11" i="101"/>
  <c r="O11" i="101"/>
  <c r="C11" i="101"/>
  <c r="Q11" i="101"/>
  <c r="E11" i="101"/>
  <c r="P23" i="101"/>
  <c r="D23" i="101"/>
  <c r="O23" i="101"/>
  <c r="C23" i="101"/>
  <c r="Q23" i="101"/>
  <c r="E23" i="101"/>
  <c r="Q24" i="101" l="1"/>
  <c r="Q25" i="101" s="1"/>
  <c r="T33" i="101"/>
  <c r="T34" i="101"/>
  <c r="T36" i="101"/>
  <c r="T35" i="101"/>
  <c r="T32" i="101"/>
  <c r="T31" i="101"/>
  <c r="R23" i="101"/>
  <c r="O24" i="101"/>
  <c r="O25" i="101" s="1"/>
  <c r="P21" i="101"/>
  <c r="P24" i="101"/>
  <c r="P25" i="101" s="1"/>
  <c r="Q21" i="101"/>
  <c r="O21" i="101"/>
  <c r="R33" i="101"/>
  <c r="R31" i="101"/>
  <c r="R36" i="101"/>
  <c r="R34" i="101"/>
  <c r="R32" i="101"/>
  <c r="R35" i="101"/>
  <c r="V32" i="101"/>
  <c r="V34" i="101"/>
  <c r="V35" i="101"/>
  <c r="V33" i="101"/>
  <c r="V31" i="101"/>
  <c r="V36" i="101"/>
  <c r="R24" i="101" l="1"/>
  <c r="U31" i="101"/>
  <c r="U32" i="101"/>
  <c r="Q36" i="101"/>
  <c r="R19" i="101"/>
  <c r="S33" i="101"/>
  <c r="U33" i="101"/>
  <c r="R18" i="101"/>
  <c r="Q35" i="101"/>
  <c r="Q31" i="101"/>
  <c r="R14" i="101"/>
  <c r="U35" i="101"/>
  <c r="R15" i="101"/>
  <c r="Q32" i="101"/>
  <c r="Q33" i="101"/>
  <c r="R16" i="101"/>
  <c r="S36" i="101"/>
  <c r="R25" i="101"/>
  <c r="S32" i="101"/>
  <c r="S35" i="101"/>
  <c r="U36" i="101"/>
  <c r="U34" i="101"/>
  <c r="Q34" i="101"/>
  <c r="R17" i="101"/>
  <c r="S31" i="101"/>
  <c r="S34" i="101"/>
  <c r="W32" i="101" l="1"/>
  <c r="X32" i="101"/>
  <c r="W36" i="101"/>
  <c r="W34" i="101"/>
  <c r="X33" i="101"/>
  <c r="W35" i="101"/>
  <c r="X34" i="101"/>
  <c r="Q37" i="101"/>
  <c r="W31" i="101"/>
  <c r="U37" i="101"/>
  <c r="U41" i="101" s="1"/>
  <c r="S37" i="101"/>
  <c r="S41" i="101" s="1"/>
  <c r="W33" i="101"/>
  <c r="X35" i="101"/>
  <c r="R37" i="101"/>
  <c r="R20" i="101"/>
  <c r="S16" i="101" s="1"/>
  <c r="X36" i="101"/>
  <c r="T37" i="101"/>
  <c r="I34" i="101"/>
  <c r="J34" i="101"/>
  <c r="J35" i="101"/>
  <c r="I35" i="101"/>
  <c r="F23" i="101"/>
  <c r="J33" i="101"/>
  <c r="I33" i="101"/>
  <c r="J36" i="101"/>
  <c r="I36" i="101"/>
  <c r="J31" i="101"/>
  <c r="I31" i="101"/>
  <c r="E20" i="101"/>
  <c r="I32" i="101"/>
  <c r="J32" i="101"/>
  <c r="I58" i="62"/>
  <c r="I56" i="62"/>
  <c r="I51" i="62"/>
  <c r="I49" i="62"/>
  <c r="I48" i="62"/>
  <c r="I46" i="62"/>
  <c r="I45" i="62"/>
  <c r="I44" i="62"/>
  <c r="I43" i="62"/>
  <c r="I34" i="62"/>
  <c r="I32" i="62"/>
  <c r="I31" i="62"/>
  <c r="I17" i="62"/>
  <c r="I16" i="62"/>
  <c r="I15" i="62"/>
  <c r="I14" i="62"/>
  <c r="I13" i="62"/>
  <c r="I12" i="62"/>
  <c r="I11" i="62"/>
  <c r="I10" i="62"/>
  <c r="I19" i="62" s="1"/>
  <c r="S19" i="101" l="1"/>
  <c r="S14" i="101"/>
  <c r="S18" i="101"/>
  <c r="X31" i="101"/>
  <c r="X37" i="101" s="1"/>
  <c r="V37" i="101"/>
  <c r="S39" i="101"/>
  <c r="T41" i="101"/>
  <c r="T39" i="101"/>
  <c r="S15" i="101"/>
  <c r="W37" i="101"/>
  <c r="R41" i="101"/>
  <c r="R39" i="101"/>
  <c r="S17" i="101"/>
  <c r="Q39" i="101"/>
  <c r="Q41" i="101"/>
  <c r="I37" i="101"/>
  <c r="E33" i="101"/>
  <c r="F16" i="101"/>
  <c r="F33" i="101"/>
  <c r="E36" i="101"/>
  <c r="F19" i="101"/>
  <c r="F36" i="101"/>
  <c r="E34" i="101"/>
  <c r="F34" i="101"/>
  <c r="G36" i="101"/>
  <c r="H36" i="101"/>
  <c r="F32" i="101"/>
  <c r="E32" i="101"/>
  <c r="J37" i="101"/>
  <c r="D20" i="101"/>
  <c r="G31" i="101"/>
  <c r="H31" i="101"/>
  <c r="F18" i="101"/>
  <c r="F35" i="101"/>
  <c r="E35" i="101"/>
  <c r="C20" i="101"/>
  <c r="F31" i="101"/>
  <c r="F14" i="101"/>
  <c r="E31" i="101"/>
  <c r="G33" i="101"/>
  <c r="H33" i="101"/>
  <c r="F17" i="101"/>
  <c r="G34" i="101"/>
  <c r="H34" i="101"/>
  <c r="E21" i="101"/>
  <c r="E24" i="101"/>
  <c r="E25" i="101" s="1"/>
  <c r="F15" i="101"/>
  <c r="H32" i="101"/>
  <c r="G32" i="101"/>
  <c r="H35" i="101"/>
  <c r="G35" i="101"/>
  <c r="AA20" i="62" l="1"/>
  <c r="W39" i="101"/>
  <c r="O45" i="101" s="1"/>
  <c r="S20" i="101"/>
  <c r="X39" i="101"/>
  <c r="U39" i="101"/>
  <c r="V41" i="101"/>
  <c r="V39" i="101"/>
  <c r="L34" i="101"/>
  <c r="K34" i="101"/>
  <c r="L33" i="101"/>
  <c r="K32" i="101"/>
  <c r="K35" i="101"/>
  <c r="K36" i="101"/>
  <c r="L35" i="101"/>
  <c r="I41" i="101"/>
  <c r="L36" i="101"/>
  <c r="C21" i="101"/>
  <c r="F20" i="101"/>
  <c r="G14" i="101" s="1"/>
  <c r="C24" i="101"/>
  <c r="J39" i="101"/>
  <c r="J41" i="101"/>
  <c r="E37" i="101"/>
  <c r="H37" i="101"/>
  <c r="L32" i="101"/>
  <c r="K31" i="101"/>
  <c r="G37" i="101"/>
  <c r="L31" i="101"/>
  <c r="F37" i="101"/>
  <c r="D21" i="101"/>
  <c r="D24" i="101"/>
  <c r="D25" i="101" s="1"/>
  <c r="I39" i="101"/>
  <c r="K33" i="101"/>
  <c r="AF68" i="93"/>
  <c r="I10" i="96" s="1"/>
  <c r="I10" i="48"/>
  <c r="AE68" i="93"/>
  <c r="H10" i="96" s="1"/>
  <c r="H10" i="48"/>
  <c r="AH68" i="93"/>
  <c r="K10" i="96" s="1"/>
  <c r="K10" i="48"/>
  <c r="AD68" i="93"/>
  <c r="G10" i="96" s="1"/>
  <c r="G10" i="48"/>
  <c r="AI68" i="58"/>
  <c r="AG68" i="93"/>
  <c r="J10" i="96" s="1"/>
  <c r="J10" i="48"/>
  <c r="S49" i="101" l="1"/>
  <c r="O49" i="101"/>
  <c r="R49" i="101"/>
  <c r="P49" i="101"/>
  <c r="Q49" i="101"/>
  <c r="O46" i="101"/>
  <c r="G19" i="101"/>
  <c r="G15" i="101"/>
  <c r="G18" i="101"/>
  <c r="G16" i="101"/>
  <c r="L37" i="101"/>
  <c r="F41" i="101"/>
  <c r="F39" i="101"/>
  <c r="G41" i="101"/>
  <c r="G39" i="101"/>
  <c r="H39" i="101"/>
  <c r="H41" i="101"/>
  <c r="K37" i="101"/>
  <c r="F24" i="101"/>
  <c r="E41" i="101"/>
  <c r="E39" i="101"/>
  <c r="C25" i="101"/>
  <c r="F25" i="101" s="1"/>
  <c r="G17" i="101"/>
  <c r="AI68" i="93"/>
  <c r="T49" i="101" l="1"/>
  <c r="G20" i="101"/>
  <c r="K39" i="101"/>
  <c r="C45" i="101" s="1"/>
  <c r="L39" i="101"/>
  <c r="L10" i="96"/>
  <c r="D49" i="101" l="1"/>
  <c r="F49" i="101"/>
  <c r="G49" i="101"/>
  <c r="C49" i="101"/>
  <c r="E49" i="101"/>
  <c r="C46" i="101"/>
  <c r="H49" i="101" l="1"/>
  <c r="I10" i="11" l="1"/>
  <c r="F29" i="58" l="1"/>
  <c r="G29" i="58"/>
  <c r="H29" i="58"/>
  <c r="I29" i="58"/>
  <c r="J29" i="58"/>
  <c r="K29" i="58"/>
  <c r="O30" i="58"/>
  <c r="AA30" i="58" s="1"/>
  <c r="AL30" i="58" s="1"/>
  <c r="AW30" i="58" s="1"/>
  <c r="N30" i="58"/>
  <c r="Z30" i="58" s="1"/>
  <c r="AK30" i="58" s="1"/>
  <c r="AV30" i="58" s="1"/>
  <c r="W50" i="58" l="1"/>
  <c r="AI50" i="58" s="1"/>
  <c r="AT50" i="58" s="1"/>
  <c r="BE50" i="58" s="1"/>
  <c r="AH50" i="58"/>
  <c r="AS50" i="58" s="1"/>
  <c r="BD50" i="58" s="1"/>
  <c r="AG50" i="58"/>
  <c r="AR50" i="58" s="1"/>
  <c r="BC50" i="58" s="1"/>
  <c r="AF50" i="58"/>
  <c r="AQ50" i="58" s="1"/>
  <c r="BB50" i="58" s="1"/>
  <c r="AE50" i="58"/>
  <c r="AP50" i="58" s="1"/>
  <c r="BA50" i="58" s="1"/>
  <c r="AD50" i="58"/>
  <c r="AO50" i="58" s="1"/>
  <c r="AZ50" i="58" s="1"/>
  <c r="W35" i="58"/>
  <c r="AI35" i="58" s="1"/>
  <c r="AT35" i="58" s="1"/>
  <c r="BE35" i="58" s="1"/>
  <c r="AH35" i="58"/>
  <c r="AS35" i="58" s="1"/>
  <c r="BD35" i="58" s="1"/>
  <c r="AG35" i="58"/>
  <c r="AR35" i="58" s="1"/>
  <c r="BC35" i="58" s="1"/>
  <c r="AF35" i="58"/>
  <c r="AQ35" i="58" s="1"/>
  <c r="BB35" i="58" s="1"/>
  <c r="AE35" i="58"/>
  <c r="AP35" i="58" s="1"/>
  <c r="BA35" i="58" s="1"/>
  <c r="AD35" i="58"/>
  <c r="AO35" i="58" s="1"/>
  <c r="AZ35" i="58" s="1"/>
  <c r="W16" i="58"/>
  <c r="AG16" i="58" l="1"/>
  <c r="AI16" i="58"/>
  <c r="W29" i="58"/>
  <c r="AE16" i="58"/>
  <c r="AF16" i="58"/>
  <c r="AH16" i="58"/>
  <c r="AD16" i="58"/>
  <c r="AH29" i="58" l="1"/>
  <c r="AS16" i="58"/>
  <c r="AD29" i="58"/>
  <c r="AO16" i="58"/>
  <c r="AF29" i="58"/>
  <c r="AQ16" i="58"/>
  <c r="AE29" i="58"/>
  <c r="AP16" i="58"/>
  <c r="AI29" i="58"/>
  <c r="AT16" i="58"/>
  <c r="AG29" i="58"/>
  <c r="AR16" i="58"/>
  <c r="AT29" i="58" l="1"/>
  <c r="BE16" i="58"/>
  <c r="BE29" i="58" s="1"/>
  <c r="AP29" i="58"/>
  <c r="BA16" i="58"/>
  <c r="BA29" i="58" s="1"/>
  <c r="AZ16" i="58"/>
  <c r="AZ29" i="58" s="1"/>
  <c r="AO29" i="58"/>
  <c r="AR29" i="58"/>
  <c r="BC16" i="58"/>
  <c r="BC29" i="58" s="1"/>
  <c r="AQ29" i="58"/>
  <c r="BB16" i="58"/>
  <c r="BB29" i="58" s="1"/>
  <c r="BD16" i="58"/>
  <c r="BD29" i="58" s="1"/>
  <c r="AS29" i="58"/>
  <c r="N20" i="58" l="1"/>
  <c r="AK20" i="58" s="1"/>
  <c r="Z20" i="58"/>
  <c r="AV20" i="58" s="1"/>
  <c r="Z21" i="58"/>
  <c r="AV21" i="58" s="1"/>
  <c r="N21" i="58"/>
  <c r="AK21" i="58" s="1"/>
  <c r="AV23" i="58"/>
  <c r="N23" i="58"/>
  <c r="AK23" i="58" s="1"/>
  <c r="N37" i="58"/>
  <c r="AK37" i="58" s="1"/>
  <c r="Z37" i="58"/>
  <c r="AV37" i="58" s="1"/>
  <c r="N51" i="58"/>
  <c r="AK51" i="58" s="1"/>
  <c r="Z51" i="58"/>
  <c r="AV51" i="58" s="1"/>
  <c r="O54" i="58"/>
  <c r="AL54" i="58" s="1"/>
  <c r="AA54" i="58"/>
  <c r="AW54" i="58" s="1"/>
  <c r="O38" i="58"/>
  <c r="AL38" i="58" s="1"/>
  <c r="AA38" i="58"/>
  <c r="AW38" i="58" s="1"/>
  <c r="Z54" i="58"/>
  <c r="AV54" i="58" s="1"/>
  <c r="N54" i="58"/>
  <c r="AK54" i="58" s="1"/>
  <c r="O53" i="58"/>
  <c r="AL53" i="58" s="1"/>
  <c r="AA53" i="58"/>
  <c r="AW53" i="58" s="1"/>
  <c r="Z19" i="58"/>
  <c r="AV19" i="58" s="1"/>
  <c r="N19" i="58"/>
  <c r="AK19" i="58" s="1"/>
  <c r="Z18" i="58"/>
  <c r="AV18" i="58" s="1"/>
  <c r="N18" i="58"/>
  <c r="AK18" i="58" s="1"/>
  <c r="Z36" i="58"/>
  <c r="AV36" i="58" s="1"/>
  <c r="N36" i="58"/>
  <c r="AK36" i="58" s="1"/>
  <c r="O37" i="58"/>
  <c r="AL37" i="58" s="1"/>
  <c r="AA37" i="58"/>
  <c r="AW37" i="58" s="1"/>
  <c r="N53" i="58"/>
  <c r="AK53" i="58" s="1"/>
  <c r="Z53" i="58"/>
  <c r="AV53" i="58" s="1"/>
  <c r="AA52" i="58"/>
  <c r="AW52" i="58" s="1"/>
  <c r="O52" i="58"/>
  <c r="AL52" i="58" s="1"/>
  <c r="N17" i="58"/>
  <c r="AK17" i="58" s="1"/>
  <c r="Z17" i="58"/>
  <c r="AV17" i="58" s="1"/>
  <c r="O18" i="58"/>
  <c r="AL18" i="58" s="1"/>
  <c r="AA18" i="58"/>
  <c r="AW18" i="58" s="1"/>
  <c r="AA17" i="58"/>
  <c r="AW17" i="58" s="1"/>
  <c r="O17" i="58"/>
  <c r="AL17" i="58" s="1"/>
  <c r="O19" i="58"/>
  <c r="AL19" i="58" s="1"/>
  <c r="AA19" i="58"/>
  <c r="AW19" i="58" s="1"/>
  <c r="AA20" i="58"/>
  <c r="AW20" i="58" s="1"/>
  <c r="O20" i="58"/>
  <c r="AL20" i="58" s="1"/>
  <c r="O21" i="58"/>
  <c r="AL21" i="58" s="1"/>
  <c r="AA21" i="58"/>
  <c r="AW21" i="58" s="1"/>
  <c r="O23" i="58"/>
  <c r="AL23" i="58" s="1"/>
  <c r="AW23" i="58"/>
  <c r="Z38" i="58"/>
  <c r="AV38" i="58" s="1"/>
  <c r="N38" i="58"/>
  <c r="AK38" i="58" s="1"/>
  <c r="AA36" i="58"/>
  <c r="AW36" i="58" s="1"/>
  <c r="O36" i="58"/>
  <c r="AL36" i="58" s="1"/>
  <c r="Z52" i="58"/>
  <c r="AV52" i="58" s="1"/>
  <c r="N52" i="58"/>
  <c r="AK52" i="58" s="1"/>
  <c r="AA51" i="58"/>
  <c r="AW51" i="58" s="1"/>
  <c r="O51" i="58"/>
  <c r="AL51" i="58" s="1"/>
  <c r="E8" i="11" l="1"/>
  <c r="F8" i="11"/>
  <c r="G8" i="11"/>
  <c r="H8" i="11"/>
  <c r="I8" i="11"/>
  <c r="D8" i="11"/>
  <c r="I13" i="11" l="1"/>
  <c r="H13" i="11"/>
  <c r="G13" i="11"/>
  <c r="F13" i="11"/>
  <c r="E13" i="11"/>
  <c r="D13" i="11"/>
  <c r="G15" i="11" l="1"/>
  <c r="E15" i="11"/>
  <c r="D15" i="11"/>
  <c r="I15" i="11"/>
  <c r="I14" i="11"/>
  <c r="F14" i="11"/>
  <c r="H15" i="11"/>
  <c r="D14" i="11"/>
  <c r="H14" i="11"/>
  <c r="F15" i="11"/>
  <c r="G14" i="11"/>
  <c r="E14" i="11"/>
  <c r="I18" i="11" l="1"/>
  <c r="E18" i="11"/>
  <c r="D18" i="11"/>
  <c r="H18" i="11"/>
  <c r="G18" i="11"/>
  <c r="F18" i="11"/>
  <c r="AS69" i="93" l="1"/>
  <c r="K34" i="96" s="1"/>
  <c r="AP19" i="88"/>
  <c r="AP20" i="88"/>
  <c r="AQ19" i="88"/>
  <c r="AQ20" i="88"/>
  <c r="AO69" i="58"/>
  <c r="AZ69" i="58" s="1"/>
  <c r="AO20" i="88"/>
  <c r="AO19" i="88"/>
  <c r="AS68" i="58"/>
  <c r="U39" i="86" s="1"/>
  <c r="AS20" i="88"/>
  <c r="AS19" i="88"/>
  <c r="AR19" i="88"/>
  <c r="AR20" i="88"/>
  <c r="AS68" i="93"/>
  <c r="K26" i="96" s="1"/>
  <c r="AR22" i="88"/>
  <c r="AR22" i="58"/>
  <c r="AR22" i="93"/>
  <c r="AP22" i="88"/>
  <c r="AP22" i="58"/>
  <c r="AP22" i="93"/>
  <c r="AO68" i="93"/>
  <c r="G26" i="96" s="1"/>
  <c r="AO22" i="88"/>
  <c r="AO22" i="58"/>
  <c r="AO22" i="93"/>
  <c r="AQ22" i="88"/>
  <c r="AQ22" i="58"/>
  <c r="AQ22" i="93"/>
  <c r="AO68" i="88"/>
  <c r="AS21" i="88"/>
  <c r="AS22" i="88"/>
  <c r="AS22" i="58"/>
  <c r="AS22" i="93"/>
  <c r="AS67" i="93"/>
  <c r="K33" i="96" s="1"/>
  <c r="AS69" i="88"/>
  <c r="AS69" i="58"/>
  <c r="AS18" i="88"/>
  <c r="AS67" i="88"/>
  <c r="AS23" i="88"/>
  <c r="AS68" i="88"/>
  <c r="AS67" i="58"/>
  <c r="AS17" i="88"/>
  <c r="AQ24" i="88"/>
  <c r="AP24" i="88"/>
  <c r="AO24" i="88"/>
  <c r="AR24" i="88"/>
  <c r="AS24" i="88"/>
  <c r="AQ17" i="88"/>
  <c r="AQ21" i="88"/>
  <c r="AQ23" i="88"/>
  <c r="AQ18" i="88"/>
  <c r="AO18" i="88"/>
  <c r="AO17" i="88"/>
  <c r="AO23" i="88"/>
  <c r="AO21" i="88"/>
  <c r="AP21" i="88"/>
  <c r="AP18" i="88"/>
  <c r="AP17" i="88"/>
  <c r="AP23" i="88"/>
  <c r="AR23" i="88"/>
  <c r="AR17" i="88"/>
  <c r="AR18" i="88"/>
  <c r="AR21" i="88"/>
  <c r="AO67" i="58"/>
  <c r="AO68" i="58"/>
  <c r="AO69" i="88"/>
  <c r="AO67" i="93"/>
  <c r="G33" i="96" s="1"/>
  <c r="AR69" i="88"/>
  <c r="AO67" i="88"/>
  <c r="AO69" i="93"/>
  <c r="G34" i="96" s="1"/>
  <c r="AR69" i="58"/>
  <c r="AR69" i="93"/>
  <c r="J34" i="96" s="1"/>
  <c r="AR68" i="93"/>
  <c r="J26" i="96" s="1"/>
  <c r="AR68" i="88"/>
  <c r="AR67" i="93"/>
  <c r="J33" i="96" s="1"/>
  <c r="AR67" i="88"/>
  <c r="AR68" i="58"/>
  <c r="AR67" i="58"/>
  <c r="AQ69" i="93"/>
  <c r="I34" i="96" s="1"/>
  <c r="AQ69" i="88"/>
  <c r="AQ67" i="88"/>
  <c r="AQ67" i="93"/>
  <c r="I33" i="96" s="1"/>
  <c r="AQ69" i="58"/>
  <c r="AQ67" i="58"/>
  <c r="AQ68" i="88"/>
  <c r="AQ68" i="58"/>
  <c r="AQ68" i="93"/>
  <c r="I26" i="96" s="1"/>
  <c r="AP67" i="93"/>
  <c r="H33" i="96" s="1"/>
  <c r="AP67" i="58"/>
  <c r="AP69" i="88"/>
  <c r="AP67" i="88"/>
  <c r="AP69" i="93"/>
  <c r="H34" i="96" s="1"/>
  <c r="AP69" i="58"/>
  <c r="AP68" i="88"/>
  <c r="AP68" i="58"/>
  <c r="AP68" i="93"/>
  <c r="H26" i="96" s="1"/>
  <c r="U40" i="95"/>
  <c r="BD69" i="93"/>
  <c r="Q40" i="86" l="1"/>
  <c r="K26" i="48"/>
  <c r="BD68" i="58"/>
  <c r="G34" i="48"/>
  <c r="BD68" i="93"/>
  <c r="U39" i="95"/>
  <c r="T38" i="90"/>
  <c r="J34" i="91"/>
  <c r="Q38" i="86"/>
  <c r="T18" i="90"/>
  <c r="AZ18" i="88"/>
  <c r="R19" i="90"/>
  <c r="BD17" i="88"/>
  <c r="BD67" i="88"/>
  <c r="BC69" i="58"/>
  <c r="BC21" i="88"/>
  <c r="AZ21" i="88"/>
  <c r="K33" i="48"/>
  <c r="BD18" i="88"/>
  <c r="BD19" i="88"/>
  <c r="U16" i="90"/>
  <c r="AZ68" i="93"/>
  <c r="J33" i="48"/>
  <c r="BC68" i="88"/>
  <c r="AZ69" i="93"/>
  <c r="G34" i="91"/>
  <c r="BC18" i="88"/>
  <c r="Q18" i="90"/>
  <c r="K26" i="91"/>
  <c r="K34" i="48"/>
  <c r="Q39" i="90"/>
  <c r="K33" i="91"/>
  <c r="T39" i="86"/>
  <c r="T39" i="95"/>
  <c r="AZ67" i="88"/>
  <c r="Q39" i="86"/>
  <c r="U18" i="90"/>
  <c r="K34" i="91"/>
  <c r="Q39" i="95"/>
  <c r="BD67" i="58"/>
  <c r="BD21" i="88"/>
  <c r="AZ68" i="88"/>
  <c r="G26" i="91"/>
  <c r="U40" i="90"/>
  <c r="U17" i="90"/>
  <c r="BD22" i="88"/>
  <c r="BB22" i="88"/>
  <c r="S17" i="90"/>
  <c r="T17" i="90"/>
  <c r="BC22" i="88"/>
  <c r="Q17" i="95"/>
  <c r="AT22" i="93"/>
  <c r="AZ22" i="93"/>
  <c r="BA22" i="93"/>
  <c r="R17" i="95"/>
  <c r="BD22" i="93"/>
  <c r="U17" i="95"/>
  <c r="BB22" i="93"/>
  <c r="S17" i="95"/>
  <c r="Q17" i="86"/>
  <c r="AZ22" i="58"/>
  <c r="AT22" i="58"/>
  <c r="BA22" i="58"/>
  <c r="R17" i="86"/>
  <c r="T17" i="95"/>
  <c r="BC22" i="93"/>
  <c r="BD69" i="88"/>
  <c r="BD22" i="58"/>
  <c r="U17" i="86"/>
  <c r="BB22" i="58"/>
  <c r="S17" i="86"/>
  <c r="Q17" i="90"/>
  <c r="AZ22" i="88"/>
  <c r="AT22" i="88"/>
  <c r="R17" i="90"/>
  <c r="BA22" i="88"/>
  <c r="BC22" i="58"/>
  <c r="T17" i="86"/>
  <c r="BC24" i="88"/>
  <c r="T19" i="90"/>
  <c r="BB24" i="88"/>
  <c r="S19" i="90"/>
  <c r="AZ24" i="88"/>
  <c r="Q19" i="90"/>
  <c r="BD24" i="88"/>
  <c r="U19" i="90"/>
  <c r="BD23" i="88"/>
  <c r="U13" i="90"/>
  <c r="AS25" i="88"/>
  <c r="U38" i="95"/>
  <c r="BD67" i="93"/>
  <c r="U40" i="86"/>
  <c r="BD68" i="88"/>
  <c r="BD69" i="58"/>
  <c r="U38" i="86"/>
  <c r="U38" i="90"/>
  <c r="U39" i="90"/>
  <c r="U12" i="90"/>
  <c r="Q12" i="90"/>
  <c r="AZ17" i="88"/>
  <c r="AT24" i="88"/>
  <c r="BA24" i="88"/>
  <c r="T40" i="90"/>
  <c r="Q40" i="90"/>
  <c r="Q40" i="95"/>
  <c r="AT18" i="88"/>
  <c r="G26" i="48"/>
  <c r="AZ67" i="93"/>
  <c r="U14" i="90"/>
  <c r="J33" i="91"/>
  <c r="Q13" i="90"/>
  <c r="BC23" i="88"/>
  <c r="G33" i="91"/>
  <c r="BC69" i="88"/>
  <c r="G33" i="48"/>
  <c r="Q38" i="95"/>
  <c r="T14" i="90"/>
  <c r="BC20" i="88"/>
  <c r="BA20" i="88"/>
  <c r="AT17" i="88"/>
  <c r="AZ67" i="58"/>
  <c r="AT21" i="88"/>
  <c r="BC67" i="88"/>
  <c r="AT23" i="88"/>
  <c r="BB20" i="88"/>
  <c r="Q38" i="90"/>
  <c r="AZ69" i="88"/>
  <c r="Q16" i="90"/>
  <c r="AZ68" i="58"/>
  <c r="AZ23" i="88"/>
  <c r="BC67" i="93"/>
  <c r="T40" i="95"/>
  <c r="BC69" i="93"/>
  <c r="J34" i="48"/>
  <c r="BC67" i="58"/>
  <c r="T16" i="90"/>
  <c r="AT69" i="93"/>
  <c r="T39" i="90"/>
  <c r="J26" i="48"/>
  <c r="J26" i="91"/>
  <c r="AT68" i="93"/>
  <c r="BC68" i="93"/>
  <c r="T38" i="95"/>
  <c r="BC68" i="58"/>
  <c r="T12" i="90"/>
  <c r="T13" i="90"/>
  <c r="T40" i="86"/>
  <c r="BC17" i="88"/>
  <c r="T38" i="86"/>
  <c r="BA67" i="88"/>
  <c r="H33" i="91"/>
  <c r="R38" i="90"/>
  <c r="AT67" i="88"/>
  <c r="S39" i="95"/>
  <c r="BB68" i="93"/>
  <c r="I26" i="91"/>
  <c r="BB68" i="88"/>
  <c r="S39" i="90"/>
  <c r="S16" i="90"/>
  <c r="BB21" i="88"/>
  <c r="S18" i="90"/>
  <c r="BB23" i="88"/>
  <c r="BB69" i="93"/>
  <c r="S40" i="95"/>
  <c r="H26" i="91"/>
  <c r="BA68" i="88"/>
  <c r="R39" i="90"/>
  <c r="R16" i="90"/>
  <c r="BA21" i="88"/>
  <c r="R12" i="90"/>
  <c r="BA17" i="88"/>
  <c r="BA18" i="88"/>
  <c r="R13" i="90"/>
  <c r="BA69" i="88"/>
  <c r="R40" i="90"/>
  <c r="H34" i="91"/>
  <c r="S12" i="90"/>
  <c r="BB17" i="88"/>
  <c r="S38" i="95"/>
  <c r="BB67" i="93"/>
  <c r="H34" i="48"/>
  <c r="R40" i="86"/>
  <c r="BA69" i="58"/>
  <c r="H33" i="48"/>
  <c r="BA67" i="58"/>
  <c r="R38" i="86"/>
  <c r="AT69" i="58"/>
  <c r="AT67" i="93"/>
  <c r="S39" i="86"/>
  <c r="BB68" i="58"/>
  <c r="I26" i="48"/>
  <c r="S13" i="90"/>
  <c r="BB18" i="88"/>
  <c r="BB67" i="58"/>
  <c r="S38" i="86"/>
  <c r="I33" i="48"/>
  <c r="I33" i="91"/>
  <c r="S38" i="90"/>
  <c r="BB67" i="88"/>
  <c r="AT69" i="88"/>
  <c r="AT68" i="88"/>
  <c r="R39" i="95"/>
  <c r="BA68" i="93"/>
  <c r="H26" i="48"/>
  <c r="BA68" i="58"/>
  <c r="R39" i="86"/>
  <c r="BA23" i="88"/>
  <c r="R18" i="90"/>
  <c r="BA69" i="93"/>
  <c r="R40" i="95"/>
  <c r="BA67" i="93"/>
  <c r="R38" i="95"/>
  <c r="AT67" i="58"/>
  <c r="AT68" i="58"/>
  <c r="BB69" i="58"/>
  <c r="S40" i="86"/>
  <c r="I34" i="48"/>
  <c r="S40" i="90"/>
  <c r="BB69" i="88"/>
  <c r="I34" i="91"/>
  <c r="BE67" i="88" l="1"/>
  <c r="BE69" i="58"/>
  <c r="BE69" i="93"/>
  <c r="V17" i="86"/>
  <c r="BE67" i="93"/>
  <c r="V17" i="95"/>
  <c r="BE67" i="58"/>
  <c r="BE69" i="88"/>
  <c r="BE22" i="88"/>
  <c r="V17" i="90"/>
  <c r="BE22" i="58"/>
  <c r="BE22" i="93"/>
  <c r="BE68" i="88"/>
  <c r="BE68" i="93"/>
  <c r="BE68" i="58"/>
  <c r="BE24" i="88"/>
  <c r="V19" i="90"/>
  <c r="BD20" i="88"/>
  <c r="BD25" i="88" s="1"/>
  <c r="U15" i="90"/>
  <c r="AQ25" i="88"/>
  <c r="AO25" i="88"/>
  <c r="AP25" i="88"/>
  <c r="BB19" i="88"/>
  <c r="BB25" i="88" s="1"/>
  <c r="R15" i="90"/>
  <c r="S15" i="90"/>
  <c r="AR25" i="88"/>
  <c r="S14" i="90"/>
  <c r="BA19" i="88"/>
  <c r="BA25" i="88" s="1"/>
  <c r="R14" i="90"/>
  <c r="AT20" i="88"/>
  <c r="AZ20" i="88"/>
  <c r="Q15" i="90"/>
  <c r="AT19" i="88"/>
  <c r="AZ19" i="88"/>
  <c r="Q14" i="90"/>
  <c r="BC19" i="88"/>
  <c r="BC25" i="88" s="1"/>
  <c r="T15" i="90"/>
  <c r="V40" i="95"/>
  <c r="BE23" i="88"/>
  <c r="V18" i="90"/>
  <c r="V38" i="95"/>
  <c r="BE21" i="88"/>
  <c r="V39" i="95"/>
  <c r="BE18" i="88"/>
  <c r="V13" i="90"/>
  <c r="V12" i="90"/>
  <c r="L26" i="96"/>
  <c r="V38" i="86"/>
  <c r="V16" i="90"/>
  <c r="V38" i="90"/>
  <c r="V40" i="86"/>
  <c r="V40" i="90"/>
  <c r="V39" i="90"/>
  <c r="L26" i="91"/>
  <c r="V39" i="86"/>
  <c r="BE17" i="88"/>
  <c r="BE20" i="88" l="1"/>
  <c r="BE19" i="88"/>
  <c r="AT25" i="88"/>
  <c r="V14" i="90"/>
  <c r="AZ25" i="88"/>
  <c r="V15" i="90"/>
  <c r="BE25" i="88" l="1"/>
  <c r="L10" i="48" l="1"/>
  <c r="L26" i="48" l="1"/>
  <c r="AO24" i="58" l="1"/>
  <c r="Q19" i="86" l="1"/>
  <c r="AS24" i="93"/>
  <c r="AS24" i="58"/>
  <c r="AR24" i="93"/>
  <c r="AR24" i="58"/>
  <c r="AZ24" i="58"/>
  <c r="N35" i="62"/>
  <c r="AE65" i="88" s="1"/>
  <c r="O35" i="62"/>
  <c r="AF65" i="88" s="1"/>
  <c r="P35" i="62"/>
  <c r="AG65" i="88" s="1"/>
  <c r="Q35" i="62"/>
  <c r="AH65" i="88" s="1"/>
  <c r="N59" i="62"/>
  <c r="AE62" i="88" s="1"/>
  <c r="O59" i="62"/>
  <c r="AF62" i="88" s="1"/>
  <c r="P59" i="62"/>
  <c r="AG62" i="88" s="1"/>
  <c r="Q59" i="62"/>
  <c r="AH62" i="88" s="1"/>
  <c r="AP66" i="88"/>
  <c r="AQ66" i="88"/>
  <c r="AQ62" i="88" l="1"/>
  <c r="BC24" i="93"/>
  <c r="T19" i="95"/>
  <c r="AP62" i="88"/>
  <c r="BD24" i="58"/>
  <c r="U19" i="86"/>
  <c r="AS62" i="88"/>
  <c r="BD24" i="93"/>
  <c r="U19" i="95"/>
  <c r="J11" i="91"/>
  <c r="BC24" i="58"/>
  <c r="T19" i="86"/>
  <c r="AQ65" i="88"/>
  <c r="AR65" i="88"/>
  <c r="AP65" i="88"/>
  <c r="AS65" i="88"/>
  <c r="R47" i="62"/>
  <c r="R38" i="62"/>
  <c r="I11" i="91"/>
  <c r="AS63" i="88"/>
  <c r="R50" i="62"/>
  <c r="AS66" i="88"/>
  <c r="R39" i="62"/>
  <c r="R57" i="62"/>
  <c r="R59" i="62" s="1"/>
  <c r="M59" i="62"/>
  <c r="AD62" i="88" s="1"/>
  <c r="R52" i="62"/>
  <c r="AO24" i="93"/>
  <c r="S37" i="90"/>
  <c r="BB66" i="88"/>
  <c r="AP63" i="88"/>
  <c r="R37" i="90"/>
  <c r="BA66" i="88"/>
  <c r="AR66" i="88"/>
  <c r="M35" i="62"/>
  <c r="AD65" i="88" s="1"/>
  <c r="R33" i="62"/>
  <c r="BA65" i="88" l="1"/>
  <c r="BB65" i="88"/>
  <c r="U36" i="90"/>
  <c r="T36" i="90"/>
  <c r="Q19" i="95"/>
  <c r="BC65" i="88"/>
  <c r="H11" i="91"/>
  <c r="AR62" i="88"/>
  <c r="R53" i="62"/>
  <c r="H19" i="91"/>
  <c r="G11" i="91"/>
  <c r="R36" i="90"/>
  <c r="K11" i="91"/>
  <c r="S36" i="90"/>
  <c r="R40" i="62"/>
  <c r="BD65" i="88"/>
  <c r="U33" i="90"/>
  <c r="K27" i="91"/>
  <c r="BD62" i="88"/>
  <c r="BA63" i="88"/>
  <c r="R34" i="90"/>
  <c r="S33" i="90"/>
  <c r="I27" i="91"/>
  <c r="BB62" i="88"/>
  <c r="T37" i="90"/>
  <c r="BC66" i="88"/>
  <c r="R33" i="90"/>
  <c r="BA62" i="88"/>
  <c r="H27" i="91"/>
  <c r="K19" i="91"/>
  <c r="AQ63" i="88"/>
  <c r="I19" i="91"/>
  <c r="AI63" i="88"/>
  <c r="AO63" i="88"/>
  <c r="H35" i="91"/>
  <c r="R35" i="62"/>
  <c r="J19" i="91"/>
  <c r="AR63" i="88"/>
  <c r="K35" i="91"/>
  <c r="U34" i="90"/>
  <c r="BD63" i="88"/>
  <c r="AZ24" i="93"/>
  <c r="U37" i="90"/>
  <c r="BD66" i="88"/>
  <c r="AI66" i="88"/>
  <c r="AO66" i="88"/>
  <c r="J35" i="91" l="1"/>
  <c r="BC62" i="88"/>
  <c r="T33" i="90"/>
  <c r="J27" i="91"/>
  <c r="L11" i="91"/>
  <c r="AI62" i="88"/>
  <c r="AO62" i="88"/>
  <c r="AQ23" i="58"/>
  <c r="AQ18" i="58"/>
  <c r="AI17" i="58"/>
  <c r="AO17" i="58"/>
  <c r="AQ17" i="58"/>
  <c r="AO18" i="58"/>
  <c r="AI18" i="58"/>
  <c r="AR17" i="58"/>
  <c r="Q37" i="90"/>
  <c r="AZ66" i="88"/>
  <c r="BE66" i="88" s="1"/>
  <c r="AT66" i="88"/>
  <c r="AP18" i="58"/>
  <c r="AS17" i="58"/>
  <c r="BC63" i="88"/>
  <c r="T34" i="90"/>
  <c r="AI65" i="88"/>
  <c r="AO65" i="88"/>
  <c r="G19" i="91"/>
  <c r="L19" i="91" s="1"/>
  <c r="AR23" i="58"/>
  <c r="AP23" i="58"/>
  <c r="AI23" i="58"/>
  <c r="AO23" i="58"/>
  <c r="AS23" i="58"/>
  <c r="AR18" i="58"/>
  <c r="AT63" i="88"/>
  <c r="Q34" i="90"/>
  <c r="AZ63" i="88"/>
  <c r="S34" i="90"/>
  <c r="BB63" i="88"/>
  <c r="I35" i="91"/>
  <c r="AP17" i="58"/>
  <c r="AS18" i="58"/>
  <c r="G27" i="91" l="1"/>
  <c r="L27" i="91" s="1"/>
  <c r="Q33" i="90"/>
  <c r="V33" i="90" s="1"/>
  <c r="AT62" i="88"/>
  <c r="AZ62" i="88"/>
  <c r="BE62" i="88" s="1"/>
  <c r="BE63" i="88"/>
  <c r="AS18" i="93"/>
  <c r="AR18" i="93"/>
  <c r="AS23" i="93"/>
  <c r="BA23" i="58"/>
  <c r="R18" i="86"/>
  <c r="AS17" i="93"/>
  <c r="AR17" i="93"/>
  <c r="AI18" i="93"/>
  <c r="AO18" i="93"/>
  <c r="AQ17" i="93"/>
  <c r="AT17" i="58"/>
  <c r="Q12" i="86"/>
  <c r="AZ17" i="58"/>
  <c r="AQ18" i="93"/>
  <c r="AQ23" i="93"/>
  <c r="AP17" i="93"/>
  <c r="BC18" i="58"/>
  <c r="T13" i="86"/>
  <c r="U18" i="86"/>
  <c r="BD23" i="58"/>
  <c r="AZ23" i="58"/>
  <c r="Q18" i="86"/>
  <c r="AT23" i="58"/>
  <c r="AP23" i="93"/>
  <c r="G35" i="91"/>
  <c r="Q36" i="90"/>
  <c r="AZ65" i="88"/>
  <c r="BE65" i="88" s="1"/>
  <c r="AT65" i="88"/>
  <c r="AP18" i="93"/>
  <c r="V37" i="90"/>
  <c r="T12" i="86"/>
  <c r="BC17" i="58"/>
  <c r="S12" i="86"/>
  <c r="BB17" i="58"/>
  <c r="BB18" i="58"/>
  <c r="S13" i="86"/>
  <c r="S18" i="86"/>
  <c r="BB23" i="58"/>
  <c r="R12" i="86"/>
  <c r="BA17" i="58"/>
  <c r="V34" i="90"/>
  <c r="BC23" i="58"/>
  <c r="T18" i="86"/>
  <c r="BA18" i="58"/>
  <c r="R13" i="86"/>
  <c r="U13" i="86"/>
  <c r="BD18" i="58"/>
  <c r="AO23" i="93"/>
  <c r="AI23" i="93"/>
  <c r="AR23" i="93"/>
  <c r="BD17" i="58"/>
  <c r="U12" i="86"/>
  <c r="AT18" i="58"/>
  <c r="Q13" i="86"/>
  <c r="AZ18" i="58"/>
  <c r="AI17" i="93"/>
  <c r="AO17" i="93"/>
  <c r="L35" i="91" l="1"/>
  <c r="BE18" i="58"/>
  <c r="S18" i="95"/>
  <c r="BB23" i="93"/>
  <c r="V36" i="90"/>
  <c r="BE17" i="58"/>
  <c r="S12" i="95"/>
  <c r="BB17" i="93"/>
  <c r="BC18" i="93"/>
  <c r="T13" i="95"/>
  <c r="BC17" i="93"/>
  <c r="T12" i="95"/>
  <c r="V13" i="86"/>
  <c r="R12" i="95"/>
  <c r="BA17" i="93"/>
  <c r="U18" i="95"/>
  <c r="BD23" i="93"/>
  <c r="BA23" i="93"/>
  <c r="R18" i="95"/>
  <c r="V18" i="86"/>
  <c r="V12" i="86"/>
  <c r="AT17" i="93"/>
  <c r="AZ17" i="93"/>
  <c r="Q12" i="95"/>
  <c r="T18" i="95"/>
  <c r="BC23" i="93"/>
  <c r="BE23" i="58"/>
  <c r="AT23" i="93"/>
  <c r="Q18" i="95"/>
  <c r="AZ23" i="93"/>
  <c r="BA18" i="93"/>
  <c r="R13" i="95"/>
  <c r="S13" i="95"/>
  <c r="BB18" i="93"/>
  <c r="AT18" i="93"/>
  <c r="AZ18" i="93"/>
  <c r="Q13" i="95"/>
  <c r="BD17" i="93"/>
  <c r="U12" i="95"/>
  <c r="BD18" i="93"/>
  <c r="U13" i="95"/>
  <c r="BE23" i="93" l="1"/>
  <c r="BE18" i="93"/>
  <c r="V12" i="95"/>
  <c r="BE17" i="93"/>
  <c r="V13" i="95"/>
  <c r="V18" i="95"/>
  <c r="W50" i="62" l="1"/>
  <c r="X50" i="62"/>
  <c r="Y50" i="62"/>
  <c r="Z50" i="62"/>
  <c r="W52" i="62"/>
  <c r="X52" i="62"/>
  <c r="Y52" i="62"/>
  <c r="Z52" i="62"/>
  <c r="W39" i="62"/>
  <c r="X39" i="62"/>
  <c r="Y39" i="62"/>
  <c r="Z39" i="62"/>
  <c r="X33" i="62" l="1"/>
  <c r="X35" i="62" s="1"/>
  <c r="F35" i="62"/>
  <c r="AF65" i="58" s="1"/>
  <c r="I38" i="62"/>
  <c r="V38" i="62"/>
  <c r="W38" i="62"/>
  <c r="W40" i="62" s="1"/>
  <c r="W41" i="62" s="1"/>
  <c r="V52" i="62"/>
  <c r="AA52" i="62" s="1"/>
  <c r="I52" i="62"/>
  <c r="X47" i="62"/>
  <c r="X53" i="62" s="1"/>
  <c r="X54" i="62" s="1"/>
  <c r="G59" i="62"/>
  <c r="AG62" i="58" s="1"/>
  <c r="Y57" i="62"/>
  <c r="Y59" i="62" s="1"/>
  <c r="E35" i="62"/>
  <c r="AE65" i="58" s="1"/>
  <c r="W33" i="62"/>
  <c r="W35" i="62" s="1"/>
  <c r="Z38" i="62"/>
  <c r="Z40" i="62" s="1"/>
  <c r="Z41" i="62" s="1"/>
  <c r="I39" i="62"/>
  <c r="V39" i="62"/>
  <c r="AA39" i="62" s="1"/>
  <c r="W47" i="62"/>
  <c r="W53" i="62" s="1"/>
  <c r="W54" i="62" s="1"/>
  <c r="X57" i="62"/>
  <c r="X59" i="62" s="1"/>
  <c r="F59" i="62"/>
  <c r="AF62" i="58" s="1"/>
  <c r="Y38" i="62"/>
  <c r="Y40" i="62" s="1"/>
  <c r="Y41" i="62" s="1"/>
  <c r="W57" i="62"/>
  <c r="W59" i="62" s="1"/>
  <c r="E59" i="62"/>
  <c r="AE62" i="58" s="1"/>
  <c r="Z33" i="62"/>
  <c r="Z35" i="62" s="1"/>
  <c r="H35" i="62"/>
  <c r="AH65" i="58" s="1"/>
  <c r="D35" i="62"/>
  <c r="AD65" i="58" s="1"/>
  <c r="I33" i="62"/>
  <c r="V33" i="62"/>
  <c r="V50" i="62"/>
  <c r="AA50" i="62" s="1"/>
  <c r="I50" i="62"/>
  <c r="Z47" i="62"/>
  <c r="Z53" i="62" s="1"/>
  <c r="Z54" i="62" s="1"/>
  <c r="V47" i="62"/>
  <c r="I47" i="62"/>
  <c r="Y33" i="62"/>
  <c r="Y35" i="62" s="1"/>
  <c r="G35" i="62"/>
  <c r="AG65" i="58" s="1"/>
  <c r="X38" i="62"/>
  <c r="X40" i="62" s="1"/>
  <c r="X41" i="62" s="1"/>
  <c r="Y47" i="62"/>
  <c r="Y53" i="62" s="1"/>
  <c r="Y54" i="62" s="1"/>
  <c r="H59" i="62"/>
  <c r="AH62" i="58" s="1"/>
  <c r="Z57" i="62"/>
  <c r="Z59" i="62" s="1"/>
  <c r="D59" i="62"/>
  <c r="AD62" i="58" s="1"/>
  <c r="V57" i="62"/>
  <c r="I57" i="62"/>
  <c r="I59" i="62" s="1"/>
  <c r="Y36" i="62" l="1"/>
  <c r="Z60" i="62"/>
  <c r="I53" i="62"/>
  <c r="Z36" i="62"/>
  <c r="W36" i="62"/>
  <c r="V53" i="62"/>
  <c r="V54" i="62" s="1"/>
  <c r="AF62" i="93"/>
  <c r="I11" i="96" s="1"/>
  <c r="AH62" i="93"/>
  <c r="K11" i="96" s="1"/>
  <c r="G11" i="48"/>
  <c r="AR62" i="58"/>
  <c r="AE62" i="93"/>
  <c r="H11" i="96" s="1"/>
  <c r="W60" i="62"/>
  <c r="X60" i="62"/>
  <c r="Y60" i="62"/>
  <c r="X36" i="62"/>
  <c r="I40" i="62"/>
  <c r="AE65" i="93"/>
  <c r="AF65" i="93"/>
  <c r="J19" i="48"/>
  <c r="K19" i="48"/>
  <c r="AG63" i="93"/>
  <c r="AR63" i="58"/>
  <c r="AS66" i="58"/>
  <c r="AH66" i="93"/>
  <c r="I11" i="48"/>
  <c r="AE66" i="93"/>
  <c r="AP66" i="58"/>
  <c r="AS62" i="58"/>
  <c r="AF66" i="93"/>
  <c r="AQ66" i="58"/>
  <c r="AA47" i="62"/>
  <c r="AA53" i="62" s="1"/>
  <c r="I35" i="62"/>
  <c r="G19" i="48"/>
  <c r="AF63" i="93"/>
  <c r="AQ63" i="58"/>
  <c r="AH63" i="93"/>
  <c r="AS63" i="58"/>
  <c r="AA33" i="62"/>
  <c r="V35" i="62"/>
  <c r="AP63" i="58"/>
  <c r="AE63" i="93"/>
  <c r="AI66" i="58"/>
  <c r="AO66" i="58"/>
  <c r="AD66" i="93"/>
  <c r="AA57" i="62"/>
  <c r="AA59" i="62" s="1"/>
  <c r="AA60" i="62" s="1"/>
  <c r="V59" i="62"/>
  <c r="V60" i="62" s="1"/>
  <c r="AI63" i="58"/>
  <c r="AD63" i="93"/>
  <c r="AO63" i="58"/>
  <c r="AG66" i="93"/>
  <c r="AR66" i="58"/>
  <c r="V40" i="62"/>
  <c r="V41" i="62" s="1"/>
  <c r="AA38" i="62"/>
  <c r="AA40" i="62" s="1"/>
  <c r="H19" i="96" l="1"/>
  <c r="I19" i="96"/>
  <c r="AA54" i="62"/>
  <c r="H11" i="48"/>
  <c r="AH65" i="93"/>
  <c r="AS65" i="93" s="1"/>
  <c r="AO62" i="58"/>
  <c r="G27" i="48" s="1"/>
  <c r="AD62" i="93"/>
  <c r="G11" i="96" s="1"/>
  <c r="AS65" i="58"/>
  <c r="AQ62" i="58"/>
  <c r="BB62" i="58" s="1"/>
  <c r="AP62" i="58"/>
  <c r="AI62" i="58"/>
  <c r="AQ65" i="58"/>
  <c r="I19" i="48"/>
  <c r="AG62" i="93"/>
  <c r="J11" i="96" s="1"/>
  <c r="AA35" i="62"/>
  <c r="AA36" i="62" s="1"/>
  <c r="V36" i="62"/>
  <c r="AG65" i="93"/>
  <c r="J19" i="96" s="1"/>
  <c r="AP65" i="58"/>
  <c r="K11" i="48"/>
  <c r="J11" i="48"/>
  <c r="AR65" i="58"/>
  <c r="AA41" i="62"/>
  <c r="H19" i="48"/>
  <c r="BD62" i="58"/>
  <c r="K27" i="48"/>
  <c r="U33" i="86"/>
  <c r="AQ62" i="93"/>
  <c r="I27" i="96" s="1"/>
  <c r="AP63" i="93"/>
  <c r="AQ63" i="93"/>
  <c r="AO65" i="58"/>
  <c r="AI65" i="58"/>
  <c r="AD65" i="93"/>
  <c r="G19" i="96" s="1"/>
  <c r="BB66" i="58"/>
  <c r="S37" i="86"/>
  <c r="T33" i="86"/>
  <c r="J27" i="48"/>
  <c r="BC62" i="58"/>
  <c r="T34" i="86"/>
  <c r="BC63" i="58"/>
  <c r="AR66" i="93"/>
  <c r="Q34" i="86"/>
  <c r="AT63" i="58"/>
  <c r="AZ63" i="58"/>
  <c r="AI66" i="93"/>
  <c r="AO66" i="93"/>
  <c r="BA63" i="58"/>
  <c r="R34" i="86"/>
  <c r="U34" i="86"/>
  <c r="BD63" i="58"/>
  <c r="AQ66" i="93"/>
  <c r="AS62" i="93"/>
  <c r="K27" i="96" s="1"/>
  <c r="AR63" i="93"/>
  <c r="S34" i="86"/>
  <c r="BB63" i="58"/>
  <c r="AP65" i="93"/>
  <c r="AP66" i="93"/>
  <c r="BD66" i="58"/>
  <c r="U37" i="86"/>
  <c r="T37" i="86"/>
  <c r="BC66" i="58"/>
  <c r="AI63" i="93"/>
  <c r="AO63" i="93"/>
  <c r="AT66" i="58"/>
  <c r="AZ66" i="58"/>
  <c r="Q37" i="86"/>
  <c r="AS63" i="93"/>
  <c r="AQ65" i="93"/>
  <c r="BA66" i="58"/>
  <c r="R37" i="86"/>
  <c r="AP62" i="93"/>
  <c r="H27" i="96" s="1"/>
  <c r="AS66" i="93"/>
  <c r="K19" i="96" l="1"/>
  <c r="L19" i="96" s="1"/>
  <c r="I35" i="96"/>
  <c r="H35" i="96"/>
  <c r="K35" i="96"/>
  <c r="AO62" i="93"/>
  <c r="G27" i="96" s="1"/>
  <c r="AZ62" i="58"/>
  <c r="BD65" i="58"/>
  <c r="K35" i="48"/>
  <c r="Q33" i="86"/>
  <c r="T36" i="86"/>
  <c r="S33" i="86"/>
  <c r="I35" i="48"/>
  <c r="U36" i="86"/>
  <c r="S36" i="86"/>
  <c r="BA65" i="58"/>
  <c r="I27" i="48"/>
  <c r="AT62" i="58"/>
  <c r="H27" i="48"/>
  <c r="R33" i="86"/>
  <c r="AI62" i="93"/>
  <c r="BA62" i="58"/>
  <c r="L11" i="48"/>
  <c r="BB65" i="58"/>
  <c r="AR62" i="93"/>
  <c r="J27" i="96" s="1"/>
  <c r="L19" i="48"/>
  <c r="R36" i="86"/>
  <c r="H35" i="48"/>
  <c r="AR65" i="93"/>
  <c r="J35" i="96" s="1"/>
  <c r="BE66" i="58"/>
  <c r="BE63" i="58"/>
  <c r="J35" i="48"/>
  <c r="BC65" i="58"/>
  <c r="AT63" i="93"/>
  <c r="AZ63" i="93"/>
  <c r="Q34" i="95"/>
  <c r="BD63" i="93"/>
  <c r="U34" i="95"/>
  <c r="BA65" i="93"/>
  <c r="R36" i="95"/>
  <c r="U37" i="95"/>
  <c r="BD66" i="93"/>
  <c r="BB65" i="93"/>
  <c r="S36" i="95"/>
  <c r="BA66" i="93"/>
  <c r="R37" i="95"/>
  <c r="AO65" i="93"/>
  <c r="G35" i="96" s="1"/>
  <c r="AI65" i="93"/>
  <c r="S33" i="95"/>
  <c r="BB62" i="93"/>
  <c r="V37" i="86"/>
  <c r="AT66" i="93"/>
  <c r="AZ66" i="93"/>
  <c r="Q37" i="95"/>
  <c r="T37" i="95"/>
  <c r="BC66" i="93"/>
  <c r="G35" i="48"/>
  <c r="AZ65" i="58"/>
  <c r="AT65" i="58"/>
  <c r="Q36" i="86"/>
  <c r="BC63" i="93"/>
  <c r="T34" i="95"/>
  <c r="BD62" i="93"/>
  <c r="U33" i="95"/>
  <c r="R33" i="95"/>
  <c r="BA62" i="93"/>
  <c r="S37" i="95"/>
  <c r="BB66" i="93"/>
  <c r="V34" i="86"/>
  <c r="S34" i="95"/>
  <c r="BB63" i="93"/>
  <c r="R34" i="95"/>
  <c r="BA63" i="93"/>
  <c r="BD65" i="93"/>
  <c r="U36" i="95"/>
  <c r="AZ62" i="93" l="1"/>
  <c r="Q33" i="95"/>
  <c r="BE62" i="58"/>
  <c r="V33" i="86"/>
  <c r="L11" i="96"/>
  <c r="T36" i="95"/>
  <c r="L27" i="48"/>
  <c r="AT62" i="93"/>
  <c r="T33" i="95"/>
  <c r="BC62" i="93"/>
  <c r="BE65" i="58"/>
  <c r="BE63" i="93"/>
  <c r="BC65" i="93"/>
  <c r="BE66" i="93"/>
  <c r="L35" i="48"/>
  <c r="V34" i="95"/>
  <c r="AZ65" i="93"/>
  <c r="AT65" i="93"/>
  <c r="Q36" i="95"/>
  <c r="V36" i="86"/>
  <c r="V37" i="95"/>
  <c r="V33" i="95" l="1"/>
  <c r="BE62" i="93"/>
  <c r="L27" i="96"/>
  <c r="BE65" i="93"/>
  <c r="L35" i="96"/>
  <c r="V36" i="95"/>
  <c r="R27" i="62" l="1"/>
  <c r="Z27" i="62" l="1"/>
  <c r="V27" i="62"/>
  <c r="X27" i="62"/>
  <c r="Y27" i="62"/>
  <c r="W27" i="62"/>
  <c r="AA27" i="62" l="1"/>
  <c r="I27" i="62"/>
  <c r="R26" i="62" l="1"/>
  <c r="Z26" i="62" l="1"/>
  <c r="Y26" i="62"/>
  <c r="W26" i="62"/>
  <c r="V26" i="62"/>
  <c r="I26" i="62"/>
  <c r="X26" i="62"/>
  <c r="AA26" i="62" l="1"/>
  <c r="O28" i="62" l="1"/>
  <c r="AF64" i="88" s="1"/>
  <c r="R24" i="62"/>
  <c r="R25" i="62"/>
  <c r="P28" i="62"/>
  <c r="AG64" i="88" s="1"/>
  <c r="R22" i="62"/>
  <c r="M28" i="62"/>
  <c r="AD64" i="88" s="1"/>
  <c r="R23" i="62"/>
  <c r="Q28" i="62"/>
  <c r="AH64" i="88" s="1"/>
  <c r="V23" i="62" l="1"/>
  <c r="V25" i="62"/>
  <c r="X24" i="62"/>
  <c r="W23" i="62"/>
  <c r="X23" i="62"/>
  <c r="X25" i="62"/>
  <c r="W24" i="62"/>
  <c r="X22" i="62"/>
  <c r="Y22" i="62"/>
  <c r="G28" i="62"/>
  <c r="AG64" i="58" s="1"/>
  <c r="R28" i="62"/>
  <c r="Y24" i="62"/>
  <c r="I22" i="62"/>
  <c r="V22" i="62"/>
  <c r="D28" i="62"/>
  <c r="AD64" i="58" s="1"/>
  <c r="V24" i="62"/>
  <c r="W22" i="62"/>
  <c r="E28" i="62"/>
  <c r="AE64" i="58" s="1"/>
  <c r="Z23" i="62"/>
  <c r="N28" i="62"/>
  <c r="AE64" i="88" s="1"/>
  <c r="Z24" i="62"/>
  <c r="Y23" i="62"/>
  <c r="Y25" i="62"/>
  <c r="H28" i="62"/>
  <c r="AH64" i="58" s="1"/>
  <c r="Z22" i="62"/>
  <c r="Z25" i="62"/>
  <c r="W25" i="62"/>
  <c r="AA24" i="62" l="1"/>
  <c r="X28" i="62"/>
  <c r="I25" i="62"/>
  <c r="Z28" i="62"/>
  <c r="W28" i="62"/>
  <c r="V28" i="62"/>
  <c r="AA22" i="62"/>
  <c r="F28" i="62"/>
  <c r="AF64" i="58" s="1"/>
  <c r="AA25" i="62"/>
  <c r="AR64" i="88"/>
  <c r="J12" i="91"/>
  <c r="AG70" i="88"/>
  <c r="I23" i="62"/>
  <c r="I24" i="62"/>
  <c r="Y28" i="62"/>
  <c r="I12" i="91"/>
  <c r="AQ64" i="88"/>
  <c r="AF70" i="88"/>
  <c r="AO64" i="88"/>
  <c r="G12" i="91"/>
  <c r="AD70" i="88"/>
  <c r="AA23" i="62"/>
  <c r="AS64" i="88"/>
  <c r="K12" i="91"/>
  <c r="AH70" i="88"/>
  <c r="X29" i="62" l="1"/>
  <c r="Y29" i="62"/>
  <c r="V29" i="62"/>
  <c r="Z29" i="62"/>
  <c r="W29" i="62"/>
  <c r="I28" i="62"/>
  <c r="AA28" i="62"/>
  <c r="K28" i="91"/>
  <c r="BD64" i="88"/>
  <c r="BD70" i="88" s="1"/>
  <c r="U35" i="90"/>
  <c r="AS70" i="88"/>
  <c r="J12" i="48"/>
  <c r="AR64" i="58"/>
  <c r="AG64" i="93"/>
  <c r="J12" i="96" s="1"/>
  <c r="AG70" i="58"/>
  <c r="AZ64" i="88"/>
  <c r="Q35" i="90"/>
  <c r="G28" i="91"/>
  <c r="AO70" i="88"/>
  <c r="AI64" i="58"/>
  <c r="AI70" i="58" s="1"/>
  <c r="AP64" i="58"/>
  <c r="AE64" i="93"/>
  <c r="H12" i="96" s="1"/>
  <c r="H12" i="48"/>
  <c r="AE70" i="58"/>
  <c r="H12" i="91"/>
  <c r="AP64" i="88"/>
  <c r="AE70" i="88"/>
  <c r="AI64" i="88"/>
  <c r="AI70" i="88" s="1"/>
  <c r="I28" i="91"/>
  <c r="BB64" i="88"/>
  <c r="BB70" i="88" s="1"/>
  <c r="S35" i="90"/>
  <c r="AQ70" i="88"/>
  <c r="AH64" i="93"/>
  <c r="K12" i="96" s="1"/>
  <c r="AS64" i="58"/>
  <c r="K12" i="48"/>
  <c r="AH70" i="58"/>
  <c r="T35" i="90"/>
  <c r="BC64" i="88"/>
  <c r="BC70" i="88" s="1"/>
  <c r="J28" i="91"/>
  <c r="AR70" i="88"/>
  <c r="G12" i="48"/>
  <c r="AO64" i="58"/>
  <c r="AD64" i="93"/>
  <c r="G12" i="96" s="1"/>
  <c r="AD70" i="58"/>
  <c r="AT64" i="88" l="1"/>
  <c r="AT70" i="88" s="1"/>
  <c r="AZ70" i="88"/>
  <c r="AA29" i="62"/>
  <c r="AS64" i="93"/>
  <c r="K28" i="96" s="1"/>
  <c r="AH70" i="93"/>
  <c r="AP64" i="93"/>
  <c r="H28" i="96" s="1"/>
  <c r="AE70" i="93"/>
  <c r="U41" i="90"/>
  <c r="AO64" i="93"/>
  <c r="G28" i="96" s="1"/>
  <c r="AD70" i="93"/>
  <c r="S41" i="90"/>
  <c r="AR64" i="93"/>
  <c r="J28" i="96" s="1"/>
  <c r="AG70" i="93"/>
  <c r="L12" i="91"/>
  <c r="T41" i="90"/>
  <c r="Q41" i="90"/>
  <c r="R35" i="90"/>
  <c r="V35" i="90" s="1"/>
  <c r="H28" i="91"/>
  <c r="BA64" i="88"/>
  <c r="BA70" i="88" s="1"/>
  <c r="AP70" i="88"/>
  <c r="H28" i="48"/>
  <c r="BA64" i="58"/>
  <c r="BA70" i="58" s="1"/>
  <c r="R35" i="86"/>
  <c r="AP70" i="58"/>
  <c r="Q35" i="86"/>
  <c r="G28" i="48"/>
  <c r="AZ64" i="58"/>
  <c r="AO70" i="58"/>
  <c r="BD64" i="58"/>
  <c r="BD70" i="58" s="1"/>
  <c r="U35" i="86"/>
  <c r="K28" i="48"/>
  <c r="AS70" i="58"/>
  <c r="AF64" i="93"/>
  <c r="I12" i="96" s="1"/>
  <c r="I12" i="48"/>
  <c r="AQ64" i="58"/>
  <c r="AF70" i="58"/>
  <c r="J28" i="48"/>
  <c r="T35" i="86"/>
  <c r="BC64" i="58"/>
  <c r="BC70" i="58" s="1"/>
  <c r="AR70" i="58"/>
  <c r="AI64" i="93" l="1"/>
  <c r="AI70" i="93" s="1"/>
  <c r="AT64" i="58"/>
  <c r="AT70" i="58" s="1"/>
  <c r="L28" i="91"/>
  <c r="BE64" i="88"/>
  <c r="BE70" i="88" s="1"/>
  <c r="AZ70" i="58"/>
  <c r="AQ64" i="93"/>
  <c r="I28" i="96" s="1"/>
  <c r="AF70" i="93"/>
  <c r="U41" i="86"/>
  <c r="R41" i="86"/>
  <c r="BC64" i="93"/>
  <c r="BC70" i="93" s="1"/>
  <c r="T35" i="95"/>
  <c r="AR70" i="93"/>
  <c r="U35" i="95"/>
  <c r="BD64" i="93"/>
  <c r="BD70" i="93" s="1"/>
  <c r="AS70" i="93"/>
  <c r="T41" i="86"/>
  <c r="S35" i="86"/>
  <c r="V35" i="86" s="1"/>
  <c r="BB64" i="58"/>
  <c r="BB70" i="58" s="1"/>
  <c r="I28" i="48"/>
  <c r="AQ70" i="58"/>
  <c r="Q41" i="86"/>
  <c r="R41" i="90"/>
  <c r="V41" i="90" s="1"/>
  <c r="AZ64" i="93"/>
  <c r="Q35" i="95"/>
  <c r="AO70" i="93"/>
  <c r="R35" i="95"/>
  <c r="BA64" i="93"/>
  <c r="BA70" i="93" s="1"/>
  <c r="AP70" i="93"/>
  <c r="L12" i="48"/>
  <c r="AT64" i="93" l="1"/>
  <c r="AT70" i="93" s="1"/>
  <c r="BE64" i="58"/>
  <c r="BE70" i="58" s="1"/>
  <c r="AZ70" i="93"/>
  <c r="Q41" i="95"/>
  <c r="L28" i="48"/>
  <c r="R41" i="95"/>
  <c r="S41" i="86"/>
  <c r="T41" i="95"/>
  <c r="U41" i="95"/>
  <c r="L12" i="96"/>
  <c r="BB64" i="93"/>
  <c r="BB70" i="93" s="1"/>
  <c r="S35" i="95"/>
  <c r="AQ70" i="93"/>
  <c r="L28" i="96" l="1"/>
  <c r="BE64" i="93"/>
  <c r="BE70" i="93" s="1"/>
  <c r="V41" i="86"/>
  <c r="S41" i="95"/>
  <c r="V41" i="95" s="1"/>
  <c r="V35" i="95"/>
  <c r="AO20" i="58" l="1"/>
  <c r="AP24" i="58"/>
  <c r="R19" i="86" l="1"/>
  <c r="BA24" i="58"/>
  <c r="AO20" i="93"/>
  <c r="AO10" i="58"/>
  <c r="AP24" i="93" l="1"/>
  <c r="Q15" i="86"/>
  <c r="AZ20" i="58"/>
  <c r="R19" i="95" l="1"/>
  <c r="AZ10" i="58"/>
  <c r="Q10" i="86"/>
  <c r="AZ20" i="93"/>
  <c r="Q15" i="95"/>
  <c r="BA24" i="93"/>
  <c r="AO19" i="58" l="1"/>
  <c r="AO19" i="93" l="1"/>
  <c r="Q14" i="86" l="1"/>
  <c r="AZ19" i="58"/>
  <c r="AZ19" i="93" l="1"/>
  <c r="Q14" i="95"/>
  <c r="AQ24" i="58" l="1"/>
  <c r="S19" i="86" l="1"/>
  <c r="V19" i="86" s="1"/>
  <c r="BB24" i="58"/>
  <c r="BE24" i="58" s="1"/>
  <c r="AT24" i="58"/>
  <c r="AI24" i="58"/>
  <c r="AQ24" i="93" l="1"/>
  <c r="AI24" i="93"/>
  <c r="S19" i="95" l="1"/>
  <c r="V19" i="95" s="1"/>
  <c r="BB24" i="93"/>
  <c r="BE24" i="93" s="1"/>
  <c r="AT24" i="93"/>
  <c r="AP19" i="58" l="1"/>
  <c r="AP20" i="58" l="1"/>
  <c r="AD31" i="58"/>
  <c r="AO30" i="58"/>
  <c r="AP19" i="93"/>
  <c r="AQ19" i="58"/>
  <c r="AQ19" i="93" l="1"/>
  <c r="BA19" i="58"/>
  <c r="R14" i="86"/>
  <c r="AE31" i="58"/>
  <c r="AP30" i="58"/>
  <c r="Q20" i="86"/>
  <c r="AZ30" i="58"/>
  <c r="AO31" i="58"/>
  <c r="AQ20" i="58"/>
  <c r="AO30" i="88"/>
  <c r="G8" i="91"/>
  <c r="AP20" i="93"/>
  <c r="AR19" i="58"/>
  <c r="AR19" i="93" l="1"/>
  <c r="AO31" i="88"/>
  <c r="G24" i="91" s="1"/>
  <c r="Q20" i="90"/>
  <c r="AZ30" i="88"/>
  <c r="R14" i="95"/>
  <c r="BA19" i="93"/>
  <c r="AP30" i="93"/>
  <c r="AE31" i="93"/>
  <c r="BA30" i="58"/>
  <c r="BA31" i="58" s="1"/>
  <c r="R20" i="86"/>
  <c r="AP31" i="58"/>
  <c r="BB19" i="58"/>
  <c r="S14" i="86"/>
  <c r="AR20" i="58"/>
  <c r="AD31" i="93"/>
  <c r="AO30" i="93"/>
  <c r="AQ20" i="93"/>
  <c r="AZ31" i="58"/>
  <c r="AP30" i="88"/>
  <c r="H8" i="91"/>
  <c r="R15" i="86"/>
  <c r="BA20" i="58"/>
  <c r="AF31" i="58"/>
  <c r="AQ30" i="58"/>
  <c r="AQ30" i="93" l="1"/>
  <c r="AF31" i="93"/>
  <c r="R20" i="90"/>
  <c r="AP31" i="88"/>
  <c r="H24" i="91" s="1"/>
  <c r="BA30" i="88"/>
  <c r="BA31" i="88" s="1"/>
  <c r="AZ31" i="88"/>
  <c r="BC19" i="58"/>
  <c r="T14" i="86"/>
  <c r="AQ30" i="88"/>
  <c r="I8" i="91"/>
  <c r="AO31" i="93"/>
  <c r="Q20" i="95"/>
  <c r="AZ30" i="93"/>
  <c r="AR20" i="93"/>
  <c r="AP31" i="93"/>
  <c r="BA30" i="93"/>
  <c r="BA31" i="93" s="1"/>
  <c r="R20" i="95"/>
  <c r="BB30" i="58"/>
  <c r="BB31" i="58" s="1"/>
  <c r="S20" i="86"/>
  <c r="AQ31" i="58"/>
  <c r="BB20" i="58"/>
  <c r="S15" i="86"/>
  <c r="BB19" i="93"/>
  <c r="S14" i="95"/>
  <c r="R15" i="95"/>
  <c r="BA20" i="93"/>
  <c r="AR30" i="58"/>
  <c r="AG31" i="58"/>
  <c r="AS19" i="58"/>
  <c r="AS20" i="58" l="1"/>
  <c r="AR30" i="93"/>
  <c r="AG31" i="93"/>
  <c r="AR30" i="88"/>
  <c r="J8" i="91"/>
  <c r="AZ31" i="93"/>
  <c r="AQ31" i="88"/>
  <c r="I24" i="91" s="1"/>
  <c r="S20" i="90"/>
  <c r="BB30" i="88"/>
  <c r="T20" i="86"/>
  <c r="AR31" i="58"/>
  <c r="BC30" i="58"/>
  <c r="T14" i="95"/>
  <c r="BC19" i="93"/>
  <c r="BB20" i="93"/>
  <c r="S15" i="95"/>
  <c r="AS19" i="93"/>
  <c r="AI19" i="58"/>
  <c r="BC20" i="58"/>
  <c r="T15" i="86"/>
  <c r="AQ31" i="93"/>
  <c r="S20" i="95"/>
  <c r="BB30" i="93"/>
  <c r="BB31" i="93" s="1"/>
  <c r="AI19" i="93" l="1"/>
  <c r="AR31" i="88"/>
  <c r="J24" i="91" s="1"/>
  <c r="T20" i="90"/>
  <c r="BC30" i="88"/>
  <c r="BC31" i="88" s="1"/>
  <c r="T15" i="95"/>
  <c r="BC20" i="93"/>
  <c r="BB31" i="88"/>
  <c r="BD19" i="58"/>
  <c r="U14" i="86"/>
  <c r="AT19" i="58"/>
  <c r="BC31" i="58"/>
  <c r="AS30" i="58"/>
  <c r="AH31" i="58"/>
  <c r="AI30" i="58"/>
  <c r="AI31" i="58" s="1"/>
  <c r="AS20" i="93"/>
  <c r="AI20" i="58"/>
  <c r="AR31" i="93"/>
  <c r="BC30" i="93"/>
  <c r="BC31" i="93" s="1"/>
  <c r="T20" i="95"/>
  <c r="AS31" i="58" l="1"/>
  <c r="U20" i="86"/>
  <c r="BD30" i="58"/>
  <c r="AT30" i="58"/>
  <c r="AT31" i="58" s="1"/>
  <c r="BE19" i="58"/>
  <c r="BD19" i="93"/>
  <c r="U14" i="95"/>
  <c r="AT19" i="93"/>
  <c r="BD20" i="58"/>
  <c r="BE20" i="58" s="1"/>
  <c r="U15" i="86"/>
  <c r="AT20" i="58"/>
  <c r="AS30" i="93"/>
  <c r="AH31" i="93"/>
  <c r="AI30" i="93"/>
  <c r="AI31" i="93" s="1"/>
  <c r="AI20" i="93"/>
  <c r="V14" i="86"/>
  <c r="AS30" i="88"/>
  <c r="K8" i="91"/>
  <c r="AI30" i="88"/>
  <c r="AI31" i="88" s="1"/>
  <c r="L8" i="91" l="1"/>
  <c r="AS31" i="88"/>
  <c r="K24" i="91" s="1"/>
  <c r="U20" i="90"/>
  <c r="BD30" i="88"/>
  <c r="AT30" i="88"/>
  <c r="AT31" i="88" s="1"/>
  <c r="BD20" i="93"/>
  <c r="BE20" i="93" s="1"/>
  <c r="U15" i="95"/>
  <c r="AT20" i="93"/>
  <c r="V15" i="86"/>
  <c r="V14" i="95"/>
  <c r="AS31" i="93"/>
  <c r="BD30" i="93"/>
  <c r="U20" i="95"/>
  <c r="AT30" i="93"/>
  <c r="AT31" i="93" s="1"/>
  <c r="BE19" i="93"/>
  <c r="BD31" i="58"/>
  <c r="BE30" i="58"/>
  <c r="BE31" i="58" s="1"/>
  <c r="V20" i="86"/>
  <c r="AP10" i="58" l="1"/>
  <c r="L24" i="91"/>
  <c r="V20" i="95"/>
  <c r="BD31" i="93"/>
  <c r="BE30" i="93"/>
  <c r="BE31" i="93" s="1"/>
  <c r="BD31" i="88"/>
  <c r="BE30" i="88"/>
  <c r="BE31" i="88" s="1"/>
  <c r="AO10" i="88"/>
  <c r="V15" i="95"/>
  <c r="V20" i="90"/>
  <c r="AO21" i="58"/>
  <c r="AD25" i="58"/>
  <c r="G8" i="48" s="1"/>
  <c r="AO25" i="58" l="1"/>
  <c r="G24" i="48" s="1"/>
  <c r="AP21" i="58"/>
  <c r="AE25" i="58"/>
  <c r="H8" i="48" s="1"/>
  <c r="AO21" i="93"/>
  <c r="AD25" i="93"/>
  <c r="G8" i="96" s="1"/>
  <c r="AZ21" i="58"/>
  <c r="AZ25" i="58" s="1"/>
  <c r="Q16" i="86"/>
  <c r="AO38" i="88"/>
  <c r="AO10" i="93"/>
  <c r="AD12" i="88"/>
  <c r="G9" i="91" s="1"/>
  <c r="AQ10" i="58"/>
  <c r="AO25" i="93" l="1"/>
  <c r="G24" i="96" s="1"/>
  <c r="AP25" i="58"/>
  <c r="H24" i="48" s="1"/>
  <c r="AP10" i="93"/>
  <c r="AP10" i="88"/>
  <c r="AQ10" i="88"/>
  <c r="AP38" i="88"/>
  <c r="BA10" i="58"/>
  <c r="R10" i="86"/>
  <c r="AP45" i="88"/>
  <c r="AO45" i="58"/>
  <c r="AQ21" i="58"/>
  <c r="AF25" i="58"/>
  <c r="I8" i="48" s="1"/>
  <c r="AP21" i="93"/>
  <c r="AE25" i="93"/>
  <c r="H8" i="96" s="1"/>
  <c r="AO38" i="58"/>
  <c r="AO11" i="88"/>
  <c r="AD12" i="58"/>
  <c r="AO11" i="58"/>
  <c r="AO45" i="88"/>
  <c r="AZ21" i="93"/>
  <c r="AZ25" i="93" s="1"/>
  <c r="Q16" i="95"/>
  <c r="AP11" i="88"/>
  <c r="AZ10" i="88"/>
  <c r="Q10" i="90"/>
  <c r="AR10" i="58"/>
  <c r="BA21" i="58"/>
  <c r="BA25" i="58" s="1"/>
  <c r="R16" i="86"/>
  <c r="AP25" i="93" l="1"/>
  <c r="H24" i="96" s="1"/>
  <c r="AQ25" i="58"/>
  <c r="I24" i="48" s="1"/>
  <c r="AO12" i="88"/>
  <c r="G25" i="91" s="1"/>
  <c r="AQ10" i="93"/>
  <c r="AE12" i="88"/>
  <c r="H9" i="91" s="1"/>
  <c r="AO45" i="93"/>
  <c r="AQ21" i="93"/>
  <c r="AF25" i="93"/>
  <c r="I8" i="96" s="1"/>
  <c r="BB10" i="58"/>
  <c r="S10" i="86"/>
  <c r="BA10" i="93"/>
  <c r="R10" i="95"/>
  <c r="AQ11" i="88"/>
  <c r="AO54" i="88"/>
  <c r="AP45" i="58"/>
  <c r="AD12" i="93"/>
  <c r="G9" i="96" s="1"/>
  <c r="AO11" i="93"/>
  <c r="R23" i="90"/>
  <c r="BA38" i="88"/>
  <c r="AQ38" i="88"/>
  <c r="AZ45" i="88"/>
  <c r="Q25" i="90"/>
  <c r="G9" i="48"/>
  <c r="BA21" i="93"/>
  <c r="BA25" i="93" s="1"/>
  <c r="R16" i="95"/>
  <c r="AZ10" i="93"/>
  <c r="Q10" i="95"/>
  <c r="AP11" i="58"/>
  <c r="AE12" i="58"/>
  <c r="AP12" i="88"/>
  <c r="BA10" i="88"/>
  <c r="R10" i="90"/>
  <c r="AR10" i="88"/>
  <c r="AP38" i="58"/>
  <c r="R11" i="90"/>
  <c r="BA11" i="88"/>
  <c r="BB21" i="58"/>
  <c r="BB25" i="58" s="1"/>
  <c r="S16" i="86"/>
  <c r="AR21" i="58"/>
  <c r="AG25" i="58"/>
  <c r="J8" i="48" s="1"/>
  <c r="Q11" i="86"/>
  <c r="AZ11" i="58"/>
  <c r="AZ12" i="58" s="1"/>
  <c r="AO12" i="58"/>
  <c r="AZ11" i="88"/>
  <c r="AZ12" i="88" s="1"/>
  <c r="Q11" i="90"/>
  <c r="Q23" i="90"/>
  <c r="AZ38" i="88"/>
  <c r="AZ45" i="58"/>
  <c r="Q25" i="86"/>
  <c r="R25" i="90"/>
  <c r="BA45" i="88"/>
  <c r="AO54" i="58"/>
  <c r="AO38" i="93" l="1"/>
  <c r="AO12" i="93"/>
  <c r="G25" i="96" s="1"/>
  <c r="AQ25" i="93"/>
  <c r="I24" i="96" s="1"/>
  <c r="AR25" i="58"/>
  <c r="J24" i="48" s="1"/>
  <c r="BA12" i="88"/>
  <c r="AS10" i="58"/>
  <c r="H9" i="48"/>
  <c r="T10" i="86"/>
  <c r="BC10" i="58"/>
  <c r="R25" i="86"/>
  <c r="BA45" i="58"/>
  <c r="AG12" i="88"/>
  <c r="AQ38" i="58"/>
  <c r="AQ45" i="58"/>
  <c r="AF12" i="88"/>
  <c r="AR21" i="93"/>
  <c r="AG25" i="93"/>
  <c r="J8" i="96" s="1"/>
  <c r="AE12" i="93"/>
  <c r="H9" i="96" s="1"/>
  <c r="AP11" i="93"/>
  <c r="S23" i="90"/>
  <c r="BB38" i="88"/>
  <c r="Q11" i="95"/>
  <c r="AZ11" i="93"/>
  <c r="AZ12" i="93" s="1"/>
  <c r="AP45" i="93"/>
  <c r="BB21" i="93"/>
  <c r="BB25" i="93" s="1"/>
  <c r="S16" i="95"/>
  <c r="Q25" i="95"/>
  <c r="AZ45" i="93"/>
  <c r="AR38" i="88"/>
  <c r="AO54" i="93"/>
  <c r="AQ12" i="88"/>
  <c r="S10" i="90"/>
  <c r="BB10" i="88"/>
  <c r="G25" i="48"/>
  <c r="T16" i="86"/>
  <c r="BC21" i="58"/>
  <c r="BC25" i="58" s="1"/>
  <c r="AP54" i="88"/>
  <c r="AQ45" i="88"/>
  <c r="R11" i="86"/>
  <c r="BA11" i="58"/>
  <c r="BA12" i="58" s="1"/>
  <c r="AP12" i="58"/>
  <c r="AZ38" i="58"/>
  <c r="Q23" i="86"/>
  <c r="BB11" i="88"/>
  <c r="S11" i="90"/>
  <c r="AR45" i="88"/>
  <c r="AQ11" i="58"/>
  <c r="AF12" i="58"/>
  <c r="S10" i="95"/>
  <c r="BB10" i="93"/>
  <c r="H25" i="91"/>
  <c r="AR10" i="93"/>
  <c r="AP54" i="58"/>
  <c r="AP38" i="93" l="1"/>
  <c r="AD81" i="93"/>
  <c r="BB12" i="88"/>
  <c r="AR25" i="93"/>
  <c r="J24" i="96" s="1"/>
  <c r="BC21" i="93"/>
  <c r="BC25" i="93" s="1"/>
  <c r="T16" i="95"/>
  <c r="J9" i="91"/>
  <c r="AS38" i="88"/>
  <c r="AQ54" i="88"/>
  <c r="AR38" i="58"/>
  <c r="T10" i="90"/>
  <c r="BC10" i="88"/>
  <c r="H25" i="48"/>
  <c r="BB45" i="88"/>
  <c r="S25" i="90"/>
  <c r="I25" i="91"/>
  <c r="AG12" i="58"/>
  <c r="AR11" i="58"/>
  <c r="R25" i="95"/>
  <c r="BA45" i="93"/>
  <c r="S25" i="86"/>
  <c r="BB45" i="58"/>
  <c r="AR11" i="88"/>
  <c r="AZ54" i="88"/>
  <c r="Q29" i="90"/>
  <c r="AS21" i="58"/>
  <c r="AH25" i="58"/>
  <c r="K8" i="48" s="1"/>
  <c r="AI21" i="58"/>
  <c r="AI25" i="58" s="1"/>
  <c r="AP54" i="93"/>
  <c r="S11" i="86"/>
  <c r="BB11" i="58"/>
  <c r="BB12" i="58" s="1"/>
  <c r="AQ12" i="58"/>
  <c r="BC45" i="88"/>
  <c r="T25" i="90"/>
  <c r="AR45" i="58"/>
  <c r="Q29" i="86"/>
  <c r="AZ54" i="58"/>
  <c r="R23" i="86"/>
  <c r="BA38" i="58"/>
  <c r="R11" i="95"/>
  <c r="BA11" i="93"/>
  <c r="BA12" i="93" s="1"/>
  <c r="AP12" i="93"/>
  <c r="H25" i="96" s="1"/>
  <c r="I9" i="91"/>
  <c r="AI10" i="58"/>
  <c r="AZ38" i="93"/>
  <c r="Q23" i="95"/>
  <c r="I9" i="48"/>
  <c r="AQ11" i="93"/>
  <c r="AF12" i="93"/>
  <c r="I9" i="96" s="1"/>
  <c r="AQ45" i="93"/>
  <c r="AQ38" i="93" l="1"/>
  <c r="AE81" i="93"/>
  <c r="AS25" i="58"/>
  <c r="K24" i="48" s="1"/>
  <c r="AS10" i="88"/>
  <c r="AS21" i="93"/>
  <c r="AH25" i="93"/>
  <c r="K8" i="96" s="1"/>
  <c r="AI21" i="93"/>
  <c r="AI25" i="93" s="1"/>
  <c r="AR54" i="88"/>
  <c r="BB38" i="58"/>
  <c r="S23" i="86"/>
  <c r="BA38" i="93"/>
  <c r="R23" i="95"/>
  <c r="T23" i="90"/>
  <c r="BC38" i="88"/>
  <c r="AT38" i="88"/>
  <c r="L8" i="48"/>
  <c r="AR11" i="93"/>
  <c r="R29" i="90"/>
  <c r="BA54" i="88"/>
  <c r="S29" i="90"/>
  <c r="BB54" i="88"/>
  <c r="Q29" i="95"/>
  <c r="AZ54" i="93"/>
  <c r="AS45" i="58"/>
  <c r="I25" i="48"/>
  <c r="J9" i="48"/>
  <c r="U23" i="90"/>
  <c r="BD38" i="88"/>
  <c r="AS45" i="88"/>
  <c r="AI45" i="88"/>
  <c r="BB11" i="93"/>
  <c r="BB12" i="93" s="1"/>
  <c r="S11" i="95"/>
  <c r="AQ12" i="93"/>
  <c r="I25" i="96" s="1"/>
  <c r="AR45" i="93"/>
  <c r="BD21" i="58"/>
  <c r="BD25" i="58" s="1"/>
  <c r="U16" i="86"/>
  <c r="AT21" i="58"/>
  <c r="AT25" i="58" s="1"/>
  <c r="AG12" i="93"/>
  <c r="J9" i="96" s="1"/>
  <c r="R29" i="86"/>
  <c r="BA54" i="58"/>
  <c r="BC11" i="88"/>
  <c r="BC12" i="88" s="1"/>
  <c r="T11" i="90"/>
  <c r="AQ54" i="58"/>
  <c r="AS38" i="58"/>
  <c r="BB45" i="93"/>
  <c r="S25" i="95"/>
  <c r="U10" i="86"/>
  <c r="BD10" i="58"/>
  <c r="AT10" i="58"/>
  <c r="AI38" i="88"/>
  <c r="BC45" i="58"/>
  <c r="T25" i="86"/>
  <c r="AI10" i="88"/>
  <c r="T11" i="86"/>
  <c r="BC11" i="58"/>
  <c r="BC12" i="58" s="1"/>
  <c r="AR12" i="58"/>
  <c r="AR12" i="88"/>
  <c r="BC10" i="93"/>
  <c r="T10" i="95"/>
  <c r="AR38" i="93" l="1"/>
  <c r="AS10" i="93"/>
  <c r="AT10" i="93" s="1"/>
  <c r="AS25" i="93"/>
  <c r="K24" i="96" s="1"/>
  <c r="AR12" i="93"/>
  <c r="J25" i="96" s="1"/>
  <c r="AI10" i="93"/>
  <c r="U25" i="90"/>
  <c r="BD45" i="88"/>
  <c r="BE45" i="88" s="1"/>
  <c r="AT45" i="88"/>
  <c r="BD45" i="58"/>
  <c r="BE45" i="58" s="1"/>
  <c r="U25" i="86"/>
  <c r="V25" i="86" s="1"/>
  <c r="BB38" i="93"/>
  <c r="S23" i="95"/>
  <c r="AH12" i="88"/>
  <c r="AS11" i="88"/>
  <c r="AI11" i="88"/>
  <c r="AI12" i="88" s="1"/>
  <c r="T11" i="95"/>
  <c r="BC11" i="93"/>
  <c r="BC12" i="93" s="1"/>
  <c r="L8" i="96"/>
  <c r="U16" i="95"/>
  <c r="BD21" i="93"/>
  <c r="BD25" i="93" s="1"/>
  <c r="AT21" i="93"/>
  <c r="AT25" i="93" s="1"/>
  <c r="AS54" i="88"/>
  <c r="J25" i="91"/>
  <c r="J25" i="48"/>
  <c r="U10" i="90"/>
  <c r="BD10" i="88"/>
  <c r="AT10" i="88"/>
  <c r="L24" i="48"/>
  <c r="R29" i="95"/>
  <c r="BA54" i="93"/>
  <c r="BC45" i="93"/>
  <c r="T25" i="95"/>
  <c r="BE38" i="88"/>
  <c r="V10" i="86"/>
  <c r="BE21" i="58"/>
  <c r="BE25" i="58" s="1"/>
  <c r="AR54" i="58"/>
  <c r="AS54" i="58"/>
  <c r="AT45" i="58"/>
  <c r="BE10" i="58"/>
  <c r="BC38" i="58"/>
  <c r="T23" i="86"/>
  <c r="V16" i="86"/>
  <c r="AI45" i="93"/>
  <c r="AS45" i="93"/>
  <c r="V23" i="90"/>
  <c r="AS11" i="58"/>
  <c r="AI11" i="58"/>
  <c r="AI12" i="58" s="1"/>
  <c r="AH12" i="58"/>
  <c r="U10" i="95" l="1"/>
  <c r="V10" i="95" s="1"/>
  <c r="AQ54" i="93"/>
  <c r="AF81" i="93"/>
  <c r="AS38" i="93"/>
  <c r="BD10" i="93"/>
  <c r="BE10" i="93" s="1"/>
  <c r="AT54" i="58"/>
  <c r="AI54" i="88"/>
  <c r="K9" i="48"/>
  <c r="BE21" i="93"/>
  <c r="BE25" i="93" s="1"/>
  <c r="BC54" i="88"/>
  <c r="T29" i="90"/>
  <c r="AT54" i="88"/>
  <c r="AS12" i="88"/>
  <c r="U11" i="90"/>
  <c r="BD11" i="88"/>
  <c r="BE11" i="88" s="1"/>
  <c r="AT11" i="88"/>
  <c r="AT12" i="88" s="1"/>
  <c r="T23" i="95"/>
  <c r="BC38" i="93"/>
  <c r="U23" i="86"/>
  <c r="BD38" i="58"/>
  <c r="BE38" i="58" s="1"/>
  <c r="AS54" i="93"/>
  <c r="BE10" i="88"/>
  <c r="BD54" i="88"/>
  <c r="U29" i="90"/>
  <c r="V16" i="95"/>
  <c r="K9" i="91"/>
  <c r="V25" i="90"/>
  <c r="AI38" i="93"/>
  <c r="BD11" i="58"/>
  <c r="U11" i="86"/>
  <c r="AT11" i="58"/>
  <c r="AT12" i="58" s="1"/>
  <c r="AS12" i="58"/>
  <c r="L24" i="96"/>
  <c r="AH12" i="93"/>
  <c r="K9" i="96" s="1"/>
  <c r="AS11" i="93"/>
  <c r="AI11" i="93"/>
  <c r="AI12" i="93" s="1"/>
  <c r="AT45" i="93"/>
  <c r="U25" i="95"/>
  <c r="BD45" i="93"/>
  <c r="BE45" i="93" s="1"/>
  <c r="BB54" i="58"/>
  <c r="S29" i="86"/>
  <c r="V10" i="90"/>
  <c r="AT38" i="58"/>
  <c r="AR54" i="93" l="1"/>
  <c r="AG81" i="93"/>
  <c r="AH81" i="93"/>
  <c r="BD12" i="88"/>
  <c r="BE12" i="88"/>
  <c r="BE54" i="88"/>
  <c r="U11" i="95"/>
  <c r="BD11" i="93"/>
  <c r="AT11" i="93"/>
  <c r="AT12" i="93" s="1"/>
  <c r="AS12" i="93"/>
  <c r="K25" i="96" s="1"/>
  <c r="BD54" i="58"/>
  <c r="U29" i="86"/>
  <c r="L9" i="48"/>
  <c r="V11" i="86"/>
  <c r="BB54" i="93"/>
  <c r="S29" i="95"/>
  <c r="V11" i="90"/>
  <c r="BE11" i="58"/>
  <c r="BE12" i="58" s="1"/>
  <c r="BD12" i="58"/>
  <c r="K25" i="91"/>
  <c r="AI54" i="93"/>
  <c r="T29" i="86"/>
  <c r="BC54" i="58"/>
  <c r="K25" i="48"/>
  <c r="BD38" i="93"/>
  <c r="BE38" i="93" s="1"/>
  <c r="U23" i="95"/>
  <c r="AT38" i="93"/>
  <c r="L9" i="91"/>
  <c r="V23" i="86"/>
  <c r="V29" i="90"/>
  <c r="V25" i="95"/>
  <c r="AI81" i="93" l="1"/>
  <c r="V29" i="86"/>
  <c r="BE54" i="58"/>
  <c r="V23" i="95"/>
  <c r="BC54" i="93"/>
  <c r="T29" i="95"/>
  <c r="BE11" i="93"/>
  <c r="BE12" i="93" s="1"/>
  <c r="BD12" i="93"/>
  <c r="L25" i="91"/>
  <c r="L25" i="48"/>
  <c r="BD54" i="93"/>
  <c r="U29" i="95"/>
  <c r="AT54" i="93"/>
  <c r="L9" i="96"/>
  <c r="V11" i="95"/>
  <c r="BE54" i="93" l="1"/>
  <c r="L25" i="96"/>
  <c r="V29" i="95"/>
  <c r="K24" i="60" l="1"/>
  <c r="F25" i="60"/>
  <c r="F26" i="60" l="1"/>
  <c r="Q25" i="60"/>
  <c r="G25" i="60"/>
  <c r="G26" i="60" s="1"/>
  <c r="G36" i="60" l="1"/>
  <c r="F36" i="60"/>
  <c r="Q26" i="60"/>
  <c r="R25" i="60"/>
  <c r="R26" i="60" s="1"/>
  <c r="H25" i="60"/>
  <c r="H26" i="60" s="1"/>
  <c r="F41" i="60" l="1"/>
  <c r="F38" i="60"/>
  <c r="Q36" i="60"/>
  <c r="R36" i="60"/>
  <c r="H36" i="60"/>
  <c r="G41" i="60"/>
  <c r="G38" i="60"/>
  <c r="S25" i="60"/>
  <c r="S26" i="60" s="1"/>
  <c r="I25" i="60"/>
  <c r="I26" i="60" s="1"/>
  <c r="J25" i="60"/>
  <c r="J26" i="60" s="1"/>
  <c r="K25" i="60" l="1"/>
  <c r="K26" i="60" s="1"/>
  <c r="G43" i="60"/>
  <c r="G44" i="60" s="1"/>
  <c r="R41" i="60"/>
  <c r="R38" i="60"/>
  <c r="I36" i="60"/>
  <c r="F43" i="60"/>
  <c r="F44" i="60" s="1"/>
  <c r="J36" i="60"/>
  <c r="S36" i="60"/>
  <c r="H41" i="60"/>
  <c r="H38" i="60"/>
  <c r="Q41" i="60"/>
  <c r="Q38" i="60"/>
  <c r="T25" i="60"/>
  <c r="T26" i="60" s="1"/>
  <c r="H43" i="60" l="1"/>
  <c r="H44" i="60" s="1"/>
  <c r="F52" i="60"/>
  <c r="R43" i="60"/>
  <c r="R44" i="60" s="1"/>
  <c r="J41" i="60"/>
  <c r="J38" i="60"/>
  <c r="I41" i="60"/>
  <c r="I38" i="60"/>
  <c r="K36" i="60"/>
  <c r="K38" i="60" s="1"/>
  <c r="G52" i="60"/>
  <c r="T36" i="60"/>
  <c r="Q43" i="60"/>
  <c r="Q44" i="60" s="1"/>
  <c r="S41" i="60"/>
  <c r="S38" i="60"/>
  <c r="U25" i="60"/>
  <c r="U26" i="60" s="1"/>
  <c r="K41" i="60" l="1"/>
  <c r="K43" i="60" s="1"/>
  <c r="K44" i="60" s="1"/>
  <c r="Q52" i="60"/>
  <c r="S44" i="60"/>
  <c r="S43" i="60"/>
  <c r="I43" i="60"/>
  <c r="I44" i="60" s="1"/>
  <c r="T41" i="60"/>
  <c r="T38" i="60"/>
  <c r="V25" i="60"/>
  <c r="V26" i="60" s="1"/>
  <c r="U36" i="60"/>
  <c r="R52" i="60"/>
  <c r="AP53" i="58"/>
  <c r="J43" i="60"/>
  <c r="J44" i="60" s="1"/>
  <c r="H52" i="60"/>
  <c r="U41" i="60" l="1"/>
  <c r="U38" i="60"/>
  <c r="AO44" i="58"/>
  <c r="G16" i="48"/>
  <c r="G78" i="60"/>
  <c r="V36" i="60"/>
  <c r="AP44" i="58"/>
  <c r="H16" i="48"/>
  <c r="AQ53" i="58"/>
  <c r="S52" i="60"/>
  <c r="J52" i="60"/>
  <c r="AP37" i="58"/>
  <c r="R28" i="86"/>
  <c r="BA53" i="58"/>
  <c r="AP52" i="58"/>
  <c r="T43" i="60"/>
  <c r="T44" i="60" s="1"/>
  <c r="V41" i="60"/>
  <c r="V43" i="60" s="1"/>
  <c r="F78" i="60"/>
  <c r="I52" i="60"/>
  <c r="K50" i="60"/>
  <c r="K52" i="60" s="1"/>
  <c r="AO44" i="93" l="1"/>
  <c r="AD46" i="93"/>
  <c r="G16" i="96" s="1"/>
  <c r="Q78" i="60"/>
  <c r="AR53" i="58"/>
  <c r="R27" i="86"/>
  <c r="BA52" i="58"/>
  <c r="R22" i="86"/>
  <c r="BA37" i="58"/>
  <c r="K75" i="60"/>
  <c r="AQ37" i="58"/>
  <c r="AQ44" i="58"/>
  <c r="I16" i="48"/>
  <c r="AE46" i="93"/>
  <c r="H16" i="96" s="1"/>
  <c r="AP44" i="93"/>
  <c r="AP44" i="88"/>
  <c r="AE46" i="88"/>
  <c r="AQ52" i="58"/>
  <c r="T52" i="60"/>
  <c r="R78" i="60"/>
  <c r="S28" i="86"/>
  <c r="BB53" i="58"/>
  <c r="V38" i="60"/>
  <c r="V44" i="60" s="1"/>
  <c r="AO44" i="88"/>
  <c r="AD46" i="88"/>
  <c r="G16" i="91" s="1"/>
  <c r="AS53" i="58"/>
  <c r="AP53" i="88"/>
  <c r="AP53" i="93"/>
  <c r="BA44" i="58"/>
  <c r="BA46" i="58" s="1"/>
  <c r="R24" i="86"/>
  <c r="AP46" i="58"/>
  <c r="H32" i="48" s="1"/>
  <c r="AZ44" i="58"/>
  <c r="Q24" i="86"/>
  <c r="AO46" i="58"/>
  <c r="G32" i="48" s="1"/>
  <c r="K76" i="60"/>
  <c r="U43" i="60"/>
  <c r="U44" i="60" s="1"/>
  <c r="H78" i="60"/>
  <c r="BA53" i="88" l="1"/>
  <c r="R28" i="90"/>
  <c r="S27" i="86"/>
  <c r="BB52" i="58"/>
  <c r="H16" i="91"/>
  <c r="AQ53" i="88"/>
  <c r="AQ53" i="93"/>
  <c r="AQ44" i="93"/>
  <c r="AF46" i="93"/>
  <c r="I16" i="96" s="1"/>
  <c r="S78" i="60"/>
  <c r="F105" i="60"/>
  <c r="AQ44" i="88"/>
  <c r="AF46" i="88"/>
  <c r="U28" i="86"/>
  <c r="BD53" i="58"/>
  <c r="AO53" i="58"/>
  <c r="AP37" i="88"/>
  <c r="AP37" i="93"/>
  <c r="BA44" i="88"/>
  <c r="BA46" i="88" s="1"/>
  <c r="R24" i="90"/>
  <c r="AP46" i="88"/>
  <c r="H32" i="91" s="1"/>
  <c r="BB37" i="58"/>
  <c r="S22" i="86"/>
  <c r="U52" i="60"/>
  <c r="V50" i="60"/>
  <c r="V52" i="60" s="1"/>
  <c r="AZ46" i="58"/>
  <c r="AR37" i="58"/>
  <c r="AO46" i="88"/>
  <c r="G32" i="91" s="1"/>
  <c r="Q24" i="90"/>
  <c r="AZ44" i="88"/>
  <c r="G105" i="60"/>
  <c r="AO52" i="58"/>
  <c r="R24" i="95"/>
  <c r="BA44" i="93"/>
  <c r="BA46" i="93" s="1"/>
  <c r="AP46" i="93"/>
  <c r="H32" i="96" s="1"/>
  <c r="AS52" i="58"/>
  <c r="AQ46" i="58"/>
  <c r="I32" i="48" s="1"/>
  <c r="BB44" i="58"/>
  <c r="BB46" i="58" s="1"/>
  <c r="S24" i="86"/>
  <c r="K16" i="48"/>
  <c r="AS44" i="58"/>
  <c r="T28" i="86"/>
  <c r="BC53" i="58"/>
  <c r="AO46" i="93"/>
  <c r="G32" i="96" s="1"/>
  <c r="AZ44" i="93"/>
  <c r="Q24" i="95"/>
  <c r="BA53" i="93"/>
  <c r="R28" i="95"/>
  <c r="AR52" i="58"/>
  <c r="I78" i="60"/>
  <c r="K74" i="60"/>
  <c r="K78" i="60" s="1"/>
  <c r="AP52" i="88"/>
  <c r="AP52" i="93"/>
  <c r="J78" i="60"/>
  <c r="J16" i="48"/>
  <c r="AR44" i="58"/>
  <c r="V76" i="60"/>
  <c r="AS37" i="58"/>
  <c r="AT44" i="58" l="1"/>
  <c r="AT46" i="58" s="1"/>
  <c r="AZ52" i="58"/>
  <c r="Q27" i="86"/>
  <c r="AT52" i="58"/>
  <c r="AZ46" i="93"/>
  <c r="U27" i="86"/>
  <c r="BD52" i="58"/>
  <c r="AZ46" i="88"/>
  <c r="Q105" i="60"/>
  <c r="S28" i="90"/>
  <c r="BB53" i="88"/>
  <c r="AO51" i="58"/>
  <c r="G15" i="48"/>
  <c r="AO52" i="88"/>
  <c r="AO53" i="93"/>
  <c r="AQ52" i="88"/>
  <c r="AQ52" i="93"/>
  <c r="AR53" i="88"/>
  <c r="AR53" i="93"/>
  <c r="AG46" i="93"/>
  <c r="J16" i="96" s="1"/>
  <c r="AR44" i="93"/>
  <c r="AR44" i="88"/>
  <c r="AG46" i="88"/>
  <c r="BA52" i="88"/>
  <c r="R27" i="90"/>
  <c r="V75" i="60"/>
  <c r="BA37" i="93"/>
  <c r="R22" i="95"/>
  <c r="AZ53" i="58"/>
  <c r="BE53" i="58" s="1"/>
  <c r="Q28" i="86"/>
  <c r="AT53" i="58"/>
  <c r="R105" i="60"/>
  <c r="I16" i="91"/>
  <c r="AO53" i="88"/>
  <c r="AQ46" i="93"/>
  <c r="I32" i="96" s="1"/>
  <c r="S24" i="95"/>
  <c r="BB44" i="93"/>
  <c r="BB46" i="93" s="1"/>
  <c r="H105" i="60"/>
  <c r="U24" i="86"/>
  <c r="AS46" i="58"/>
  <c r="K32" i="48" s="1"/>
  <c r="BD44" i="58"/>
  <c r="BD46" i="58" s="1"/>
  <c r="T78" i="60"/>
  <c r="T22" i="86"/>
  <c r="BC37" i="58"/>
  <c r="V74" i="60"/>
  <c r="BA52" i="93"/>
  <c r="R27" i="95"/>
  <c r="U22" i="86"/>
  <c r="BD37" i="58"/>
  <c r="AR46" i="58"/>
  <c r="J32" i="48" s="1"/>
  <c r="T24" i="86"/>
  <c r="BC44" i="58"/>
  <c r="BC46" i="58" s="1"/>
  <c r="BC52" i="58"/>
  <c r="T27" i="86"/>
  <c r="AQ37" i="88"/>
  <c r="AQ37" i="93"/>
  <c r="BA37" i="88"/>
  <c r="R22" i="90"/>
  <c r="AQ46" i="88"/>
  <c r="I32" i="91" s="1"/>
  <c r="BB44" i="88"/>
  <c r="BB46" i="88" s="1"/>
  <c r="S24" i="90"/>
  <c r="S28" i="95"/>
  <c r="BB53" i="93"/>
  <c r="AP51" i="58"/>
  <c r="H15" i="48"/>
  <c r="V78" i="60" l="1"/>
  <c r="BB37" i="88"/>
  <c r="S22" i="90"/>
  <c r="AS53" i="88"/>
  <c r="AS53" i="93"/>
  <c r="BB52" i="88"/>
  <c r="S27" i="90"/>
  <c r="AR37" i="88"/>
  <c r="AR37" i="93"/>
  <c r="BE52" i="58"/>
  <c r="AO52" i="93"/>
  <c r="AQ51" i="58"/>
  <c r="I15" i="48"/>
  <c r="AI53" i="88"/>
  <c r="V28" i="86"/>
  <c r="AR46" i="88"/>
  <c r="J32" i="91" s="1"/>
  <c r="T24" i="90"/>
  <c r="BC44" i="88"/>
  <c r="T28" i="95"/>
  <c r="BC53" i="93"/>
  <c r="AO51" i="88"/>
  <c r="AD55" i="88"/>
  <c r="AR52" i="88"/>
  <c r="AR52" i="93"/>
  <c r="AO37" i="58"/>
  <c r="AZ53" i="88"/>
  <c r="Q28" i="90"/>
  <c r="AT53" i="88"/>
  <c r="J105" i="60"/>
  <c r="BC44" i="93"/>
  <c r="BC46" i="93" s="1"/>
  <c r="T24" i="95"/>
  <c r="AR46" i="93"/>
  <c r="J32" i="96" s="1"/>
  <c r="T28" i="90"/>
  <c r="BC53" i="88"/>
  <c r="AZ52" i="88"/>
  <c r="Q27" i="90"/>
  <c r="Q26" i="86"/>
  <c r="AZ51" i="58"/>
  <c r="AZ55" i="58" s="1"/>
  <c r="AO55" i="58"/>
  <c r="G31" i="48" s="1"/>
  <c r="AH46" i="88"/>
  <c r="AS44" i="88"/>
  <c r="J16" i="91"/>
  <c r="Q28" i="95"/>
  <c r="AZ53" i="93"/>
  <c r="AP51" i="93"/>
  <c r="AE55" i="93"/>
  <c r="H15" i="96" s="1"/>
  <c r="BA51" i="58"/>
  <c r="BA55" i="58" s="1"/>
  <c r="R26" i="86"/>
  <c r="AP55" i="58"/>
  <c r="H31" i="48" s="1"/>
  <c r="AP51" i="88"/>
  <c r="AE55" i="88"/>
  <c r="BB37" i="93"/>
  <c r="S22" i="95"/>
  <c r="I105" i="60"/>
  <c r="U78" i="60"/>
  <c r="V24" i="86"/>
  <c r="AI44" i="88"/>
  <c r="AI46" i="88" s="1"/>
  <c r="BB52" i="93"/>
  <c r="S27" i="95"/>
  <c r="BE44" i="58"/>
  <c r="BE46" i="58" s="1"/>
  <c r="S105" i="60"/>
  <c r="V27" i="86"/>
  <c r="K105" i="60"/>
  <c r="AO37" i="88" l="1"/>
  <c r="Q26" i="90"/>
  <c r="AZ51" i="88"/>
  <c r="AO55" i="88"/>
  <c r="G31" i="91" s="1"/>
  <c r="AR51" i="58"/>
  <c r="J15" i="48"/>
  <c r="U28" i="95"/>
  <c r="BD53" i="93"/>
  <c r="BE53" i="93" s="1"/>
  <c r="AI53" i="93"/>
  <c r="T105" i="60"/>
  <c r="R26" i="90"/>
  <c r="BA51" i="88"/>
  <c r="BA55" i="88" s="1"/>
  <c r="AP55" i="88"/>
  <c r="H31" i="91" s="1"/>
  <c r="V28" i="95"/>
  <c r="BD44" i="88"/>
  <c r="BD46" i="88" s="1"/>
  <c r="AS46" i="88"/>
  <c r="K32" i="91" s="1"/>
  <c r="U24" i="90"/>
  <c r="AQ51" i="88"/>
  <c r="AF55" i="88"/>
  <c r="AP36" i="58"/>
  <c r="T27" i="90"/>
  <c r="BC52" i="88"/>
  <c r="Q27" i="95"/>
  <c r="AZ52" i="93"/>
  <c r="T22" i="90"/>
  <c r="BC37" i="88"/>
  <c r="AS51" i="58"/>
  <c r="K15" i="48"/>
  <c r="U28" i="90"/>
  <c r="V28" i="90" s="1"/>
  <c r="BD53" i="88"/>
  <c r="BE53" i="88" s="1"/>
  <c r="H15" i="91"/>
  <c r="AO51" i="93"/>
  <c r="AD55" i="93"/>
  <c r="G15" i="96" s="1"/>
  <c r="BC46" i="88"/>
  <c r="K16" i="91"/>
  <c r="Q22" i="86"/>
  <c r="AZ37" i="58"/>
  <c r="BE37" i="58" s="1"/>
  <c r="AT37" i="58"/>
  <c r="AO36" i="58"/>
  <c r="S26" i="86"/>
  <c r="BB51" i="58"/>
  <c r="BB55" i="58" s="1"/>
  <c r="AQ55" i="58"/>
  <c r="I31" i="48" s="1"/>
  <c r="BC52" i="93"/>
  <c r="T27" i="95"/>
  <c r="BC37" i="93"/>
  <c r="T22" i="95"/>
  <c r="BA51" i="93"/>
  <c r="BA55" i="93" s="1"/>
  <c r="R26" i="95"/>
  <c r="AP55" i="93"/>
  <c r="H31" i="96" s="1"/>
  <c r="AT53" i="93"/>
  <c r="AH46" i="93"/>
  <c r="K16" i="96" s="1"/>
  <c r="AS44" i="93"/>
  <c r="AI44" i="93"/>
  <c r="AI46" i="93" s="1"/>
  <c r="G15" i="91"/>
  <c r="AT44" i="88"/>
  <c r="AT46" i="88" s="1"/>
  <c r="BE44" i="88" l="1"/>
  <c r="BE46" i="88" s="1"/>
  <c r="V22" i="86"/>
  <c r="T26" i="86"/>
  <c r="BC51" i="58"/>
  <c r="BC55" i="58" s="1"/>
  <c r="AR55" i="58"/>
  <c r="J31" i="48" s="1"/>
  <c r="AT51" i="58"/>
  <c r="AT55" i="58" s="1"/>
  <c r="U105" i="60"/>
  <c r="AQ36" i="58"/>
  <c r="G14" i="48"/>
  <c r="G13" i="48" s="1"/>
  <c r="AD76" i="58"/>
  <c r="BD51" i="58"/>
  <c r="U26" i="86"/>
  <c r="AS55" i="58"/>
  <c r="K31" i="48" s="1"/>
  <c r="R21" i="86"/>
  <c r="AP39" i="58"/>
  <c r="BA36" i="58"/>
  <c r="BA39" i="58" s="1"/>
  <c r="I15" i="91"/>
  <c r="H14" i="48"/>
  <c r="H13" i="48" s="1"/>
  <c r="H20" i="48" s="1"/>
  <c r="AE76" i="58"/>
  <c r="BD44" i="93"/>
  <c r="AS46" i="93"/>
  <c r="K32" i="96" s="1"/>
  <c r="U24" i="95"/>
  <c r="AT44" i="93"/>
  <c r="AT46" i="93" s="1"/>
  <c r="AO36" i="88"/>
  <c r="AD39" i="88"/>
  <c r="Q21" i="86"/>
  <c r="AO39" i="58"/>
  <c r="AZ36" i="58"/>
  <c r="AO37" i="93"/>
  <c r="S26" i="90"/>
  <c r="BB51" i="88"/>
  <c r="BB55" i="88" s="1"/>
  <c r="AQ55" i="88"/>
  <c r="I31" i="91" s="1"/>
  <c r="V105" i="60"/>
  <c r="Q22" i="90"/>
  <c r="AZ37" i="88"/>
  <c r="AO36" i="93"/>
  <c r="AD39" i="93"/>
  <c r="AD80" i="93"/>
  <c r="AP36" i="88"/>
  <c r="AE39" i="88"/>
  <c r="AZ51" i="93"/>
  <c r="Q26" i="95"/>
  <c r="AO55" i="93"/>
  <c r="G31" i="96" s="1"/>
  <c r="AR51" i="88"/>
  <c r="AG55" i="88"/>
  <c r="AS52" i="88"/>
  <c r="AI52" i="88"/>
  <c r="AQ51" i="93"/>
  <c r="AF55" i="93"/>
  <c r="I15" i="96" s="1"/>
  <c r="V24" i="90"/>
  <c r="AZ55" i="88"/>
  <c r="H14" i="91" l="1"/>
  <c r="H13" i="91" s="1"/>
  <c r="H20" i="91" s="1"/>
  <c r="AE76" i="88"/>
  <c r="AS36" i="58"/>
  <c r="Q22" i="95"/>
  <c r="AZ37" i="93"/>
  <c r="G14" i="91"/>
  <c r="G13" i="91" s="1"/>
  <c r="AD76" i="88"/>
  <c r="H30" i="48"/>
  <c r="H29" i="48" s="1"/>
  <c r="H36" i="48" s="1"/>
  <c r="AP76" i="58"/>
  <c r="V26" i="86"/>
  <c r="AQ36" i="93"/>
  <c r="AF39" i="93"/>
  <c r="AF80" i="93"/>
  <c r="AF82" i="93" s="1"/>
  <c r="AS52" i="93"/>
  <c r="AI52" i="93"/>
  <c r="BC51" i="88"/>
  <c r="T26" i="90"/>
  <c r="AR55" i="88"/>
  <c r="J31" i="91" s="1"/>
  <c r="AZ55" i="93"/>
  <c r="AP39" i="88"/>
  <c r="BA36" i="88"/>
  <c r="BA39" i="88" s="1"/>
  <c r="R21" i="90"/>
  <c r="G30" i="48"/>
  <c r="G29" i="48" s="1"/>
  <c r="AO76" i="58"/>
  <c r="AZ36" i="88"/>
  <c r="AO39" i="88"/>
  <c r="Q21" i="90"/>
  <c r="BD46" i="93"/>
  <c r="BE44" i="93"/>
  <c r="BE46" i="93" s="1"/>
  <c r="R30" i="86"/>
  <c r="BE51" i="58"/>
  <c r="BE55" i="58" s="1"/>
  <c r="BD55" i="58"/>
  <c r="BB36" i="58"/>
  <c r="BB39" i="58" s="1"/>
  <c r="AQ39" i="58"/>
  <c r="S21" i="86"/>
  <c r="AD82" i="93"/>
  <c r="AZ39" i="58"/>
  <c r="S26" i="95"/>
  <c r="BB51" i="93"/>
  <c r="BB55" i="93" s="1"/>
  <c r="AQ55" i="93"/>
  <c r="I31" i="96" s="1"/>
  <c r="U27" i="90"/>
  <c r="BD52" i="88"/>
  <c r="BE52" i="88" s="1"/>
  <c r="AT52" i="88"/>
  <c r="G14" i="96"/>
  <c r="G13" i="96" s="1"/>
  <c r="AD76" i="93"/>
  <c r="Q30" i="86"/>
  <c r="AQ36" i="88"/>
  <c r="AF39" i="88"/>
  <c r="G20" i="48"/>
  <c r="AP36" i="93"/>
  <c r="AE39" i="93"/>
  <c r="AE80" i="93"/>
  <c r="AE82" i="93" s="1"/>
  <c r="J15" i="91"/>
  <c r="AS51" i="88"/>
  <c r="AT51" i="88" s="1"/>
  <c r="AT55" i="88" s="1"/>
  <c r="AH55" i="88"/>
  <c r="AR51" i="93"/>
  <c r="AG55" i="93"/>
  <c r="J15" i="96" s="1"/>
  <c r="AI51" i="88"/>
  <c r="AI55" i="88" s="1"/>
  <c r="AO39" i="93"/>
  <c r="Q21" i="95"/>
  <c r="AZ36" i="93"/>
  <c r="AR36" i="58"/>
  <c r="V24" i="95"/>
  <c r="I14" i="48"/>
  <c r="I13" i="48" s="1"/>
  <c r="I20" i="48" s="1"/>
  <c r="AF76" i="58"/>
  <c r="AS37" i="88" l="1"/>
  <c r="AI37" i="88"/>
  <c r="Q43" i="86"/>
  <c r="V27" i="90"/>
  <c r="J14" i="48"/>
  <c r="J13" i="48" s="1"/>
  <c r="J20" i="48" s="1"/>
  <c r="AG76" i="58"/>
  <c r="Q30" i="95"/>
  <c r="T26" i="95"/>
  <c r="BC51" i="93"/>
  <c r="BC55" i="93" s="1"/>
  <c r="AR55" i="93"/>
  <c r="J31" i="96" s="1"/>
  <c r="R21" i="95"/>
  <c r="BA36" i="93"/>
  <c r="BA39" i="93" s="1"/>
  <c r="AP39" i="93"/>
  <c r="BB36" i="88"/>
  <c r="BB39" i="88" s="1"/>
  <c r="AQ39" i="88"/>
  <c r="S21" i="90"/>
  <c r="I30" i="48"/>
  <c r="I29" i="48" s="1"/>
  <c r="I36" i="48" s="1"/>
  <c r="AQ76" i="58"/>
  <c r="C50" i="101"/>
  <c r="AZ76" i="58"/>
  <c r="H30" i="91"/>
  <c r="H29" i="91" s="1"/>
  <c r="H36" i="91" s="1"/>
  <c r="AP76" i="88"/>
  <c r="I14" i="96"/>
  <c r="I13" i="96" s="1"/>
  <c r="I20" i="96" s="1"/>
  <c r="AF76" i="93"/>
  <c r="AZ39" i="93"/>
  <c r="U26" i="90"/>
  <c r="BD51" i="88"/>
  <c r="BD55" i="88" s="1"/>
  <c r="AS55" i="88"/>
  <c r="K31" i="91" s="1"/>
  <c r="U27" i="95"/>
  <c r="BD52" i="93"/>
  <c r="BE52" i="93" s="1"/>
  <c r="AT52" i="93"/>
  <c r="AS39" i="58"/>
  <c r="U21" i="86"/>
  <c r="BD36" i="58"/>
  <c r="BD39" i="58" s="1"/>
  <c r="G30" i="96"/>
  <c r="G29" i="96" s="1"/>
  <c r="AO76" i="93"/>
  <c r="AS51" i="93"/>
  <c r="AH55" i="93"/>
  <c r="K15" i="96" s="1"/>
  <c r="R43" i="86"/>
  <c r="Q30" i="90"/>
  <c r="G36" i="48"/>
  <c r="BC55" i="88"/>
  <c r="BE51" i="88"/>
  <c r="BE55" i="88" s="1"/>
  <c r="AR36" i="88"/>
  <c r="AG39" i="88"/>
  <c r="BB36" i="93"/>
  <c r="BB39" i="93" s="1"/>
  <c r="AQ39" i="93"/>
  <c r="S21" i="95"/>
  <c r="BA76" i="58"/>
  <c r="D50" i="101"/>
  <c r="D51" i="101" s="1"/>
  <c r="G20" i="91"/>
  <c r="H14" i="96"/>
  <c r="H13" i="96" s="1"/>
  <c r="H20" i="96" s="1"/>
  <c r="AE76" i="93"/>
  <c r="I14" i="91"/>
  <c r="I13" i="91" s="1"/>
  <c r="I20" i="91" s="1"/>
  <c r="AF76" i="88"/>
  <c r="S30" i="86"/>
  <c r="AZ39" i="88"/>
  <c r="AG39" i="93"/>
  <c r="AR36" i="93"/>
  <c r="AG80" i="93"/>
  <c r="AG82" i="93" s="1"/>
  <c r="BC36" i="58"/>
  <c r="T21" i="86"/>
  <c r="AR39" i="58"/>
  <c r="AT36" i="58"/>
  <c r="AT39" i="58" s="1"/>
  <c r="AI51" i="93"/>
  <c r="AI55" i="93" s="1"/>
  <c r="K15" i="91"/>
  <c r="G20" i="96"/>
  <c r="G30" i="91"/>
  <c r="G29" i="91" s="1"/>
  <c r="AO76" i="88"/>
  <c r="R30" i="90"/>
  <c r="R43" i="90" s="1"/>
  <c r="K14" i="48"/>
  <c r="K13" i="48" s="1"/>
  <c r="K20" i="48" s="1"/>
  <c r="AH76" i="58"/>
  <c r="L20" i="48" l="1"/>
  <c r="AI76" i="58"/>
  <c r="G36" i="91"/>
  <c r="BC39" i="58"/>
  <c r="BE36" i="58"/>
  <c r="BE39" i="58" s="1"/>
  <c r="S30" i="95"/>
  <c r="BD51" i="93"/>
  <c r="U26" i="95"/>
  <c r="AS55" i="93"/>
  <c r="K31" i="96" s="1"/>
  <c r="U30" i="86"/>
  <c r="C51" i="101"/>
  <c r="AT51" i="93"/>
  <c r="AT55" i="93" s="1"/>
  <c r="H30" i="96"/>
  <c r="H29" i="96" s="1"/>
  <c r="H36" i="96" s="1"/>
  <c r="H37" i="96" s="1"/>
  <c r="AP76" i="93"/>
  <c r="BA76" i="93" s="1"/>
  <c r="Q43" i="95"/>
  <c r="I30" i="96"/>
  <c r="I29" i="96" s="1"/>
  <c r="I36" i="96" s="1"/>
  <c r="I37" i="96" s="1"/>
  <c r="AQ76" i="93"/>
  <c r="BB76" i="93" s="1"/>
  <c r="T21" i="90"/>
  <c r="BC36" i="88"/>
  <c r="AR39" i="88"/>
  <c r="Q43" i="90"/>
  <c r="AZ76" i="93"/>
  <c r="K30" i="48"/>
  <c r="K29" i="48" s="1"/>
  <c r="K36" i="48" s="1"/>
  <c r="AS76" i="58"/>
  <c r="BA76" i="88"/>
  <c r="P50" i="101"/>
  <c r="P51" i="101" s="1"/>
  <c r="R45" i="90" s="1"/>
  <c r="R47" i="90" s="1"/>
  <c r="S30" i="90"/>
  <c r="V26" i="95"/>
  <c r="AS37" i="93"/>
  <c r="AI37" i="93"/>
  <c r="AS36" i="88"/>
  <c r="AH39" i="88"/>
  <c r="V27" i="95"/>
  <c r="AR39" i="93"/>
  <c r="BC36" i="93"/>
  <c r="T21" i="95"/>
  <c r="R45" i="86"/>
  <c r="R47" i="86" s="1"/>
  <c r="L13" i="48"/>
  <c r="G36" i="96"/>
  <c r="G37" i="96" s="1"/>
  <c r="BB76" i="58"/>
  <c r="E50" i="101"/>
  <c r="E51" i="101" s="1"/>
  <c r="I30" i="91"/>
  <c r="I29" i="91" s="1"/>
  <c r="I36" i="91" s="1"/>
  <c r="AQ76" i="88"/>
  <c r="R30" i="95"/>
  <c r="U22" i="90"/>
  <c r="BD37" i="88"/>
  <c r="BE37" i="88" s="1"/>
  <c r="AT37" i="88"/>
  <c r="J14" i="91"/>
  <c r="J13" i="91" s="1"/>
  <c r="AG76" i="88"/>
  <c r="J30" i="48"/>
  <c r="J29" i="48" s="1"/>
  <c r="AR76" i="58"/>
  <c r="O50" i="101"/>
  <c r="AZ76" i="88"/>
  <c r="T30" i="86"/>
  <c r="J14" i="96"/>
  <c r="J13" i="96" s="1"/>
  <c r="AG76" i="93"/>
  <c r="S43" i="86"/>
  <c r="AI36" i="88"/>
  <c r="AI39" i="88" s="1"/>
  <c r="V26" i="90"/>
  <c r="V21" i="86"/>
  <c r="AC27" i="90" l="1"/>
  <c r="G27" i="90" s="1"/>
  <c r="V30" i="86"/>
  <c r="AC14" i="90"/>
  <c r="G14" i="90" s="1"/>
  <c r="AC11" i="90"/>
  <c r="G11" i="90" s="1"/>
  <c r="AC24" i="86"/>
  <c r="G24" i="86" s="1"/>
  <c r="AC17" i="90"/>
  <c r="G17" i="90" s="1"/>
  <c r="AC23" i="86"/>
  <c r="G23" i="86" s="1"/>
  <c r="AC40" i="90"/>
  <c r="G40" i="90" s="1"/>
  <c r="H50" i="91" s="1"/>
  <c r="AC11" i="86"/>
  <c r="G11" i="86" s="1"/>
  <c r="AC17" i="86"/>
  <c r="G17" i="86" s="1"/>
  <c r="AC22" i="90"/>
  <c r="G22" i="90" s="1"/>
  <c r="AC23" i="90"/>
  <c r="G23" i="90" s="1"/>
  <c r="AC38" i="90"/>
  <c r="G38" i="90" s="1"/>
  <c r="H49" i="91" s="1"/>
  <c r="AC20" i="90"/>
  <c r="G20" i="90" s="1"/>
  <c r="AC39" i="90"/>
  <c r="G39" i="90" s="1"/>
  <c r="H42" i="91" s="1"/>
  <c r="AC16" i="90"/>
  <c r="G16" i="90" s="1"/>
  <c r="AC25" i="86"/>
  <c r="G25" i="86" s="1"/>
  <c r="H48" i="48" s="1"/>
  <c r="AC24" i="90"/>
  <c r="G24" i="90" s="1"/>
  <c r="AC13" i="90"/>
  <c r="G13" i="90" s="1"/>
  <c r="AC37" i="90"/>
  <c r="G37" i="90" s="1"/>
  <c r="AC35" i="90"/>
  <c r="G35" i="90" s="1"/>
  <c r="H44" i="91" s="1"/>
  <c r="R13" i="113" s="1"/>
  <c r="AC35" i="86"/>
  <c r="G35" i="86" s="1"/>
  <c r="H44" i="48" s="1"/>
  <c r="G13" i="113" s="1"/>
  <c r="AC26" i="90"/>
  <c r="G26" i="90" s="1"/>
  <c r="AC29" i="90"/>
  <c r="G29" i="90" s="1"/>
  <c r="AC34" i="90"/>
  <c r="G34" i="90" s="1"/>
  <c r="AC33" i="90"/>
  <c r="G33" i="90" s="1"/>
  <c r="AC36" i="90"/>
  <c r="G36" i="90" s="1"/>
  <c r="AC10" i="90"/>
  <c r="G10" i="90" s="1"/>
  <c r="AC13" i="86"/>
  <c r="G13" i="86" s="1"/>
  <c r="AC28" i="90"/>
  <c r="G28" i="90" s="1"/>
  <c r="AC15" i="90"/>
  <c r="G15" i="90" s="1"/>
  <c r="AC18" i="90"/>
  <c r="G18" i="90" s="1"/>
  <c r="AC19" i="90"/>
  <c r="G19" i="90" s="1"/>
  <c r="AC12" i="90"/>
  <c r="G12" i="90" s="1"/>
  <c r="AC25" i="90"/>
  <c r="G25" i="90" s="1"/>
  <c r="R45" i="95"/>
  <c r="R47" i="95" s="1"/>
  <c r="AS39" i="88"/>
  <c r="U21" i="90"/>
  <c r="BD36" i="88"/>
  <c r="BD39" i="88" s="1"/>
  <c r="AT36" i="88"/>
  <c r="AT39" i="88" s="1"/>
  <c r="BD55" i="93"/>
  <c r="BE51" i="93"/>
  <c r="BE55" i="93" s="1"/>
  <c r="AC21" i="86"/>
  <c r="G21" i="86" s="1"/>
  <c r="AC27" i="86"/>
  <c r="G27" i="86" s="1"/>
  <c r="AC29" i="86"/>
  <c r="G29" i="86" s="1"/>
  <c r="AC40" i="86"/>
  <c r="G40" i="86" s="1"/>
  <c r="H50" i="48" s="1"/>
  <c r="AC20" i="86"/>
  <c r="G20" i="86" s="1"/>
  <c r="AC18" i="86"/>
  <c r="G18" i="86" s="1"/>
  <c r="AC16" i="86"/>
  <c r="G16" i="86" s="1"/>
  <c r="J20" i="96"/>
  <c r="O51" i="101"/>
  <c r="S45" i="86"/>
  <c r="AD19" i="86" s="1"/>
  <c r="H19" i="86" s="1"/>
  <c r="T30" i="95"/>
  <c r="J30" i="91"/>
  <c r="J29" i="91" s="1"/>
  <c r="J36" i="91" s="1"/>
  <c r="AR76" i="88"/>
  <c r="Q44" i="95"/>
  <c r="U43" i="86"/>
  <c r="J20" i="91"/>
  <c r="V22" i="90"/>
  <c r="AC26" i="86"/>
  <c r="G26" i="86" s="1"/>
  <c r="AC28" i="86"/>
  <c r="G28" i="86" s="1"/>
  <c r="AC37" i="86"/>
  <c r="G37" i="86" s="1"/>
  <c r="AC15" i="86"/>
  <c r="G15" i="86" s="1"/>
  <c r="AC36" i="86"/>
  <c r="G36" i="86" s="1"/>
  <c r="AC38" i="86"/>
  <c r="G38" i="86" s="1"/>
  <c r="H49" i="48" s="1"/>
  <c r="AC34" i="86"/>
  <c r="G34" i="86" s="1"/>
  <c r="BC76" i="58"/>
  <c r="F50" i="101"/>
  <c r="F51" i="101" s="1"/>
  <c r="R43" i="95"/>
  <c r="BC39" i="93"/>
  <c r="AH39" i="93"/>
  <c r="AS36" i="93"/>
  <c r="AH80" i="93"/>
  <c r="AI36" i="93"/>
  <c r="AI39" i="93" s="1"/>
  <c r="BD37" i="93"/>
  <c r="BE37" i="93" s="1"/>
  <c r="U22" i="95"/>
  <c r="AT37" i="93"/>
  <c r="BC39" i="88"/>
  <c r="BE36" i="88"/>
  <c r="BE39" i="88" s="1"/>
  <c r="Q45" i="86"/>
  <c r="AC22" i="86"/>
  <c r="G22" i="86" s="1"/>
  <c r="AC10" i="86"/>
  <c r="AC14" i="86"/>
  <c r="G14" i="86" s="1"/>
  <c r="AC33" i="86"/>
  <c r="AC19" i="86"/>
  <c r="G19" i="86" s="1"/>
  <c r="AC39" i="86"/>
  <c r="G39" i="86" s="1"/>
  <c r="H42" i="48" s="1"/>
  <c r="AC12" i="86"/>
  <c r="G12" i="86" s="1"/>
  <c r="AD14" i="86"/>
  <c r="H14" i="86" s="1"/>
  <c r="T43" i="86"/>
  <c r="J36" i="48"/>
  <c r="L36" i="48" s="1"/>
  <c r="L29" i="48"/>
  <c r="Q50" i="101"/>
  <c r="Q51" i="101" s="1"/>
  <c r="S45" i="90" s="1"/>
  <c r="S47" i="90" s="1"/>
  <c r="BB76" i="88"/>
  <c r="J30" i="96"/>
  <c r="J29" i="96" s="1"/>
  <c r="AR76" i="93"/>
  <c r="BC76" i="93" s="1"/>
  <c r="K14" i="91"/>
  <c r="K13" i="91" s="1"/>
  <c r="K20" i="91" s="1"/>
  <c r="AH76" i="88"/>
  <c r="AI76" i="88" s="1"/>
  <c r="S43" i="90"/>
  <c r="AT76" i="58"/>
  <c r="BD76" i="58"/>
  <c r="G50" i="101"/>
  <c r="G51" i="101" s="1"/>
  <c r="T30" i="90"/>
  <c r="T43" i="90" s="1"/>
  <c r="S43" i="95"/>
  <c r="AC21" i="90"/>
  <c r="G21" i="90" s="1"/>
  <c r="H46" i="91" l="1"/>
  <c r="BE76" i="58"/>
  <c r="AD25" i="86"/>
  <c r="H25" i="86" s="1"/>
  <c r="AD16" i="86"/>
  <c r="H16" i="86" s="1"/>
  <c r="AD21" i="86"/>
  <c r="H21" i="86" s="1"/>
  <c r="AD29" i="86"/>
  <c r="H29" i="86" s="1"/>
  <c r="AD22" i="86"/>
  <c r="H22" i="86" s="1"/>
  <c r="AD10" i="86"/>
  <c r="AC13" i="113"/>
  <c r="H48" i="91"/>
  <c r="H51" i="101"/>
  <c r="AD37" i="86"/>
  <c r="H37" i="86" s="1"/>
  <c r="AD36" i="86"/>
  <c r="H36" i="86" s="1"/>
  <c r="AD39" i="86"/>
  <c r="H39" i="86" s="1"/>
  <c r="I42" i="48" s="1"/>
  <c r="H51" i="91"/>
  <c r="R14" i="113" s="1"/>
  <c r="AD24" i="86"/>
  <c r="H24" i="86" s="1"/>
  <c r="AD33" i="86"/>
  <c r="AD35" i="86"/>
  <c r="H35" i="86" s="1"/>
  <c r="I44" i="48" s="1"/>
  <c r="H13" i="113" s="1"/>
  <c r="H47" i="91"/>
  <c r="H40" i="91"/>
  <c r="H47" i="48"/>
  <c r="AC41" i="90"/>
  <c r="AD28" i="86"/>
  <c r="H28" i="86" s="1"/>
  <c r="AD18" i="86"/>
  <c r="H18" i="86" s="1"/>
  <c r="AD23" i="86"/>
  <c r="H23" i="86" s="1"/>
  <c r="I46" i="48" s="1"/>
  <c r="AD15" i="86"/>
  <c r="H15" i="86" s="1"/>
  <c r="AD13" i="86"/>
  <c r="H13" i="86" s="1"/>
  <c r="AD17" i="86"/>
  <c r="H17" i="86" s="1"/>
  <c r="AD26" i="86"/>
  <c r="H26" i="86" s="1"/>
  <c r="AD27" i="86"/>
  <c r="H27" i="86" s="1"/>
  <c r="AD12" i="86"/>
  <c r="H12" i="86" s="1"/>
  <c r="AD11" i="86"/>
  <c r="H11" i="86" s="1"/>
  <c r="AD34" i="86"/>
  <c r="H34" i="86" s="1"/>
  <c r="AD38" i="86"/>
  <c r="H38" i="86" s="1"/>
  <c r="I49" i="48" s="1"/>
  <c r="AD20" i="86"/>
  <c r="H20" i="86" s="1"/>
  <c r="H51" i="48"/>
  <c r="G14" i="113" s="1"/>
  <c r="V21" i="90"/>
  <c r="U30" i="90"/>
  <c r="S44" i="95"/>
  <c r="V43" i="86"/>
  <c r="H33" i="86"/>
  <c r="H40" i="48"/>
  <c r="H43" i="91"/>
  <c r="R12" i="113" s="1"/>
  <c r="G41" i="90"/>
  <c r="V22" i="95"/>
  <c r="AT36" i="93"/>
  <c r="AT39" i="93" s="1"/>
  <c r="BD36" i="93"/>
  <c r="AS39" i="93"/>
  <c r="U21" i="95"/>
  <c r="R50" i="101"/>
  <c r="R51" i="101" s="1"/>
  <c r="T45" i="90" s="1"/>
  <c r="AE35" i="90" s="1"/>
  <c r="I35" i="90" s="1"/>
  <c r="J44" i="91" s="1"/>
  <c r="T13" i="113" s="1"/>
  <c r="BC76" i="88"/>
  <c r="T43" i="95"/>
  <c r="K30" i="91"/>
  <c r="K29" i="91" s="1"/>
  <c r="AS76" i="88"/>
  <c r="G33" i="86"/>
  <c r="AC41" i="86"/>
  <c r="Q47" i="86"/>
  <c r="AB15" i="86"/>
  <c r="AB20" i="86"/>
  <c r="AB36" i="86"/>
  <c r="AB17" i="86"/>
  <c r="AB25" i="86"/>
  <c r="AB24" i="86"/>
  <c r="AB22" i="86"/>
  <c r="AB12" i="86"/>
  <c r="AB11" i="86"/>
  <c r="AB38" i="86"/>
  <c r="AB14" i="86"/>
  <c r="AB16" i="86"/>
  <c r="AB33" i="86"/>
  <c r="AB40" i="86"/>
  <c r="AB19" i="86"/>
  <c r="AB27" i="86"/>
  <c r="AB21" i="86"/>
  <c r="AB39" i="86"/>
  <c r="AB18" i="86"/>
  <c r="AB35" i="86"/>
  <c r="AB10" i="86"/>
  <c r="AB23" i="86"/>
  <c r="AB29" i="86"/>
  <c r="AB13" i="86"/>
  <c r="AB34" i="86"/>
  <c r="AB28" i="86"/>
  <c r="AB37" i="86"/>
  <c r="AB26" i="86"/>
  <c r="AH82" i="93"/>
  <c r="AI82" i="93" s="1"/>
  <c r="AI80" i="93"/>
  <c r="H41" i="91"/>
  <c r="G30" i="90"/>
  <c r="U45" i="86"/>
  <c r="AF20" i="86" s="1"/>
  <c r="J20" i="86" s="1"/>
  <c r="AD17" i="90"/>
  <c r="H17" i="90" s="1"/>
  <c r="AD12" i="90"/>
  <c r="H12" i="90" s="1"/>
  <c r="AD29" i="90"/>
  <c r="H29" i="90" s="1"/>
  <c r="AD39" i="90"/>
  <c r="H39" i="90" s="1"/>
  <c r="I42" i="91" s="1"/>
  <c r="AD18" i="90"/>
  <c r="H18" i="90" s="1"/>
  <c r="AD36" i="90"/>
  <c r="H36" i="90" s="1"/>
  <c r="AD20" i="90"/>
  <c r="H20" i="90" s="1"/>
  <c r="AD23" i="90"/>
  <c r="H23" i="90" s="1"/>
  <c r="AD14" i="90"/>
  <c r="H14" i="90" s="1"/>
  <c r="AD37" i="90"/>
  <c r="H37" i="90" s="1"/>
  <c r="AD19" i="90"/>
  <c r="H19" i="90" s="1"/>
  <c r="AD33" i="90"/>
  <c r="AD10" i="90"/>
  <c r="AD16" i="90"/>
  <c r="H16" i="90" s="1"/>
  <c r="AD35" i="90"/>
  <c r="H35" i="90" s="1"/>
  <c r="I44" i="91" s="1"/>
  <c r="S13" i="113" s="1"/>
  <c r="AD13" i="90"/>
  <c r="H13" i="90" s="1"/>
  <c r="AD40" i="90"/>
  <c r="H40" i="90" s="1"/>
  <c r="I50" i="91" s="1"/>
  <c r="AD25" i="90"/>
  <c r="H25" i="90" s="1"/>
  <c r="AD11" i="90"/>
  <c r="H11" i="90" s="1"/>
  <c r="AD34" i="90"/>
  <c r="H34" i="90" s="1"/>
  <c r="AD38" i="90"/>
  <c r="H38" i="90" s="1"/>
  <c r="I49" i="91" s="1"/>
  <c r="AD15" i="90"/>
  <c r="H15" i="90" s="1"/>
  <c r="AD28" i="90"/>
  <c r="H28" i="90" s="1"/>
  <c r="AD24" i="90"/>
  <c r="H24" i="90" s="1"/>
  <c r="AD27" i="90"/>
  <c r="H27" i="90" s="1"/>
  <c r="AD22" i="90"/>
  <c r="H22" i="90" s="1"/>
  <c r="AD26" i="90"/>
  <c r="H26" i="90" s="1"/>
  <c r="AD21" i="90"/>
  <c r="H21" i="90" s="1"/>
  <c r="J36" i="96"/>
  <c r="J37" i="96" s="1"/>
  <c r="H10" i="86"/>
  <c r="AC30" i="86"/>
  <c r="G10" i="86"/>
  <c r="K14" i="96"/>
  <c r="K13" i="96" s="1"/>
  <c r="AH76" i="93"/>
  <c r="AI76" i="93" s="1"/>
  <c r="AC18" i="95"/>
  <c r="G18" i="95" s="1"/>
  <c r="AC37" i="95"/>
  <c r="G37" i="95" s="1"/>
  <c r="AC14" i="95"/>
  <c r="G14" i="95" s="1"/>
  <c r="AC10" i="95"/>
  <c r="AC29" i="95"/>
  <c r="G29" i="95" s="1"/>
  <c r="AC17" i="95"/>
  <c r="G17" i="95" s="1"/>
  <c r="AC40" i="95"/>
  <c r="G40" i="95" s="1"/>
  <c r="H50" i="96" s="1"/>
  <c r="AC13" i="95"/>
  <c r="G13" i="95" s="1"/>
  <c r="AC33" i="95"/>
  <c r="AC15" i="95"/>
  <c r="G15" i="95" s="1"/>
  <c r="AC25" i="95"/>
  <c r="G25" i="95" s="1"/>
  <c r="R44" i="95"/>
  <c r="AC12" i="95"/>
  <c r="G12" i="95" s="1"/>
  <c r="AC20" i="95"/>
  <c r="G20" i="95" s="1"/>
  <c r="AC23" i="95"/>
  <c r="G23" i="95" s="1"/>
  <c r="AC39" i="95"/>
  <c r="G39" i="95" s="1"/>
  <c r="H42" i="96" s="1"/>
  <c r="AC36" i="95"/>
  <c r="G36" i="95" s="1"/>
  <c r="AC35" i="95"/>
  <c r="G35" i="95" s="1"/>
  <c r="H44" i="96" s="1"/>
  <c r="AC16" i="95"/>
  <c r="G16" i="95" s="1"/>
  <c r="AC11" i="95"/>
  <c r="G11" i="95" s="1"/>
  <c r="AC19" i="95"/>
  <c r="G19" i="95" s="1"/>
  <c r="AC38" i="95"/>
  <c r="G38" i="95" s="1"/>
  <c r="H49" i="96" s="1"/>
  <c r="AC34" i="95"/>
  <c r="G34" i="95" s="1"/>
  <c r="AC28" i="95"/>
  <c r="G28" i="95" s="1"/>
  <c r="AC24" i="95"/>
  <c r="G24" i="95" s="1"/>
  <c r="AC27" i="95"/>
  <c r="G27" i="95" s="1"/>
  <c r="AC22" i="95"/>
  <c r="G22" i="95" s="1"/>
  <c r="AC26" i="95"/>
  <c r="G26" i="95" s="1"/>
  <c r="AC21" i="95"/>
  <c r="G21" i="95" s="1"/>
  <c r="T45" i="86"/>
  <c r="AE34" i="86" s="1"/>
  <c r="I34" i="86" s="1"/>
  <c r="L13" i="91"/>
  <c r="H50" i="101"/>
  <c r="S45" i="95"/>
  <c r="S47" i="95" s="1"/>
  <c r="Q45" i="95"/>
  <c r="Q45" i="90"/>
  <c r="AC30" i="90"/>
  <c r="L20" i="91"/>
  <c r="AD40" i="86"/>
  <c r="H40" i="86" s="1"/>
  <c r="I50" i="48" s="1"/>
  <c r="S47" i="86"/>
  <c r="H46" i="48"/>
  <c r="R10" i="113" l="1"/>
  <c r="AD13" i="113"/>
  <c r="R11" i="113"/>
  <c r="I48" i="48"/>
  <c r="H45" i="91"/>
  <c r="H52" i="91" s="1"/>
  <c r="AC14" i="113"/>
  <c r="H46" i="96"/>
  <c r="H48" i="96"/>
  <c r="I51" i="48"/>
  <c r="H14" i="113" s="1"/>
  <c r="H45" i="48"/>
  <c r="I47" i="48"/>
  <c r="AC43" i="90"/>
  <c r="AC44" i="90" s="1"/>
  <c r="AD30" i="86"/>
  <c r="AF29" i="86"/>
  <c r="J29" i="86" s="1"/>
  <c r="AE22" i="86"/>
  <c r="I22" i="86" s="1"/>
  <c r="AE18" i="86"/>
  <c r="I18" i="86" s="1"/>
  <c r="AE27" i="90"/>
  <c r="I27" i="90" s="1"/>
  <c r="AE14" i="90"/>
  <c r="I14" i="90" s="1"/>
  <c r="AD12" i="95"/>
  <c r="H12" i="95" s="1"/>
  <c r="AD17" i="95"/>
  <c r="H17" i="95" s="1"/>
  <c r="T45" i="95"/>
  <c r="T47" i="95" s="1"/>
  <c r="G43" i="90"/>
  <c r="G44" i="90" s="1"/>
  <c r="AF27" i="86"/>
  <c r="J27" i="86" s="1"/>
  <c r="AF13" i="86"/>
  <c r="J13" i="86" s="1"/>
  <c r="AE25" i="86"/>
  <c r="I25" i="86" s="1"/>
  <c r="AE14" i="86"/>
  <c r="I14" i="86" s="1"/>
  <c r="AE40" i="90"/>
  <c r="I40" i="90" s="1"/>
  <c r="J50" i="91" s="1"/>
  <c r="AE34" i="90"/>
  <c r="I34" i="90" s="1"/>
  <c r="AD10" i="95"/>
  <c r="H10" i="95" s="1"/>
  <c r="AD11" i="95"/>
  <c r="H11" i="95" s="1"/>
  <c r="AF11" i="86"/>
  <c r="J11" i="86" s="1"/>
  <c r="AF17" i="86"/>
  <c r="J17" i="86" s="1"/>
  <c r="AE21" i="86"/>
  <c r="I21" i="86" s="1"/>
  <c r="AE29" i="86"/>
  <c r="I29" i="86" s="1"/>
  <c r="AE17" i="86"/>
  <c r="I17" i="86" s="1"/>
  <c r="AE19" i="90"/>
  <c r="I19" i="90" s="1"/>
  <c r="AE23" i="90"/>
  <c r="I23" i="90" s="1"/>
  <c r="AD29" i="95"/>
  <c r="H29" i="95" s="1"/>
  <c r="I40" i="48"/>
  <c r="H10" i="113" s="1"/>
  <c r="AC43" i="86"/>
  <c r="AC44" i="86" s="1"/>
  <c r="AF25" i="86"/>
  <c r="J25" i="86" s="1"/>
  <c r="AF10" i="86"/>
  <c r="J10" i="86" s="1"/>
  <c r="AE20" i="86"/>
  <c r="I20" i="86" s="1"/>
  <c r="AD22" i="95"/>
  <c r="H22" i="95" s="1"/>
  <c r="AD16" i="95"/>
  <c r="H16" i="95" s="1"/>
  <c r="AC41" i="95"/>
  <c r="G33" i="95"/>
  <c r="I40" i="91"/>
  <c r="F34" i="86"/>
  <c r="F21" i="86"/>
  <c r="F11" i="86"/>
  <c r="F15" i="86"/>
  <c r="K36" i="91"/>
  <c r="L36" i="91" s="1"/>
  <c r="L29" i="91"/>
  <c r="V21" i="95"/>
  <c r="U30" i="95"/>
  <c r="V30" i="90"/>
  <c r="U43" i="90"/>
  <c r="Q47" i="90"/>
  <c r="AB17" i="90"/>
  <c r="F17" i="90" s="1"/>
  <c r="AB13" i="90"/>
  <c r="AB40" i="90"/>
  <c r="AB20" i="90"/>
  <c r="AB38" i="90"/>
  <c r="AB12" i="90"/>
  <c r="AB27" i="90"/>
  <c r="AB21" i="90"/>
  <c r="AB36" i="90"/>
  <c r="AB37" i="90"/>
  <c r="AB10" i="90"/>
  <c r="AB33" i="90"/>
  <c r="AB29" i="90"/>
  <c r="AB25" i="90"/>
  <c r="AB28" i="90"/>
  <c r="AB19" i="90"/>
  <c r="AB14" i="90"/>
  <c r="AB24" i="90"/>
  <c r="AB39" i="90"/>
  <c r="AB18" i="90"/>
  <c r="AB11" i="90"/>
  <c r="AB16" i="90"/>
  <c r="AB34" i="90"/>
  <c r="AB26" i="90"/>
  <c r="AB35" i="90"/>
  <c r="AB23" i="90"/>
  <c r="AB15" i="90"/>
  <c r="AB22" i="90"/>
  <c r="H47" i="96"/>
  <c r="AC30" i="95"/>
  <c r="G10" i="95"/>
  <c r="AD30" i="90"/>
  <c r="H10" i="90"/>
  <c r="F26" i="86"/>
  <c r="F13" i="86"/>
  <c r="F35" i="86"/>
  <c r="F27" i="86"/>
  <c r="F16" i="86"/>
  <c r="F12" i="86"/>
  <c r="F17" i="86"/>
  <c r="G41" i="86"/>
  <c r="H43" i="48"/>
  <c r="G12" i="113" s="1"/>
  <c r="AC12" i="113" s="1"/>
  <c r="T47" i="90"/>
  <c r="AE21" i="90"/>
  <c r="I21" i="90" s="1"/>
  <c r="AF24" i="86"/>
  <c r="J24" i="86" s="1"/>
  <c r="AF40" i="86"/>
  <c r="J40" i="86" s="1"/>
  <c r="K50" i="48" s="1"/>
  <c r="AF12" i="86"/>
  <c r="J12" i="86" s="1"/>
  <c r="AF38" i="86"/>
  <c r="J38" i="86" s="1"/>
  <c r="K49" i="48" s="1"/>
  <c r="AF19" i="86"/>
  <c r="J19" i="86" s="1"/>
  <c r="AF36" i="86"/>
  <c r="J36" i="86" s="1"/>
  <c r="K30" i="96"/>
  <c r="K29" i="96" s="1"/>
  <c r="AS76" i="93"/>
  <c r="AE27" i="86"/>
  <c r="I27" i="86" s="1"/>
  <c r="AE40" i="86"/>
  <c r="I40" i="86" s="1"/>
  <c r="J50" i="48" s="1"/>
  <c r="AE37" i="86"/>
  <c r="I37" i="86" s="1"/>
  <c r="AE23" i="86"/>
  <c r="I23" i="86" s="1"/>
  <c r="AE19" i="86"/>
  <c r="I19" i="86" s="1"/>
  <c r="AE33" i="86"/>
  <c r="AE22" i="90"/>
  <c r="I22" i="90" s="1"/>
  <c r="AE17" i="90"/>
  <c r="I17" i="90" s="1"/>
  <c r="AE39" i="90"/>
  <c r="I39" i="90" s="1"/>
  <c r="J42" i="91" s="1"/>
  <c r="AE25" i="90"/>
  <c r="I25" i="90" s="1"/>
  <c r="AE11" i="90"/>
  <c r="I11" i="90" s="1"/>
  <c r="AE20" i="90"/>
  <c r="I20" i="90" s="1"/>
  <c r="AE15" i="90"/>
  <c r="I15" i="90" s="1"/>
  <c r="AD27" i="95"/>
  <c r="H27" i="95" s="1"/>
  <c r="AD33" i="95"/>
  <c r="AD18" i="95"/>
  <c r="H18" i="95" s="1"/>
  <c r="AD35" i="95"/>
  <c r="H35" i="95" s="1"/>
  <c r="I44" i="96" s="1"/>
  <c r="AD34" i="95"/>
  <c r="H34" i="95" s="1"/>
  <c r="AD14" i="95"/>
  <c r="H14" i="95" s="1"/>
  <c r="AD39" i="95"/>
  <c r="H39" i="95" s="1"/>
  <c r="I42" i="96" s="1"/>
  <c r="H40" i="96"/>
  <c r="AB30" i="86"/>
  <c r="F10" i="86"/>
  <c r="F33" i="86"/>
  <c r="AB41" i="86"/>
  <c r="F25" i="86"/>
  <c r="G10" i="113"/>
  <c r="Q47" i="95"/>
  <c r="AB38" i="95"/>
  <c r="AB11" i="95"/>
  <c r="AB37" i="95"/>
  <c r="AB36" i="95"/>
  <c r="AB13" i="95"/>
  <c r="AB35" i="95"/>
  <c r="AB28" i="95"/>
  <c r="AB22" i="95"/>
  <c r="AB29" i="95"/>
  <c r="AB40" i="95"/>
  <c r="AB16" i="95"/>
  <c r="AB19" i="95"/>
  <c r="AB39" i="95"/>
  <c r="AB18" i="95"/>
  <c r="AB27" i="95"/>
  <c r="AB25" i="95"/>
  <c r="AB12" i="95"/>
  <c r="AB34" i="95"/>
  <c r="AB24" i="95"/>
  <c r="AB23" i="95"/>
  <c r="AB14" i="95"/>
  <c r="AB20" i="95"/>
  <c r="AB17" i="95"/>
  <c r="AB33" i="95"/>
  <c r="AB26" i="95"/>
  <c r="AB15" i="95"/>
  <c r="AB10" i="95"/>
  <c r="AB21" i="95"/>
  <c r="H51" i="96"/>
  <c r="K20" i="96"/>
  <c r="L20" i="96" s="1"/>
  <c r="L13" i="96"/>
  <c r="H30" i="86"/>
  <c r="I41" i="48"/>
  <c r="I46" i="91"/>
  <c r="I48" i="91"/>
  <c r="I51" i="91"/>
  <c r="S14" i="113" s="1"/>
  <c r="AD41" i="90"/>
  <c r="H33" i="90"/>
  <c r="U47" i="86"/>
  <c r="F37" i="86"/>
  <c r="F29" i="86"/>
  <c r="F18" i="86"/>
  <c r="F19" i="86"/>
  <c r="F14" i="86"/>
  <c r="F22" i="86"/>
  <c r="F36" i="86"/>
  <c r="V45" i="86"/>
  <c r="AF21" i="86"/>
  <c r="J21" i="86" s="1"/>
  <c r="AF22" i="86"/>
  <c r="J22" i="86" s="1"/>
  <c r="K22" i="86" s="1"/>
  <c r="AF18" i="86"/>
  <c r="J18" i="86" s="1"/>
  <c r="AF35" i="86"/>
  <c r="J35" i="86" s="1"/>
  <c r="K44" i="48" s="1"/>
  <c r="J13" i="113" s="1"/>
  <c r="AF37" i="86"/>
  <c r="J37" i="86" s="1"/>
  <c r="AF15" i="86"/>
  <c r="J15" i="86" s="1"/>
  <c r="AF34" i="86"/>
  <c r="J34" i="86" s="1"/>
  <c r="BD39" i="93"/>
  <c r="BE36" i="93"/>
  <c r="BE39" i="93" s="1"/>
  <c r="AD41" i="86"/>
  <c r="AE26" i="86"/>
  <c r="I26" i="86" s="1"/>
  <c r="AE28" i="86"/>
  <c r="I28" i="86" s="1"/>
  <c r="AE11" i="86"/>
  <c r="I11" i="86" s="1"/>
  <c r="AE36" i="86"/>
  <c r="I36" i="86" s="1"/>
  <c r="AE15" i="86"/>
  <c r="I15" i="86" s="1"/>
  <c r="AE16" i="86"/>
  <c r="I16" i="86" s="1"/>
  <c r="AE24" i="90"/>
  <c r="I24" i="90" s="1"/>
  <c r="AE18" i="90"/>
  <c r="I18" i="90" s="1"/>
  <c r="AE29" i="90"/>
  <c r="I29" i="90" s="1"/>
  <c r="AE36" i="90"/>
  <c r="I36" i="90" s="1"/>
  <c r="AE16" i="90"/>
  <c r="I16" i="90" s="1"/>
  <c r="AE38" i="90"/>
  <c r="I38" i="90" s="1"/>
  <c r="J49" i="91" s="1"/>
  <c r="AD21" i="95"/>
  <c r="H21" i="95" s="1"/>
  <c r="AD24" i="95"/>
  <c r="H24" i="95" s="1"/>
  <c r="AD15" i="95"/>
  <c r="H15" i="95" s="1"/>
  <c r="AD37" i="95"/>
  <c r="H37" i="95" s="1"/>
  <c r="AD36" i="95"/>
  <c r="H36" i="95" s="1"/>
  <c r="AD40" i="95"/>
  <c r="H40" i="95" s="1"/>
  <c r="I50" i="96" s="1"/>
  <c r="AD25" i="95"/>
  <c r="H25" i="95" s="1"/>
  <c r="T47" i="86"/>
  <c r="G30" i="86"/>
  <c r="H41" i="48"/>
  <c r="G11" i="113" s="1"/>
  <c r="I47" i="91"/>
  <c r="F28" i="86"/>
  <c r="F23" i="86"/>
  <c r="F39" i="86"/>
  <c r="F40" i="86"/>
  <c r="F38" i="86"/>
  <c r="F24" i="86"/>
  <c r="F20" i="86"/>
  <c r="AT76" i="88"/>
  <c r="S50" i="101"/>
  <c r="BD76" i="88"/>
  <c r="BE76" i="88" s="1"/>
  <c r="T44" i="95"/>
  <c r="AF26" i="86"/>
  <c r="J26" i="86" s="1"/>
  <c r="AF28" i="86"/>
  <c r="J28" i="86" s="1"/>
  <c r="AF14" i="86"/>
  <c r="J14" i="86" s="1"/>
  <c r="AF33" i="86"/>
  <c r="AF23" i="86"/>
  <c r="J23" i="86" s="1"/>
  <c r="AF39" i="86"/>
  <c r="J39" i="86" s="1"/>
  <c r="K42" i="48" s="1"/>
  <c r="AF16" i="86"/>
  <c r="J16" i="86" s="1"/>
  <c r="I43" i="48"/>
  <c r="H12" i="113" s="1"/>
  <c r="H41" i="86"/>
  <c r="AE24" i="86"/>
  <c r="I24" i="86" s="1"/>
  <c r="AE12" i="86"/>
  <c r="I12" i="86" s="1"/>
  <c r="AE39" i="86"/>
  <c r="I39" i="86" s="1"/>
  <c r="J42" i="48" s="1"/>
  <c r="AE13" i="86"/>
  <c r="I13" i="86" s="1"/>
  <c r="AE10" i="86"/>
  <c r="AE35" i="86"/>
  <c r="I35" i="86" s="1"/>
  <c r="J44" i="48" s="1"/>
  <c r="I13" i="113" s="1"/>
  <c r="AE13" i="113" s="1"/>
  <c r="AE38" i="86"/>
  <c r="I38" i="86" s="1"/>
  <c r="J49" i="48" s="1"/>
  <c r="AE26" i="90"/>
  <c r="I26" i="90" s="1"/>
  <c r="AE28" i="90"/>
  <c r="I28" i="90" s="1"/>
  <c r="AE37" i="90"/>
  <c r="I37" i="90" s="1"/>
  <c r="AE10" i="90"/>
  <c r="AE33" i="90"/>
  <c r="AE13" i="90"/>
  <c r="I13" i="90" s="1"/>
  <c r="AE12" i="90"/>
  <c r="I12" i="90" s="1"/>
  <c r="AD26" i="95"/>
  <c r="H26" i="95" s="1"/>
  <c r="AD28" i="95"/>
  <c r="H28" i="95" s="1"/>
  <c r="AD19" i="95"/>
  <c r="H19" i="95" s="1"/>
  <c r="AD13" i="95"/>
  <c r="H13" i="95" s="1"/>
  <c r="AD20" i="95"/>
  <c r="H20" i="95" s="1"/>
  <c r="AD23" i="95"/>
  <c r="H23" i="95" s="1"/>
  <c r="AD38" i="95"/>
  <c r="H38" i="95" s="1"/>
  <c r="I49" i="96" s="1"/>
  <c r="AE16" i="95" l="1"/>
  <c r="I16" i="95" s="1"/>
  <c r="AC11" i="113"/>
  <c r="R15" i="113"/>
  <c r="R16" i="113" s="1"/>
  <c r="AE14" i="95"/>
  <c r="I14" i="95" s="1"/>
  <c r="AD43" i="86"/>
  <c r="AD44" i="86" s="1"/>
  <c r="J48" i="48"/>
  <c r="AE15" i="95"/>
  <c r="I15" i="95" s="1"/>
  <c r="AE39" i="95"/>
  <c r="I39" i="95" s="1"/>
  <c r="J42" i="96" s="1"/>
  <c r="I45" i="48"/>
  <c r="I52" i="48" s="1"/>
  <c r="AE20" i="95"/>
  <c r="I20" i="95" s="1"/>
  <c r="AE38" i="95"/>
  <c r="I38" i="95" s="1"/>
  <c r="J49" i="96" s="1"/>
  <c r="AE21" i="95"/>
  <c r="I21" i="95" s="1"/>
  <c r="AE35" i="95"/>
  <c r="I35" i="95" s="1"/>
  <c r="J44" i="96" s="1"/>
  <c r="AE22" i="95"/>
  <c r="I22" i="95" s="1"/>
  <c r="AE23" i="95"/>
  <c r="I23" i="95" s="1"/>
  <c r="AE29" i="95"/>
  <c r="I29" i="95" s="1"/>
  <c r="AG25" i="86"/>
  <c r="AE27" i="95"/>
  <c r="I27" i="95" s="1"/>
  <c r="AE10" i="95"/>
  <c r="I10" i="95" s="1"/>
  <c r="AE40" i="95"/>
  <c r="I40" i="95" s="1"/>
  <c r="J50" i="96" s="1"/>
  <c r="AE18" i="95"/>
  <c r="I18" i="95" s="1"/>
  <c r="AE11" i="95"/>
  <c r="I11" i="95" s="1"/>
  <c r="AE17" i="95"/>
  <c r="I17" i="95" s="1"/>
  <c r="AD14" i="113"/>
  <c r="AE24" i="95"/>
  <c r="I24" i="95" s="1"/>
  <c r="AE12" i="95"/>
  <c r="I12" i="95" s="1"/>
  <c r="AE25" i="95"/>
  <c r="I25" i="95" s="1"/>
  <c r="AE13" i="95"/>
  <c r="I13" i="95" s="1"/>
  <c r="K48" i="48"/>
  <c r="H45" i="96"/>
  <c r="J48" i="91"/>
  <c r="J51" i="48"/>
  <c r="I14" i="113" s="1"/>
  <c r="G43" i="86"/>
  <c r="G44" i="86" s="1"/>
  <c r="AG19" i="86"/>
  <c r="AG29" i="86"/>
  <c r="K11" i="86"/>
  <c r="K13" i="86"/>
  <c r="AG20" i="86"/>
  <c r="K29" i="86"/>
  <c r="I40" i="96"/>
  <c r="AE26" i="95"/>
  <c r="I26" i="95" s="1"/>
  <c r="AE28" i="95"/>
  <c r="I28" i="95" s="1"/>
  <c r="AE34" i="95"/>
  <c r="I34" i="95" s="1"/>
  <c r="AE19" i="95"/>
  <c r="I19" i="95" s="1"/>
  <c r="AE33" i="95"/>
  <c r="I33" i="95" s="1"/>
  <c r="AE37" i="95"/>
  <c r="I37" i="95" s="1"/>
  <c r="AE36" i="95"/>
  <c r="I36" i="95" s="1"/>
  <c r="K20" i="86"/>
  <c r="K25" i="86"/>
  <c r="J46" i="48"/>
  <c r="AG17" i="86"/>
  <c r="K17" i="86"/>
  <c r="K28" i="86"/>
  <c r="G15" i="113"/>
  <c r="K27" i="86"/>
  <c r="K23" i="86"/>
  <c r="AG12" i="86"/>
  <c r="J51" i="91"/>
  <c r="T14" i="113" s="1"/>
  <c r="AG23" i="86"/>
  <c r="AG37" i="86"/>
  <c r="I47" i="96"/>
  <c r="AG40" i="86"/>
  <c r="K15" i="86"/>
  <c r="H43" i="86"/>
  <c r="H44" i="86" s="1"/>
  <c r="AG13" i="86"/>
  <c r="I10" i="86"/>
  <c r="K10" i="86" s="1"/>
  <c r="AE30" i="86"/>
  <c r="S51" i="101"/>
  <c r="T50" i="101"/>
  <c r="J30" i="86"/>
  <c r="K41" i="48"/>
  <c r="H41" i="90"/>
  <c r="I43" i="91"/>
  <c r="S12" i="113" s="1"/>
  <c r="AD12" i="113" s="1"/>
  <c r="F20" i="95"/>
  <c r="F40" i="95"/>
  <c r="I41" i="96"/>
  <c r="H30" i="95"/>
  <c r="AG10" i="86"/>
  <c r="AE41" i="86"/>
  <c r="I33" i="86"/>
  <c r="K36" i="86"/>
  <c r="I41" i="91"/>
  <c r="S11" i="113" s="1"/>
  <c r="H30" i="90"/>
  <c r="G30" i="95"/>
  <c r="H41" i="96"/>
  <c r="F15" i="90"/>
  <c r="F34" i="90"/>
  <c r="F39" i="90"/>
  <c r="F28" i="90"/>
  <c r="AB30" i="90"/>
  <c r="F10" i="90"/>
  <c r="F27" i="90"/>
  <c r="F40" i="90"/>
  <c r="AG15" i="86"/>
  <c r="G46" i="48"/>
  <c r="K21" i="86"/>
  <c r="S10" i="113"/>
  <c r="I33" i="90"/>
  <c r="AE41" i="90"/>
  <c r="J47" i="91"/>
  <c r="K47" i="48"/>
  <c r="AG24" i="86"/>
  <c r="G50" i="48"/>
  <c r="K40" i="86"/>
  <c r="I46" i="96"/>
  <c r="AC10" i="113"/>
  <c r="AC15" i="113" s="1"/>
  <c r="K37" i="86"/>
  <c r="K46" i="48"/>
  <c r="H11" i="113"/>
  <c r="F26" i="95"/>
  <c r="F14" i="95"/>
  <c r="F12" i="95"/>
  <c r="F39" i="95"/>
  <c r="F29" i="95"/>
  <c r="F13" i="95"/>
  <c r="F38" i="95"/>
  <c r="AD30" i="95"/>
  <c r="AG33" i="86"/>
  <c r="F30" i="86"/>
  <c r="G41" i="48"/>
  <c r="K19" i="86"/>
  <c r="G40" i="48"/>
  <c r="K12" i="86"/>
  <c r="AG27" i="86"/>
  <c r="AD43" i="90"/>
  <c r="AD44" i="90" s="1"/>
  <c r="AC43" i="95"/>
  <c r="AC44" i="95" s="1"/>
  <c r="F23" i="90"/>
  <c r="F16" i="90"/>
  <c r="F24" i="90"/>
  <c r="F25" i="90"/>
  <c r="F37" i="90"/>
  <c r="F12" i="90"/>
  <c r="F13" i="90"/>
  <c r="V43" i="90"/>
  <c r="AG21" i="86"/>
  <c r="G41" i="95"/>
  <c r="H43" i="96"/>
  <c r="G48" i="48"/>
  <c r="K24" i="86"/>
  <c r="F15" i="95"/>
  <c r="F18" i="95"/>
  <c r="F11" i="95"/>
  <c r="I10" i="90"/>
  <c r="AE30" i="90"/>
  <c r="AG22" i="86"/>
  <c r="V47" i="86"/>
  <c r="F21" i="95"/>
  <c r="AB41" i="95"/>
  <c r="F33" i="95"/>
  <c r="F23" i="95"/>
  <c r="F25" i="95"/>
  <c r="F19" i="95"/>
  <c r="F22" i="95"/>
  <c r="F36" i="95"/>
  <c r="AB43" i="86"/>
  <c r="AD41" i="95"/>
  <c r="H33" i="95"/>
  <c r="BD76" i="93"/>
  <c r="BE76" i="93" s="1"/>
  <c r="AT76" i="93"/>
  <c r="J46" i="91"/>
  <c r="AG16" i="86"/>
  <c r="AG35" i="86"/>
  <c r="G47" i="48"/>
  <c r="K26" i="86"/>
  <c r="F35" i="90"/>
  <c r="F11" i="90"/>
  <c r="F14" i="90"/>
  <c r="F29" i="90"/>
  <c r="F36" i="90"/>
  <c r="F38" i="90"/>
  <c r="U43" i="95"/>
  <c r="V30" i="95"/>
  <c r="AG11" i="86"/>
  <c r="AG34" i="86"/>
  <c r="I45" i="91"/>
  <c r="F34" i="95"/>
  <c r="F35" i="95"/>
  <c r="J33" i="86"/>
  <c r="AF41" i="86"/>
  <c r="AG38" i="86"/>
  <c r="AG39" i="86"/>
  <c r="J40" i="91"/>
  <c r="J40" i="48"/>
  <c r="K16" i="86"/>
  <c r="K14" i="86"/>
  <c r="G49" i="48"/>
  <c r="K38" i="86"/>
  <c r="G42" i="48"/>
  <c r="L42" i="48" s="1"/>
  <c r="K39" i="86"/>
  <c r="AG28" i="86"/>
  <c r="AF30" i="86"/>
  <c r="AF43" i="86" s="1"/>
  <c r="AF44" i="86" s="1"/>
  <c r="I48" i="96"/>
  <c r="J47" i="48"/>
  <c r="K51" i="48"/>
  <c r="J14" i="113" s="1"/>
  <c r="K18" i="86"/>
  <c r="AG36" i="86"/>
  <c r="AG14" i="86"/>
  <c r="AG18" i="86"/>
  <c r="F10" i="95"/>
  <c r="AB30" i="95"/>
  <c r="F17" i="95"/>
  <c r="F24" i="95"/>
  <c r="F27" i="95"/>
  <c r="F16" i="95"/>
  <c r="F28" i="95"/>
  <c r="F37" i="95"/>
  <c r="H52" i="48"/>
  <c r="G43" i="48"/>
  <c r="F41" i="86"/>
  <c r="I51" i="96"/>
  <c r="K36" i="96"/>
  <c r="L29" i="96"/>
  <c r="K40" i="48"/>
  <c r="G44" i="48"/>
  <c r="K35" i="86"/>
  <c r="AG26" i="86"/>
  <c r="F22" i="90"/>
  <c r="F26" i="90"/>
  <c r="F18" i="90"/>
  <c r="F19" i="90"/>
  <c r="AB41" i="90"/>
  <c r="F33" i="90"/>
  <c r="F21" i="90"/>
  <c r="F20" i="90"/>
  <c r="G51" i="48"/>
  <c r="K34" i="86"/>
  <c r="J11" i="113" l="1"/>
  <c r="J48" i="96"/>
  <c r="J46" i="96"/>
  <c r="J40" i="96"/>
  <c r="L36" i="96"/>
  <c r="L37" i="96" s="1"/>
  <c r="K37" i="96"/>
  <c r="AE14" i="113"/>
  <c r="J47" i="96"/>
  <c r="AG41" i="86"/>
  <c r="J45" i="91"/>
  <c r="AE41" i="95"/>
  <c r="G16" i="113"/>
  <c r="J45" i="48"/>
  <c r="AE30" i="95"/>
  <c r="J51" i="96"/>
  <c r="I52" i="91"/>
  <c r="AE43" i="90"/>
  <c r="AE44" i="90" s="1"/>
  <c r="H52" i="96"/>
  <c r="K45" i="48"/>
  <c r="F13" i="113"/>
  <c r="L44" i="48"/>
  <c r="K43" i="48"/>
  <c r="J12" i="113" s="1"/>
  <c r="J41" i="86"/>
  <c r="J43" i="86" s="1"/>
  <c r="J44" i="86" s="1"/>
  <c r="S15" i="113"/>
  <c r="AD10" i="113"/>
  <c r="G50" i="96"/>
  <c r="U45" i="90"/>
  <c r="U45" i="95"/>
  <c r="AF29" i="95" s="1"/>
  <c r="T51" i="101"/>
  <c r="F14" i="113"/>
  <c r="L51" i="48"/>
  <c r="G46" i="91"/>
  <c r="J10" i="113"/>
  <c r="J43" i="96"/>
  <c r="I41" i="95"/>
  <c r="G51" i="96"/>
  <c r="G49" i="91"/>
  <c r="AG30" i="86"/>
  <c r="G46" i="96"/>
  <c r="G48" i="91"/>
  <c r="AD43" i="95"/>
  <c r="AD44" i="95" s="1"/>
  <c r="G42" i="96"/>
  <c r="AD11" i="113"/>
  <c r="H15" i="113"/>
  <c r="H16" i="113" s="1"/>
  <c r="I45" i="96"/>
  <c r="J41" i="96"/>
  <c r="I30" i="95"/>
  <c r="I43" i="95" s="1"/>
  <c r="I44" i="95" s="1"/>
  <c r="G51" i="91"/>
  <c r="G43" i="95"/>
  <c r="G44" i="95" s="1"/>
  <c r="J43" i="48"/>
  <c r="I12" i="113" s="1"/>
  <c r="I41" i="86"/>
  <c r="AE43" i="86"/>
  <c r="AE44" i="86" s="1"/>
  <c r="G43" i="91"/>
  <c r="F41" i="90"/>
  <c r="F12" i="113"/>
  <c r="AB43" i="95"/>
  <c r="I10" i="113"/>
  <c r="AB44" i="86"/>
  <c r="G41" i="96"/>
  <c r="F11" i="113"/>
  <c r="G47" i="96"/>
  <c r="J43" i="91"/>
  <c r="T12" i="113" s="1"/>
  <c r="I41" i="90"/>
  <c r="G45" i="48"/>
  <c r="G50" i="91"/>
  <c r="G41" i="91"/>
  <c r="F30" i="90"/>
  <c r="H43" i="90"/>
  <c r="H44" i="90" s="1"/>
  <c r="I30" i="86"/>
  <c r="K30" i="86" s="1"/>
  <c r="J41" i="48"/>
  <c r="I11" i="113" s="1"/>
  <c r="J41" i="91"/>
  <c r="T11" i="113" s="1"/>
  <c r="I30" i="90"/>
  <c r="G40" i="91"/>
  <c r="G47" i="91"/>
  <c r="K33" i="86"/>
  <c r="G48" i="96"/>
  <c r="F30" i="95"/>
  <c r="T10" i="113"/>
  <c r="G44" i="96"/>
  <c r="U44" i="95"/>
  <c r="V43" i="95"/>
  <c r="V44" i="95" s="1"/>
  <c r="G44" i="91"/>
  <c r="I43" i="96"/>
  <c r="H41" i="95"/>
  <c r="H43" i="95" s="1"/>
  <c r="H44" i="95" s="1"/>
  <c r="G43" i="96"/>
  <c r="F41" i="95"/>
  <c r="F10" i="113"/>
  <c r="L40" i="48"/>
  <c r="F43" i="86"/>
  <c r="G49" i="96"/>
  <c r="G40" i="96"/>
  <c r="AB43" i="90"/>
  <c r="G42" i="91"/>
  <c r="J45" i="96" l="1"/>
  <c r="J52" i="96" s="1"/>
  <c r="AF36" i="95"/>
  <c r="AF10" i="95"/>
  <c r="AG10" i="95" s="1"/>
  <c r="K52" i="48"/>
  <c r="AF16" i="95"/>
  <c r="J16" i="95" s="1"/>
  <c r="K16" i="95" s="1"/>
  <c r="R48" i="95"/>
  <c r="H54" i="96"/>
  <c r="AF22" i="95"/>
  <c r="J22" i="95" s="1"/>
  <c r="K22" i="95" s="1"/>
  <c r="AF39" i="95"/>
  <c r="J39" i="95" s="1"/>
  <c r="S16" i="113"/>
  <c r="AF12" i="95"/>
  <c r="AG12" i="95" s="1"/>
  <c r="AF21" i="95"/>
  <c r="J21" i="95" s="1"/>
  <c r="AF27" i="95"/>
  <c r="AG27" i="95" s="1"/>
  <c r="AF25" i="95"/>
  <c r="J25" i="95" s="1"/>
  <c r="K25" i="95" s="1"/>
  <c r="AF15" i="95"/>
  <c r="J15" i="95" s="1"/>
  <c r="K15" i="95" s="1"/>
  <c r="AF18" i="95"/>
  <c r="J18" i="95" s="1"/>
  <c r="K18" i="95" s="1"/>
  <c r="AE43" i="95"/>
  <c r="AE44" i="95" s="1"/>
  <c r="AF26" i="95"/>
  <c r="J26" i="95" s="1"/>
  <c r="AF23" i="95"/>
  <c r="AG23" i="95" s="1"/>
  <c r="AF34" i="95"/>
  <c r="AG34" i="95" s="1"/>
  <c r="AF19" i="95"/>
  <c r="AG19" i="95" s="1"/>
  <c r="I43" i="86"/>
  <c r="I44" i="86" s="1"/>
  <c r="AF28" i="95"/>
  <c r="J28" i="95" s="1"/>
  <c r="K28" i="95" s="1"/>
  <c r="AF40" i="95"/>
  <c r="J40" i="95" s="1"/>
  <c r="AF38" i="95"/>
  <c r="AG38" i="95" s="1"/>
  <c r="AF14" i="95"/>
  <c r="J14" i="95" s="1"/>
  <c r="K14" i="95" s="1"/>
  <c r="I52" i="96"/>
  <c r="I54" i="96" s="1"/>
  <c r="AG43" i="86"/>
  <c r="AG44" i="86" s="1"/>
  <c r="AC16" i="113"/>
  <c r="L45" i="48"/>
  <c r="G52" i="48"/>
  <c r="AF24" i="95"/>
  <c r="J24" i="95" s="1"/>
  <c r="AF17" i="95"/>
  <c r="AG17" i="95" s="1"/>
  <c r="AF37" i="95"/>
  <c r="AG37" i="95" s="1"/>
  <c r="AF33" i="95"/>
  <c r="AG33" i="95" s="1"/>
  <c r="AF11" i="95"/>
  <c r="AF13" i="95"/>
  <c r="J13" i="95" s="1"/>
  <c r="K13" i="95" s="1"/>
  <c r="I43" i="90"/>
  <c r="I44" i="90" s="1"/>
  <c r="AD15" i="113"/>
  <c r="AF20" i="95"/>
  <c r="AG20" i="95" s="1"/>
  <c r="AF35" i="95"/>
  <c r="J35" i="95" s="1"/>
  <c r="J29" i="95"/>
  <c r="K29" i="95" s="1"/>
  <c r="AG29" i="95"/>
  <c r="J15" i="113"/>
  <c r="U47" i="90"/>
  <c r="V47" i="90" s="1"/>
  <c r="V45" i="90"/>
  <c r="AF29" i="90"/>
  <c r="AF38" i="90"/>
  <c r="AF12" i="90"/>
  <c r="AF18" i="90"/>
  <c r="AF39" i="90"/>
  <c r="AF15" i="90"/>
  <c r="AF26" i="90"/>
  <c r="AF37" i="90"/>
  <c r="AF11" i="90"/>
  <c r="AF21" i="90"/>
  <c r="AF14" i="90"/>
  <c r="AF19" i="90"/>
  <c r="AF16" i="90"/>
  <c r="AF35" i="90"/>
  <c r="AF13" i="90"/>
  <c r="AF24" i="90"/>
  <c r="AF22" i="90"/>
  <c r="AF33" i="90"/>
  <c r="AF25" i="90"/>
  <c r="AF17" i="90"/>
  <c r="AF23" i="90"/>
  <c r="AF34" i="90"/>
  <c r="AF40" i="90"/>
  <c r="AF36" i="90"/>
  <c r="AF20" i="90"/>
  <c r="AF28" i="90"/>
  <c r="AF10" i="90"/>
  <c r="AF27" i="90"/>
  <c r="K13" i="113"/>
  <c r="J52" i="91"/>
  <c r="K11" i="113"/>
  <c r="J52" i="48"/>
  <c r="L43" i="48"/>
  <c r="K14" i="113"/>
  <c r="K41" i="86"/>
  <c r="F43" i="95"/>
  <c r="L41" i="48"/>
  <c r="F15" i="113"/>
  <c r="K10" i="113"/>
  <c r="Q13" i="113"/>
  <c r="T15" i="113"/>
  <c r="Q10" i="113"/>
  <c r="AB10" i="113" s="1"/>
  <c r="F43" i="90"/>
  <c r="I15" i="113"/>
  <c r="AE10" i="113"/>
  <c r="Q12" i="113"/>
  <c r="AB12" i="113" s="1"/>
  <c r="Q14" i="113"/>
  <c r="AB14" i="113" s="1"/>
  <c r="K12" i="113"/>
  <c r="H53" i="96"/>
  <c r="J36" i="95"/>
  <c r="K36" i="95" s="1"/>
  <c r="AG36" i="95"/>
  <c r="AE11" i="113"/>
  <c r="AB44" i="90"/>
  <c r="F44" i="86"/>
  <c r="Q11" i="113"/>
  <c r="AB44" i="95"/>
  <c r="AE12" i="113"/>
  <c r="G45" i="96"/>
  <c r="G52" i="96" s="1"/>
  <c r="G54" i="96" s="1"/>
  <c r="G45" i="91"/>
  <c r="G52" i="91" s="1"/>
  <c r="V45" i="95"/>
  <c r="U47" i="95"/>
  <c r="AG28" i="95" l="1"/>
  <c r="I53" i="96"/>
  <c r="J12" i="95"/>
  <c r="K12" i="95" s="1"/>
  <c r="J10" i="95"/>
  <c r="K10" i="95" s="1"/>
  <c r="J34" i="95"/>
  <c r="K34" i="95" s="1"/>
  <c r="AG18" i="95"/>
  <c r="AG22" i="95"/>
  <c r="AG40" i="95"/>
  <c r="AG21" i="95"/>
  <c r="J16" i="113"/>
  <c r="J23" i="95"/>
  <c r="K23" i="95" s="1"/>
  <c r="AG15" i="95"/>
  <c r="J37" i="95"/>
  <c r="K37" i="95" s="1"/>
  <c r="S48" i="95"/>
  <c r="AG25" i="95"/>
  <c r="AG26" i="95"/>
  <c r="AG14" i="95"/>
  <c r="K43" i="86"/>
  <c r="J17" i="95"/>
  <c r="K17" i="95" s="1"/>
  <c r="AG16" i="95"/>
  <c r="AG39" i="95"/>
  <c r="J53" i="96"/>
  <c r="J54" i="96"/>
  <c r="J20" i="95"/>
  <c r="K20" i="95" s="1"/>
  <c r="J19" i="95"/>
  <c r="K19" i="95" s="1"/>
  <c r="J27" i="95"/>
  <c r="K27" i="95" s="1"/>
  <c r="J33" i="95"/>
  <c r="K43" i="96" s="1"/>
  <c r="L43" i="96" s="1"/>
  <c r="J38" i="95"/>
  <c r="AG24" i="95"/>
  <c r="AG13" i="95"/>
  <c r="T48" i="95"/>
  <c r="AF30" i="95"/>
  <c r="AG30" i="95" s="1"/>
  <c r="AG11" i="95"/>
  <c r="J11" i="95"/>
  <c r="K11" i="95" s="1"/>
  <c r="AD16" i="113"/>
  <c r="L52" i="48"/>
  <c r="C53" i="101" s="1"/>
  <c r="AF41" i="95"/>
  <c r="AG41" i="95" s="1"/>
  <c r="I16" i="113"/>
  <c r="AG35" i="95"/>
  <c r="T16" i="113"/>
  <c r="G53" i="96"/>
  <c r="Q48" i="95"/>
  <c r="J28" i="90"/>
  <c r="K28" i="90" s="1"/>
  <c r="AG28" i="90"/>
  <c r="J33" i="90"/>
  <c r="AF41" i="90"/>
  <c r="AG41" i="90" s="1"/>
  <c r="AG33" i="90"/>
  <c r="J35" i="90"/>
  <c r="AG35" i="90"/>
  <c r="J21" i="90"/>
  <c r="AG21" i="90"/>
  <c r="J15" i="90"/>
  <c r="K15" i="90" s="1"/>
  <c r="AG15" i="90"/>
  <c r="J38" i="90"/>
  <c r="AG38" i="90"/>
  <c r="Q15" i="113"/>
  <c r="F44" i="95"/>
  <c r="K50" i="96"/>
  <c r="K40" i="95"/>
  <c r="K21" i="95"/>
  <c r="AB13" i="113"/>
  <c r="J20" i="90"/>
  <c r="K20" i="90" s="1"/>
  <c r="AG20" i="90"/>
  <c r="J23" i="90"/>
  <c r="K23" i="90" s="1"/>
  <c r="AG23" i="90"/>
  <c r="J22" i="90"/>
  <c r="K22" i="90" s="1"/>
  <c r="AG22" i="90"/>
  <c r="J16" i="90"/>
  <c r="K16" i="90" s="1"/>
  <c r="AG16" i="90"/>
  <c r="J11" i="90"/>
  <c r="K11" i="90" s="1"/>
  <c r="AG11" i="90"/>
  <c r="J39" i="90"/>
  <c r="AG39" i="90"/>
  <c r="J29" i="90"/>
  <c r="K29" i="90" s="1"/>
  <c r="AG29" i="90"/>
  <c r="F16" i="113"/>
  <c r="K15" i="113"/>
  <c r="J34" i="90"/>
  <c r="AG34" i="90"/>
  <c r="F44" i="90"/>
  <c r="J27" i="90"/>
  <c r="K27" i="90" s="1"/>
  <c r="AG27" i="90"/>
  <c r="J36" i="90"/>
  <c r="K36" i="90" s="1"/>
  <c r="AG36" i="90"/>
  <c r="AG17" i="90"/>
  <c r="J17" i="90"/>
  <c r="K17" i="90" s="1"/>
  <c r="J24" i="90"/>
  <c r="AG24" i="90"/>
  <c r="J19" i="90"/>
  <c r="K19" i="90" s="1"/>
  <c r="AG19" i="90"/>
  <c r="J37" i="90"/>
  <c r="K37" i="90" s="1"/>
  <c r="AG37" i="90"/>
  <c r="J18" i="90"/>
  <c r="K18" i="90" s="1"/>
  <c r="AG18" i="90"/>
  <c r="V47" i="95"/>
  <c r="K42" i="96"/>
  <c r="L42" i="96" s="1"/>
  <c r="K39" i="95"/>
  <c r="AE15" i="113"/>
  <c r="K48" i="96"/>
  <c r="K24" i="95"/>
  <c r="K44" i="96"/>
  <c r="L44" i="96" s="1"/>
  <c r="K35" i="95"/>
  <c r="K26" i="95"/>
  <c r="AB11" i="113"/>
  <c r="J10" i="90"/>
  <c r="AF30" i="90"/>
  <c r="AG10" i="90"/>
  <c r="J40" i="90"/>
  <c r="AG40" i="90"/>
  <c r="J25" i="90"/>
  <c r="K25" i="90" s="1"/>
  <c r="AG25" i="90"/>
  <c r="J13" i="90"/>
  <c r="K13" i="90" s="1"/>
  <c r="AG13" i="90"/>
  <c r="J14" i="90"/>
  <c r="K14" i="90" s="1"/>
  <c r="AG14" i="90"/>
  <c r="J26" i="90"/>
  <c r="AG26" i="90"/>
  <c r="J12" i="90"/>
  <c r="AG12" i="90"/>
  <c r="K46" i="96" l="1"/>
  <c r="K33" i="95"/>
  <c r="K51" i="96"/>
  <c r="L51" i="96" s="1"/>
  <c r="J41" i="95"/>
  <c r="K41" i="95" s="1"/>
  <c r="K47" i="96"/>
  <c r="K38" i="95"/>
  <c r="K16" i="113"/>
  <c r="J30" i="95"/>
  <c r="J43" i="95" s="1"/>
  <c r="K49" i="96"/>
  <c r="K40" i="96"/>
  <c r="L40" i="96" s="1"/>
  <c r="AB15" i="113"/>
  <c r="AB16" i="113" s="1"/>
  <c r="AF43" i="95"/>
  <c r="AF44" i="95" s="1"/>
  <c r="K41" i="96"/>
  <c r="L41" i="96" s="1"/>
  <c r="K48" i="91"/>
  <c r="K24" i="90"/>
  <c r="K42" i="91"/>
  <c r="L42" i="91" s="1"/>
  <c r="K39" i="90"/>
  <c r="K50" i="91"/>
  <c r="K40" i="90"/>
  <c r="AE16" i="113"/>
  <c r="K51" i="91"/>
  <c r="K34" i="90"/>
  <c r="Q16" i="113"/>
  <c r="K43" i="91"/>
  <c r="J41" i="90"/>
  <c r="K41" i="90" s="1"/>
  <c r="K33" i="90"/>
  <c r="K40" i="91"/>
  <c r="K12" i="90"/>
  <c r="AF43" i="90"/>
  <c r="AG30" i="90"/>
  <c r="K44" i="91"/>
  <c r="K35" i="90"/>
  <c r="K41" i="91"/>
  <c r="J30" i="90"/>
  <c r="K10" i="90"/>
  <c r="K47" i="91"/>
  <c r="K26" i="90"/>
  <c r="K49" i="91"/>
  <c r="K38" i="90"/>
  <c r="K46" i="91"/>
  <c r="K21" i="90"/>
  <c r="K45" i="96" l="1"/>
  <c r="L45" i="96" s="1"/>
  <c r="AG43" i="95"/>
  <c r="AG44" i="95" s="1"/>
  <c r="K30" i="95"/>
  <c r="K45" i="91"/>
  <c r="L45" i="91" s="1"/>
  <c r="U10" i="113"/>
  <c r="L40" i="91"/>
  <c r="U13" i="113"/>
  <c r="L44" i="91"/>
  <c r="AF44" i="90"/>
  <c r="AG43" i="90"/>
  <c r="AG44" i="90" s="1"/>
  <c r="U11" i="113"/>
  <c r="L41" i="91"/>
  <c r="J43" i="90"/>
  <c r="K30" i="90"/>
  <c r="U12" i="113"/>
  <c r="L43" i="91"/>
  <c r="U14" i="113"/>
  <c r="L51" i="91"/>
  <c r="J44" i="95"/>
  <c r="K43" i="95"/>
  <c r="K52" i="96" l="1"/>
  <c r="U48" i="95" s="1"/>
  <c r="K52" i="91"/>
  <c r="L52" i="91" s="1"/>
  <c r="AF14" i="113"/>
  <c r="AG14" i="113" s="1"/>
  <c r="V14" i="113"/>
  <c r="J44" i="90"/>
  <c r="K43" i="90"/>
  <c r="AF11" i="113"/>
  <c r="AG11" i="113" s="1"/>
  <c r="V11" i="113"/>
  <c r="U15" i="113"/>
  <c r="V15" i="113" s="1"/>
  <c r="AF10" i="113"/>
  <c r="V10" i="113"/>
  <c r="AF12" i="113"/>
  <c r="AG12" i="113" s="1"/>
  <c r="V12" i="113"/>
  <c r="AF13" i="113"/>
  <c r="AG13" i="113" s="1"/>
  <c r="V13" i="113"/>
  <c r="L52" i="96" l="1"/>
  <c r="L53" i="96" s="1"/>
  <c r="K53" i="96"/>
  <c r="K54" i="96"/>
  <c r="V16" i="113"/>
  <c r="U16" i="113"/>
  <c r="AG10" i="113"/>
  <c r="AF15" i="113"/>
  <c r="O53" i="101"/>
  <c r="L54" i="96" l="1"/>
  <c r="AF16" i="113"/>
  <c r="AG15" i="113"/>
  <c r="AG16" i="113" s="1"/>
</calcChain>
</file>

<file path=xl/sharedStrings.xml><?xml version="1.0" encoding="utf-8"?>
<sst xmlns="http://schemas.openxmlformats.org/spreadsheetml/2006/main" count="2132" uniqueCount="446">
  <si>
    <t>Mains Augmentation</t>
  </si>
  <si>
    <t>Telemetry</t>
  </si>
  <si>
    <t>Information Technology</t>
  </si>
  <si>
    <t>Large Consumers</t>
  </si>
  <si>
    <t>Growth New Areas</t>
  </si>
  <si>
    <t>New Main - Estate</t>
  </si>
  <si>
    <t>New Main - Existing Domestic</t>
  </si>
  <si>
    <t>New Service - New Home</t>
  </si>
  <si>
    <t>New Service - Exist Home</t>
  </si>
  <si>
    <t>New Service - Multi User</t>
  </si>
  <si>
    <t>New Service - I&amp;C &lt; 10 Tj</t>
  </si>
  <si>
    <t>Check</t>
  </si>
  <si>
    <t>Description of model</t>
  </si>
  <si>
    <t>Sheet Name</t>
  </si>
  <si>
    <t>Sheet Description</t>
  </si>
  <si>
    <t>Service Renewal - Non AMRP</t>
  </si>
  <si>
    <t>New Main - I&amp;C&lt;10TJ</t>
  </si>
  <si>
    <t>Contents!A1</t>
  </si>
  <si>
    <t>Labour</t>
  </si>
  <si>
    <t>Materials</t>
  </si>
  <si>
    <t>Hyperlink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</si>
  <si>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</si>
  <si>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</si>
  <si>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</si>
  <si>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</si>
  <si>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</si>
  <si>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</si>
  <si>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</si>
  <si>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</si>
  <si>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</si>
  <si>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</si>
  <si>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</si>
  <si>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</si>
  <si>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</si>
  <si>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</si>
  <si>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</si>
  <si>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</si>
  <si>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</si>
  <si>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</si>
  <si>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</si>
  <si>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Real Cost Escalation</t>
  </si>
  <si>
    <t>Year-on-Year</t>
  </si>
  <si>
    <t>Cumulative</t>
  </si>
  <si>
    <t>Unit Rate Forecasts</t>
  </si>
  <si>
    <t>Non-Unit Rate Forecasts</t>
  </si>
  <si>
    <t>TOTAL</t>
  </si>
  <si>
    <t>SUBTOTAL</t>
  </si>
  <si>
    <t>Real Cost Escalation'!A1</t>
  </si>
  <si>
    <t>Mains Replacement</t>
  </si>
  <si>
    <t>Meter Replacement</t>
  </si>
  <si>
    <t>Augmentation</t>
  </si>
  <si>
    <t>Regulators</t>
  </si>
  <si>
    <t>IT</t>
  </si>
  <si>
    <t>Growth Assets</t>
  </si>
  <si>
    <t>Mains growth</t>
  </si>
  <si>
    <t>Inlets growth</t>
  </si>
  <si>
    <t>Meters growth</t>
  </si>
  <si>
    <t>Large consumers</t>
  </si>
  <si>
    <t>Growth new areas</t>
  </si>
  <si>
    <t>Other Distribution System</t>
  </si>
  <si>
    <t>Other Non-Distribution System</t>
  </si>
  <si>
    <t>Overheads</t>
  </si>
  <si>
    <t>Historic Overheads</t>
  </si>
  <si>
    <t>Support</t>
  </si>
  <si>
    <t>Total Capex</t>
  </si>
  <si>
    <t>% Overheads to Capex</t>
  </si>
  <si>
    <t>Average</t>
  </si>
  <si>
    <t>BIS Shrapnel</t>
  </si>
  <si>
    <t>Deloitte Access Economics</t>
  </si>
  <si>
    <t>Total Capex - Overheads</t>
  </si>
  <si>
    <t>Meters</t>
  </si>
  <si>
    <t>PTRM Input</t>
  </si>
  <si>
    <t>PTRM Input'!A1</t>
  </si>
  <si>
    <t>Total for 
2018-2022</t>
  </si>
  <si>
    <t>Mains Replacement Total</t>
  </si>
  <si>
    <t>Meter Replacement Total</t>
  </si>
  <si>
    <t>Meter Replacement Volumes (units)</t>
  </si>
  <si>
    <t>New Mains Total</t>
  </si>
  <si>
    <t>New Services Total</t>
  </si>
  <si>
    <t>New Meters Volumes (units)</t>
  </si>
  <si>
    <t>New Services Volumes (units)</t>
  </si>
  <si>
    <t>New Meters Total</t>
  </si>
  <si>
    <t xml:space="preserve">Total </t>
  </si>
  <si>
    <t>$m, nominal</t>
  </si>
  <si>
    <t>Operations &amp; maintenance</t>
  </si>
  <si>
    <t>Planning &amp; system design</t>
  </si>
  <si>
    <t>Procurement &amp; fleet</t>
  </si>
  <si>
    <t>Technical assurance</t>
  </si>
  <si>
    <t>Network engineering</t>
  </si>
  <si>
    <t>Fixed</t>
  </si>
  <si>
    <t>Variable</t>
  </si>
  <si>
    <t>Weights</t>
  </si>
  <si>
    <t>Total</t>
  </si>
  <si>
    <t>Business Case Summary</t>
  </si>
  <si>
    <t>Code</t>
  </si>
  <si>
    <t>Name</t>
  </si>
  <si>
    <t>Other Assets</t>
  </si>
  <si>
    <t>Augmentation Total</t>
  </si>
  <si>
    <t>Information Technology Total</t>
  </si>
  <si>
    <t>Telemetry Total</t>
  </si>
  <si>
    <t>Source</t>
  </si>
  <si>
    <t>Capital Expenditure (direct costs only)</t>
  </si>
  <si>
    <t>Mains &amp; Services</t>
  </si>
  <si>
    <t>Buildings</t>
  </si>
  <si>
    <t>Equity Raising Costs</t>
  </si>
  <si>
    <t>Land</t>
  </si>
  <si>
    <t>Growth Assets (mains, inlets)</t>
  </si>
  <si>
    <t>Growth Assets (meters only)</t>
  </si>
  <si>
    <t>N/A</t>
  </si>
  <si>
    <t>Capital Expenditure Forecasts, $m 2016</t>
  </si>
  <si>
    <t>V13</t>
  </si>
  <si>
    <t>CITY GATE  AND CTM UPGRADES</t>
  </si>
  <si>
    <t>V18</t>
  </si>
  <si>
    <t>H85 ECHUCA HP AUGMENTATION</t>
  </si>
  <si>
    <t>V23</t>
  </si>
  <si>
    <t>TP44 – DANDENONG – CRIB POINT (3.9 KM DN450 )</t>
  </si>
  <si>
    <t>V28</t>
  </si>
  <si>
    <t xml:space="preserve">H07 CRANBOURNE HP AUGMENTATION </t>
  </si>
  <si>
    <t>V54</t>
  </si>
  <si>
    <t>REFURBISH DANDENONG-CRIBB POINT PIPELINE</t>
  </si>
  <si>
    <t>V89</t>
  </si>
  <si>
    <t>MORWLL TRAMWAY ROAD TP MAIN</t>
  </si>
  <si>
    <t>V46</t>
  </si>
  <si>
    <t>V47</t>
  </si>
  <si>
    <t>V48</t>
  </si>
  <si>
    <t>V49</t>
  </si>
  <si>
    <t>V50</t>
  </si>
  <si>
    <t>V01</t>
  </si>
  <si>
    <t>V02</t>
  </si>
  <si>
    <t>V27</t>
  </si>
  <si>
    <t>V91</t>
  </si>
  <si>
    <t>V05</t>
  </si>
  <si>
    <t>V10</t>
  </si>
  <si>
    <t>V34</t>
  </si>
  <si>
    <t>END OF LIFE REPLACEMENT GROVE MODEL 82 REGULATORS</t>
  </si>
  <si>
    <t>V35</t>
  </si>
  <si>
    <t>I&amp;C METERSETS FISHER 298 REPLACEMENT</t>
  </si>
  <si>
    <t>V37</t>
  </si>
  <si>
    <t>END OF LIFE REPLACEMENT WATERBATH HEATER COIL</t>
  </si>
  <si>
    <t>V38</t>
  </si>
  <si>
    <t>CITY GATE REFURBISHMENT - FENCING, WATER TANKS, PLATFORMS, BOLLARDS</t>
  </si>
  <si>
    <t>V41</t>
  </si>
  <si>
    <t>CITY GATE &amp; FIELD REGULATOR PIPEWORK REFURBISHMENT</t>
  </si>
  <si>
    <t>V44</t>
  </si>
  <si>
    <t>TRANSMISSION VALVE REPLACEMENT</t>
  </si>
  <si>
    <t>V62</t>
  </si>
  <si>
    <t>BUSHFIRE PREPAREDNESS</t>
  </si>
  <si>
    <t>V79</t>
  </si>
  <si>
    <t>I&amp;C METERSET REFURBISHMENT PROGRAM</t>
  </si>
  <si>
    <t>V83</t>
  </si>
  <si>
    <t>TRANSMISSION PIPELINE MODIFICATION FOR PIGGABILITY</t>
  </si>
  <si>
    <t>V95</t>
  </si>
  <si>
    <t>CITY GATE REFURBISHMENT VALVE REPLACEMENT</t>
  </si>
  <si>
    <t>V07</t>
  </si>
  <si>
    <t>SCADA END OF LIFE REPLACEMENT</t>
  </si>
  <si>
    <t>V08</t>
  </si>
  <si>
    <t>SCADA REGIONAL TOWNS &amp; FRINGE POINTS</t>
  </si>
  <si>
    <t>V53</t>
  </si>
  <si>
    <t>SCADA HEATER OUTLET TEMPERATURE MONITORING</t>
  </si>
  <si>
    <t>Other  Distribution System</t>
  </si>
  <si>
    <t>Other   Non Distribution System</t>
  </si>
  <si>
    <t>Regulators &amp; Valves</t>
  </si>
  <si>
    <t>Other  Distribution System Total</t>
  </si>
  <si>
    <t>Other  Non Distribution System Total</t>
  </si>
  <si>
    <t>Regulators &amp; Valves Total</t>
  </si>
  <si>
    <t>V102</t>
  </si>
  <si>
    <t>MOE</t>
  </si>
  <si>
    <t>Service Renewal - Volumes</t>
  </si>
  <si>
    <t>Service Renewal Volumes (units)</t>
  </si>
  <si>
    <t>Mains Replacement Volumes (metres)</t>
  </si>
  <si>
    <t>Service Renewal Total</t>
  </si>
  <si>
    <t>Mains Replacement Unit Rates ($/metre)</t>
  </si>
  <si>
    <t>Service Renewal Unit Rates ($/unit)</t>
  </si>
  <si>
    <t>Mains Replacement - Volumes</t>
  </si>
  <si>
    <t>Meter Replacement Unit Rates ($/unit)</t>
  </si>
  <si>
    <t>New Mains Unit Rates ($/metre)</t>
  </si>
  <si>
    <t>New Mains Volumes (metres)</t>
  </si>
  <si>
    <t>New Services Unit Rates ($/unit)</t>
  </si>
  <si>
    <t>New Meters Unit Rates ($/unit)</t>
  </si>
  <si>
    <t>Mains Replacement - Unit Rates ($2016)</t>
  </si>
  <si>
    <t>Service Renewal - Unit Rates ($2016)</t>
  </si>
  <si>
    <t>Meter Replacement - Unit Rates ($2016)</t>
  </si>
  <si>
    <t>New Mains - Unit Rates ($2016)</t>
  </si>
  <si>
    <t>New Services - Unit Rates ($2016)</t>
  </si>
  <si>
    <t>New Meters - Unit Rates ($2016)</t>
  </si>
  <si>
    <t>Meter Replacement - Volumes</t>
  </si>
  <si>
    <t>New Services - Volumes</t>
  </si>
  <si>
    <t>New Meters - Volumes</t>
  </si>
  <si>
    <t>New Mains - Volumes</t>
  </si>
  <si>
    <t>Capital Expenditure (direct costs and real cost escalation)</t>
  </si>
  <si>
    <t>Capital Expenditure (direct costs, real cost escalation and overheads)</t>
  </si>
  <si>
    <t>Average %</t>
  </si>
  <si>
    <t>Fixed Overheads</t>
  </si>
  <si>
    <t>Variable Overheads</t>
  </si>
  <si>
    <t>Total Overheads</t>
  </si>
  <si>
    <t>Average % Overheads to Total Capex</t>
  </si>
  <si>
    <t>Mains Replacement - Forecast ($m 2016)</t>
  </si>
  <si>
    <t>Service Renewal - Forecast ($m 2016)</t>
  </si>
  <si>
    <t>Meter Replacement - Forecast ($m 2016)</t>
  </si>
  <si>
    <t>New Mains - Forecast ($m 2016)</t>
  </si>
  <si>
    <t>New Services - Forecast ($m 2016)</t>
  </si>
  <si>
    <t>New Meters - Forecast ($m 2016)</t>
  </si>
  <si>
    <t>V103</t>
  </si>
  <si>
    <t>Wallan</t>
  </si>
  <si>
    <t>Conversion from Nominal to Real $2016</t>
  </si>
  <si>
    <t>Sept 2014 - Sept 2015</t>
  </si>
  <si>
    <t>Nominal Year</t>
  </si>
  <si>
    <t>Sept 2013 - Sept 2014</t>
  </si>
  <si>
    <t>Sept 2013 - Sept 2015</t>
  </si>
  <si>
    <t>Sept 2014 - Sept 2017</t>
  </si>
  <si>
    <t>Sept 2013 - Sept 2016</t>
  </si>
  <si>
    <t>Sept 2014 - Sept 2018</t>
  </si>
  <si>
    <t>Sept 2013 - Sept 2017</t>
  </si>
  <si>
    <t>Sept 2014 - Sept 2019</t>
  </si>
  <si>
    <t>Sept 2013 - Sept 2018</t>
  </si>
  <si>
    <t>Sept 2014 - Sept 2020</t>
  </si>
  <si>
    <t>Sept 2013 - Sept 2019</t>
  </si>
  <si>
    <t>Sept 2012 - Sept 2013</t>
  </si>
  <si>
    <t>Annual CPI</t>
  </si>
  <si>
    <t>Index</t>
  </si>
  <si>
    <t>Cumulative CPI to $2016</t>
  </si>
  <si>
    <t>Consumer Price Index</t>
  </si>
  <si>
    <t>Total Capex Forecast (with Overheads)</t>
  </si>
  <si>
    <t>$m, $2016</t>
  </si>
  <si>
    <t>% Split between Overheads</t>
  </si>
  <si>
    <t>Calculation of variable overheads %</t>
  </si>
  <si>
    <t>Capex Forecasts + Real Cost Escalation + Overheads (added as a line item)</t>
  </si>
  <si>
    <t>TOTAL (excluding overheads)</t>
  </si>
  <si>
    <t>TOTAL (including overheads)</t>
  </si>
  <si>
    <t>Overheads (apportioned to capex categories)</t>
  </si>
  <si>
    <t>Capex Forecasts + Real Cost Escalation + Overheads (apportioned across capex categories)</t>
  </si>
  <si>
    <t>CPI used to convert for the next year</t>
  </si>
  <si>
    <t>Unit Rate Categories</t>
  </si>
  <si>
    <t>Non-Unit Rate Categories</t>
  </si>
  <si>
    <t>Meter Replacement - Cost Escalation Applied ($m 2016)</t>
  </si>
  <si>
    <t>Non-Unit Rate - Volumes</t>
  </si>
  <si>
    <t>Non-Unit Rate - Unit Rates ($2016)</t>
  </si>
  <si>
    <t>Non-Unit Rate - Forecast ($m 2016)</t>
  </si>
  <si>
    <t>Non-Unit Rates - Cost Escalation Applied ($m 2016)</t>
  </si>
  <si>
    <t>Weighted Cost Escalation Rate</t>
  </si>
  <si>
    <t>Weighting</t>
  </si>
  <si>
    <t>Victoria - Business Case Costs ($000, $2016)</t>
  </si>
  <si>
    <t>Albury - Business Case Costs ($000, $2016)</t>
  </si>
  <si>
    <t>Total - Business Case Costs ($000, $2016)</t>
  </si>
  <si>
    <t>Total Capex (cost escalation applied)</t>
  </si>
  <si>
    <t>Meter Replacement - Impact of Escalation ($m 2016)</t>
  </si>
  <si>
    <t>Forecast Fixed Overheads</t>
  </si>
  <si>
    <t>Service Renewal - Cost Escalation Applied ($m 2016)</t>
  </si>
  <si>
    <t>New Mains - Cost Escalation Applied ($m 2016)</t>
  </si>
  <si>
    <t>New Meters - Cost Escalation Applied ($m 2016)</t>
  </si>
  <si>
    <t>New Services - Cost Escalation Applied ($m 2016)</t>
  </si>
  <si>
    <t>Mains Replacement - Impact of Escalation ($m 2016)</t>
  </si>
  <si>
    <t>Service Renewal - Impact of Escalation ($m 2016)</t>
  </si>
  <si>
    <t>New Mains - Impact of Escalation ($m 2016)</t>
  </si>
  <si>
    <t>New Meters - Impact of Escalation ($m 2016)</t>
  </si>
  <si>
    <t>New Services - Impact of Escalation ($m 2016)</t>
  </si>
  <si>
    <t>Non-Unit Rates - Impact of Escalation ($m 2016)</t>
  </si>
  <si>
    <t>Not applicable.</t>
  </si>
  <si>
    <t>Total Capex Forecast</t>
  </si>
  <si>
    <t>Total Capex ($m 2016)</t>
  </si>
  <si>
    <t>Victoria</t>
  </si>
  <si>
    <t>Albury</t>
  </si>
  <si>
    <t>V104</t>
  </si>
  <si>
    <t>Capital expenditure model for Australian Gas Networks Victoria &amp; Albury, 2018 - 2022</t>
  </si>
  <si>
    <r>
      <rPr>
        <b/>
        <sz val="14"/>
        <color theme="0"/>
        <rFont val="Arial"/>
        <family val="2"/>
      </rPr>
      <t>Australian Gas Networks</t>
    </r>
    <r>
      <rPr>
        <b/>
        <sz val="11"/>
        <color theme="0"/>
        <rFont val="Arial"/>
        <family val="2"/>
      </rPr>
      <t xml:space="preserve">
Victorian &amp; Albury Access Arrangement
Capital Expenditure Model, 2018 - 2022</t>
    </r>
  </si>
  <si>
    <t>Infrastructure Renewal</t>
  </si>
  <si>
    <t>Applications Renewal</t>
  </si>
  <si>
    <t>Business Intelligence</t>
  </si>
  <si>
    <t>Mobility Integration</t>
  </si>
  <si>
    <t>GIS Upgrade</t>
  </si>
  <si>
    <t>Digital Capabilities</t>
  </si>
  <si>
    <t>Cathodic Protection Systems - Replacement &amp; Installation</t>
  </si>
  <si>
    <t>City Gate Refurbishment - Earthing &amp; Surge Protection</t>
  </si>
  <si>
    <t>Refurbishment of Sleeved Railway Casing Pipes</t>
  </si>
  <si>
    <t>Odorant Injection Station Koonomoo Finley</t>
  </si>
  <si>
    <t>Plant &amp; Equipmnent Upgrade</t>
  </si>
  <si>
    <t>Depot Office Refurbishment</t>
  </si>
  <si>
    <t>Mains Replacement - General Trunk Replacement</t>
  </si>
  <si>
    <t>Mains Replacement - Decommissioned Trunk Replacement</t>
  </si>
  <si>
    <t>Mains Replacement - CBD Block Replacement</t>
  </si>
  <si>
    <t>New Meter - Domestic</t>
  </si>
  <si>
    <t>New Meter - I&amp;C&lt;10TJ</t>
  </si>
  <si>
    <t>Mains Replacement - HDPE Replacement</t>
  </si>
  <si>
    <t>Mains Replacement - Piecemeal Replacement</t>
  </si>
  <si>
    <t>Mapping</t>
  </si>
  <si>
    <t>Introductory</t>
  </si>
  <si>
    <t>Contents</t>
  </si>
  <si>
    <t>Inputs</t>
  </si>
  <si>
    <t>CPI</t>
  </si>
  <si>
    <t>Business Cases</t>
  </si>
  <si>
    <t>Calculation</t>
  </si>
  <si>
    <t>Capex Category Index</t>
  </si>
  <si>
    <t>Number</t>
  </si>
  <si>
    <t>Title</t>
  </si>
  <si>
    <t>Unit Rate Capex Categories</t>
  </si>
  <si>
    <t>Output</t>
  </si>
  <si>
    <t>Capex Category Summary</t>
  </si>
  <si>
    <t>Combined</t>
  </si>
  <si>
    <t>Mapping from Capex Driver Categories to RAB Categories</t>
  </si>
  <si>
    <t>New Residential Connections</t>
  </si>
  <si>
    <t>New Commercial Connections</t>
  </si>
  <si>
    <t>New estate connections</t>
  </si>
  <si>
    <t>Existing homes</t>
  </si>
  <si>
    <t>I&amp;C&lt;10TJ</t>
  </si>
  <si>
    <t>Multi-User connections</t>
  </si>
  <si>
    <t>Volume Forecast for "New Services" Growth Capex</t>
  </si>
  <si>
    <t>Volume of New Services = Number of New Customer Connections</t>
  </si>
  <si>
    <t>Volume Forecast for "New Mains" Growth Capex</t>
  </si>
  <si>
    <t>For those unit rates that have 85% CPI applied:</t>
  </si>
  <si>
    <t>CPI assumption</t>
  </si>
  <si>
    <t>Mains Replacement - Cost Escalation Applied ($m 2016)</t>
  </si>
  <si>
    <t>Derived from Core Energy customer number forecast</t>
  </si>
  <si>
    <t>Historic New Mains (metres)</t>
  </si>
  <si>
    <t>Historic New Services (units)</t>
  </si>
  <si>
    <t>RAB Category</t>
  </si>
  <si>
    <t>Capex Driver Category</t>
  </si>
  <si>
    <t>Capex Model Category</t>
  </si>
  <si>
    <t>Adjusted overheads in $m, 2016 terms</t>
  </si>
  <si>
    <t>Historic Fixed vs Variable Split</t>
  </si>
  <si>
    <t>Annual RINs</t>
  </si>
  <si>
    <t>Total Capex ($m, 2016)</t>
  </si>
  <si>
    <t>Mains Replacement - CBD Trunk Replacement</t>
  </si>
  <si>
    <t>Domestic</t>
  </si>
  <si>
    <t>Non-Domestic</t>
  </si>
  <si>
    <t>Deloitte Access Economics, "Forecast Growth in labour costs in NEM regions of Australia", 22 Feb 2016, page 54.</t>
  </si>
  <si>
    <t>Total new meters</t>
  </si>
  <si>
    <t>New Meter Forecast</t>
  </si>
  <si>
    <t>Derivation of Growth Capex Volume Forecast</t>
  </si>
  <si>
    <t>Historic ratio of metres per new main laid</t>
  </si>
  <si>
    <t>New estate</t>
  </si>
  <si>
    <t>Existing area</t>
  </si>
  <si>
    <t>New Main Forecast</t>
  </si>
  <si>
    <t>Multi user</t>
  </si>
  <si>
    <t>Volume of New Mains (m) = (Number of New Services) x (Historic average number of metres per new service installed)</t>
  </si>
  <si>
    <t>New Services Forecast</t>
  </si>
  <si>
    <t>Assumption of new meters associated with 1 Multi-User new service</t>
  </si>
  <si>
    <t>Implied Forecast of New Meters (with additional residential split)</t>
  </si>
  <si>
    <t>New Services forecast for the purposes of "New Mains" Growth Capex</t>
  </si>
  <si>
    <t>Growth Capex Volumes</t>
  </si>
  <si>
    <t>Lists all Business Cases and associated project costs</t>
  </si>
  <si>
    <t>Derives AGN's proposed growth capex volumes</t>
  </si>
  <si>
    <t>CPI conversion to $2016</t>
  </si>
  <si>
    <t>Maps RAB Categories to Capex Driver Categories and Capex Model Categories</t>
  </si>
  <si>
    <t>Contents of Capital Expenditure Model</t>
  </si>
  <si>
    <t>Capex Model Category Index'!A1</t>
  </si>
  <si>
    <t>Mapping!A1</t>
  </si>
  <si>
    <t>CPI!A1</t>
  </si>
  <si>
    <t>Growth Capex Volumes'!A1</t>
  </si>
  <si>
    <t>Business Cases'!A1</t>
  </si>
  <si>
    <t>Overheads!A1</t>
  </si>
  <si>
    <t>Calculates forecast overheads</t>
  </si>
  <si>
    <t>Impact of Marketing Step Change</t>
  </si>
  <si>
    <t>Number of New Residential Customer Connections due to Marketing Step Change</t>
  </si>
  <si>
    <t>Summarises the capex forecast by Capex Model Category, including real escalation of input costs</t>
  </si>
  <si>
    <t>Applies overheads to Capex Model Categories</t>
  </si>
  <si>
    <t>Consolidated Summary</t>
  </si>
  <si>
    <t>Summarises the capex forecast by Capex Driver Category, including real escalation of input costs and application of overheads</t>
  </si>
  <si>
    <t>Capex Category Summary (Vic)'!A1</t>
  </si>
  <si>
    <t>Capex Category Summary (Alb)'!A1</t>
  </si>
  <si>
    <t>Capex Category Summary (Comb)'!A1</t>
  </si>
  <si>
    <t>Overheads (Vic)'!A1</t>
  </si>
  <si>
    <t>Overheads (Alb)'!A1</t>
  </si>
  <si>
    <t>Overheads (Comb)'!A1</t>
  </si>
  <si>
    <t>Consolidated Summary (Vic)'!A1</t>
  </si>
  <si>
    <t>Consolidated Summary (Alb)'!A1</t>
  </si>
  <si>
    <t>Consolidated Summary (Comb)'!A1</t>
  </si>
  <si>
    <t>Final forecasts provided from BIS Shrapnel 5 October 2016 (see Attachment 7.2)</t>
  </si>
  <si>
    <t>Victoria - Capex Category Summary</t>
  </si>
  <si>
    <t>Albury - Capex Category Summary</t>
  </si>
  <si>
    <t>Combined - Capex Category Summary</t>
  </si>
  <si>
    <t>Mains Replacement - HDICS Block Replacement</t>
  </si>
  <si>
    <t>Mains Replacement - LDS Block Replacement</t>
  </si>
  <si>
    <t>20</t>
  </si>
  <si>
    <t>Attachment 8.4 Unit Rates Forecast</t>
  </si>
  <si>
    <t>Attachment 8.3 Meter Replacement Plan</t>
  </si>
  <si>
    <t xml:space="preserve"> </t>
  </si>
  <si>
    <t>Total Forecast Overheads</t>
  </si>
  <si>
    <t>Inflation from mid-year $2016 to end of year $2017</t>
  </si>
  <si>
    <t>15% of CPI assumption (year on year)</t>
  </si>
  <si>
    <t>15% of CPI assumption (cumulative)</t>
  </si>
  <si>
    <t>Core Forecasts</t>
  </si>
  <si>
    <t>New Meter Forecasts</t>
  </si>
  <si>
    <t>Equivalent to applying the following overheads percentage to total escalated capex</t>
  </si>
  <si>
    <t>Residential</t>
  </si>
  <si>
    <t>Commercial</t>
  </si>
  <si>
    <t>Core Energy, Attachment 13.2</t>
  </si>
  <si>
    <t>Disconnections forecast</t>
  </si>
  <si>
    <t>Net connections forecast</t>
  </si>
  <si>
    <t>Total Connections</t>
  </si>
  <si>
    <t>Disconnections</t>
  </si>
  <si>
    <t>Percentage of Disconnections to Total Connections</t>
  </si>
  <si>
    <t>Residential Disconnections History</t>
  </si>
  <si>
    <t>Commercial Disconnections History</t>
  </si>
  <si>
    <t>Total Connections Forecast</t>
  </si>
  <si>
    <t>Converting Net Customer Connections Forecast to Gross Customer Connections Forecast</t>
  </si>
  <si>
    <t>Gross Connections Forecast</t>
  </si>
  <si>
    <t>Complex</t>
  </si>
  <si>
    <t>Total Capex ($m, 2016))</t>
  </si>
  <si>
    <t>Overheads as reported in the Annual RINs</t>
  </si>
  <si>
    <t>Attachment 8.2 Distribution Mains and Services Integrity Plan</t>
  </si>
  <si>
    <t>Capex Model Category Index</t>
  </si>
  <si>
    <t>Lists Capex Model Categories</t>
  </si>
  <si>
    <t>AGN's real cost escalation rates</t>
  </si>
  <si>
    <t>Converts output of the Capex model for input into the PTRM (in $2017)</t>
  </si>
  <si>
    <r>
      <t>Meter Replacement - Meters &lt; 25m</t>
    </r>
    <r>
      <rPr>
        <vertAlign val="superscript"/>
        <sz val="8"/>
        <rFont val="Arial"/>
        <family val="2"/>
      </rPr>
      <t>3</t>
    </r>
  </si>
  <si>
    <r>
      <t>Meter Replacement - Meters &gt; 25m</t>
    </r>
    <r>
      <rPr>
        <vertAlign val="superscript"/>
        <sz val="8"/>
        <rFont val="Arial"/>
        <family val="2"/>
      </rPr>
      <t>3</t>
    </r>
  </si>
  <si>
    <t>V106</t>
  </si>
  <si>
    <t>Sale City Gate Inlet Pressure Reduction (TP14 Duplication)</t>
  </si>
  <si>
    <t>Capital Expenditure Forecasts, $m 2017</t>
  </si>
  <si>
    <t>Expenditure by connection type</t>
  </si>
  <si>
    <t>I&amp;C</t>
  </si>
  <si>
    <t>Meter Replacement - Unit Rates ($2017)</t>
  </si>
  <si>
    <t>Mains Replacement - Unit Rates ($2017)</t>
  </si>
  <si>
    <t>Service Renewal - Unit Rates ($2017)</t>
  </si>
  <si>
    <t>Meter Replacement - Forecast ($m 2017)</t>
  </si>
  <si>
    <t>Mains Replacement - Forecast ($m 2017)</t>
  </si>
  <si>
    <t>Service Renewal - Forecast ($m 2017)</t>
  </si>
  <si>
    <t>New Mains - Unit Rates ($2017)</t>
  </si>
  <si>
    <t>New Meters - Unit Rates ($2017)</t>
  </si>
  <si>
    <t>New Services - Forecast ($m 2017)</t>
  </si>
  <si>
    <t>New Meters - Forecast ($m 2017)</t>
  </si>
  <si>
    <t>New Services - Unit Rates ($2017)</t>
  </si>
  <si>
    <t>Total Direct Cost Capex ($m 2017)</t>
  </si>
  <si>
    <t>Capital Expenditure Forecasts (Escalated), $m 2017</t>
  </si>
  <si>
    <t>Forecast Overheads ($m, $2017)</t>
  </si>
  <si>
    <t>Non-Unit Rate - Forecast ($m 2017)</t>
  </si>
  <si>
    <t>Meter Replacement - Cost Escalation Applied ($m 2017)</t>
  </si>
  <si>
    <t>Mains Replacement - Cost Escalation Applied ($m 2017)</t>
  </si>
  <si>
    <t>Service Renewal - Cost Escalation Applied ($m 2017)</t>
  </si>
  <si>
    <t>New Mains - Cost Escalation Applied ($m 2017)</t>
  </si>
  <si>
    <t>New Meters - Cost Escalation Applied ($m 2017)</t>
  </si>
  <si>
    <t>New Services - Cost Escalation Applied ($m 2017)</t>
  </si>
  <si>
    <t>Non-Unit Rates - Cost Escalation Applied ($m 2017)</t>
  </si>
  <si>
    <t>Meter Replacement - Impact of Escalation ($m 2017)</t>
  </si>
  <si>
    <t>Mains Replacement - Impact of Escalation ($m 2017)</t>
  </si>
  <si>
    <t>Service Renewal - Impact of Escalation ($m 2017)</t>
  </si>
  <si>
    <t>New Mains - Impact of Escalation ($m 2017)</t>
  </si>
  <si>
    <t>New Meters - Impact of Escalation ($m 2017)</t>
  </si>
  <si>
    <t>New Services - Impact of Escalation ($m 2017)</t>
  </si>
  <si>
    <t>Non-Unit Rates - Impact of Escalation ($m 2017)</t>
  </si>
  <si>
    <t>Non-Unit Rate - Unit Rates ($2017)</t>
  </si>
  <si>
    <t>New Mains - Forecast ($m 2017)</t>
  </si>
  <si>
    <t>Total Capex ($m 2017)</t>
  </si>
  <si>
    <t>Capital Expenditure Forecasts by RAB Category PTRM Input</t>
  </si>
  <si>
    <t>Capital Expenditure Forecasts by RAB Category for PTRM Input $m 2017</t>
  </si>
  <si>
    <t>[c-i-c]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</si>
</sst>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0_-;\-* #,##0.000_-;_-* &quot;-&quot;???_-;_-@_-"/>
    <numFmt numFmtId="167" formatCode="_-* #,##0.0000_-;\-* #,##0.0000_-;_-* &quot;-&quot;??_-;_-@_-"/>
    <numFmt numFmtId="168" formatCode="_-&quot;$&quot;* #,##0.0_-;\-&quot;$&quot;* #,##0.0_-;_-&quot;$&quot;* &quot;-&quot;??_-;_-@_-"/>
    <numFmt numFmtId="169" formatCode="0.0"/>
    <numFmt numFmtId="170" formatCode="&quot;$&quot;#,##0"/>
    <numFmt numFmtId="171" formatCode="_-&quot;$&quot;* #,##0_-;\-&quot;$&quot;* #,##0_-;_-&quot;$&quot;* &quot;-&quot;??_-;_-@_-"/>
    <numFmt numFmtId="172" formatCode="_-* #,##0.000_-;\-* #,##0.000_-;_-* &quot;-&quot;??_-;_-@_-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8"/>
      <color theme="10"/>
      <name val="Arial"/>
      <family val="2"/>
    </font>
    <font>
      <b/>
      <sz val="10"/>
      <color theme="0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sz val="8"/>
      <color rgb="FFFF0000"/>
      <name val="Arial"/>
      <family val="2"/>
    </font>
    <font>
      <b/>
      <u/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b/>
      <sz val="9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sz val="7"/>
      <color theme="1"/>
      <name val="Arial"/>
      <family val="2"/>
    </font>
    <font>
      <b/>
      <i/>
      <sz val="8"/>
      <color theme="1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A3E0"/>
        <bgColor indexed="64"/>
      </patternFill>
    </fill>
    <fill>
      <patternFill patternType="solid">
        <fgColor rgb="FF003C7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59">
    <xf numFmtId="0" fontId="0" fillId="0" borderId="0" xfId="0"/>
    <xf numFmtId="0" fontId="0" fillId="0" borderId="0" xfId="0"/>
    <xf numFmtId="0" fontId="7" fillId="3" borderId="0" xfId="0" applyFont="1" applyFill="1" applyAlignment="1">
      <alignment vertical="center"/>
    </xf>
    <xf numFmtId="0" fontId="9" fillId="3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164" fontId="11" fillId="3" borderId="18" xfId="1" applyNumberFormat="1" applyFont="1" applyFill="1" applyBorder="1" applyAlignment="1">
      <alignment vertical="center"/>
    </xf>
    <xf numFmtId="164" fontId="11" fillId="3" borderId="20" xfId="1" applyNumberFormat="1" applyFont="1" applyFill="1" applyBorder="1" applyAlignment="1">
      <alignment vertical="center"/>
    </xf>
    <xf numFmtId="164" fontId="11" fillId="3" borderId="0" xfId="1" applyNumberFormat="1" applyFont="1" applyFill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164" fontId="11" fillId="3" borderId="0" xfId="1" applyNumberFormat="1" applyFont="1" applyFill="1" applyBorder="1" applyAlignment="1">
      <alignment vertical="center"/>
    </xf>
    <xf numFmtId="164" fontId="11" fillId="3" borderId="7" xfId="1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164" fontId="10" fillId="3" borderId="10" xfId="0" applyNumberFormat="1" applyFont="1" applyFill="1" applyBorder="1" applyAlignment="1">
      <alignment vertical="center"/>
    </xf>
    <xf numFmtId="164" fontId="10" fillId="3" borderId="8" xfId="0" applyNumberFormat="1" applyFont="1" applyFill="1" applyBorder="1" applyAlignment="1">
      <alignment vertical="center"/>
    </xf>
    <xf numFmtId="164" fontId="10" fillId="3" borderId="9" xfId="0" applyNumberFormat="1" applyFont="1" applyFill="1" applyBorder="1" applyAlignment="1">
      <alignment vertical="center"/>
    </xf>
    <xf numFmtId="1" fontId="12" fillId="3" borderId="8" xfId="0" applyNumberFormat="1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164" fontId="10" fillId="3" borderId="10" xfId="1" applyNumberFormat="1" applyFont="1" applyFill="1" applyBorder="1" applyAlignment="1">
      <alignment vertical="center"/>
    </xf>
    <xf numFmtId="164" fontId="10" fillId="3" borderId="8" xfId="1" applyNumberFormat="1" applyFont="1" applyFill="1" applyBorder="1" applyAlignment="1">
      <alignment vertical="center"/>
    </xf>
    <xf numFmtId="164" fontId="10" fillId="3" borderId="9" xfId="1" applyNumberFormat="1" applyFont="1" applyFill="1" applyBorder="1" applyAlignment="1">
      <alignment vertical="center"/>
    </xf>
    <xf numFmtId="1" fontId="14" fillId="3" borderId="0" xfId="0" applyNumberFormat="1" applyFont="1" applyFill="1" applyAlignment="1">
      <alignment vertical="center"/>
    </xf>
    <xf numFmtId="0" fontId="9" fillId="3" borderId="3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15" fillId="3" borderId="0" xfId="0" applyFont="1" applyFill="1"/>
    <xf numFmtId="0" fontId="15" fillId="4" borderId="0" xfId="0" applyFont="1" applyFill="1"/>
    <xf numFmtId="0" fontId="15" fillId="5" borderId="0" xfId="0" applyFont="1" applyFill="1"/>
    <xf numFmtId="0" fontId="17" fillId="3" borderId="0" xfId="0" applyFont="1" applyFill="1"/>
    <xf numFmtId="0" fontId="15" fillId="3" borderId="0" xfId="0" applyFont="1" applyFill="1" applyBorder="1"/>
    <xf numFmtId="44" fontId="15" fillId="3" borderId="0" xfId="0" applyNumberFormat="1" applyFont="1" applyFill="1"/>
    <xf numFmtId="0" fontId="15" fillId="3" borderId="20" xfId="0" applyFont="1" applyFill="1" applyBorder="1"/>
    <xf numFmtId="0" fontId="19" fillId="4" borderId="0" xfId="0" applyFont="1" applyFill="1"/>
    <xf numFmtId="0" fontId="18" fillId="4" borderId="0" xfId="0" applyFont="1" applyFill="1"/>
    <xf numFmtId="171" fontId="11" fillId="3" borderId="0" xfId="2" applyNumberFormat="1" applyFont="1" applyFill="1" applyAlignment="1">
      <alignment vertical="center"/>
    </xf>
    <xf numFmtId="171" fontId="11" fillId="3" borderId="1" xfId="2" applyNumberFormat="1" applyFont="1" applyFill="1" applyBorder="1" applyAlignment="1">
      <alignment vertical="center"/>
    </xf>
    <xf numFmtId="171" fontId="11" fillId="3" borderId="0" xfId="2" applyNumberFormat="1" applyFont="1" applyFill="1" applyBorder="1" applyAlignment="1">
      <alignment vertical="center"/>
    </xf>
    <xf numFmtId="0" fontId="15" fillId="2" borderId="0" xfId="0" applyFont="1" applyFill="1"/>
    <xf numFmtId="0" fontId="15" fillId="3" borderId="0" xfId="0" applyFont="1" applyFill="1" applyAlignment="1">
      <alignment vertical="center"/>
    </xf>
    <xf numFmtId="0" fontId="20" fillId="3" borderId="0" xfId="5" applyFont="1" applyFill="1" applyAlignment="1">
      <alignment horizontal="left"/>
    </xf>
    <xf numFmtId="44" fontId="10" fillId="3" borderId="8" xfId="0" applyNumberFormat="1" applyFont="1" applyFill="1" applyBorder="1" applyAlignment="1">
      <alignment vertical="center"/>
    </xf>
    <xf numFmtId="44" fontId="10" fillId="3" borderId="10" xfId="0" applyNumberFormat="1" applyFont="1" applyFill="1" applyBorder="1" applyAlignment="1">
      <alignment vertical="center"/>
    </xf>
    <xf numFmtId="44" fontId="22" fillId="3" borderId="0" xfId="0" applyNumberFormat="1" applyFont="1" applyFill="1" applyBorder="1" applyAlignment="1">
      <alignment horizontal="right" vertical="center"/>
    </xf>
    <xf numFmtId="44" fontId="22" fillId="3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44" fontId="11" fillId="3" borderId="0" xfId="0" applyNumberFormat="1" applyFont="1" applyFill="1" applyAlignment="1">
      <alignment vertical="center"/>
    </xf>
    <xf numFmtId="0" fontId="11" fillId="3" borderId="7" xfId="0" applyFont="1" applyFill="1" applyBorder="1" applyAlignment="1">
      <alignment vertical="center"/>
    </xf>
    <xf numFmtId="44" fontId="11" fillId="3" borderId="0" xfId="0" applyNumberFormat="1" applyFont="1" applyFill="1" applyBorder="1" applyAlignment="1">
      <alignment vertical="center"/>
    </xf>
    <xf numFmtId="44" fontId="11" fillId="3" borderId="1" xfId="0" applyNumberFormat="1" applyFont="1" applyFill="1" applyBorder="1" applyAlignment="1">
      <alignment vertical="center"/>
    </xf>
    <xf numFmtId="44" fontId="11" fillId="3" borderId="7" xfId="2" applyNumberFormat="1" applyFont="1" applyFill="1" applyBorder="1" applyAlignment="1">
      <alignment vertical="center"/>
    </xf>
    <xf numFmtId="44" fontId="10" fillId="3" borderId="0" xfId="0" applyNumberFormat="1" applyFont="1" applyFill="1" applyBorder="1" applyAlignment="1">
      <alignment vertical="center"/>
    </xf>
    <xf numFmtId="164" fontId="10" fillId="3" borderId="11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11" fillId="3" borderId="5" xfId="1" applyNumberFormat="1" applyFont="1" applyFill="1" applyBorder="1" applyAlignment="1">
      <alignment vertical="center"/>
    </xf>
    <xf numFmtId="164" fontId="11" fillId="3" borderId="4" xfId="1" applyNumberFormat="1" applyFont="1" applyFill="1" applyBorder="1" applyAlignment="1">
      <alignment vertical="center"/>
    </xf>
    <xf numFmtId="171" fontId="11" fillId="3" borderId="20" xfId="2" applyNumberFormat="1" applyFont="1" applyFill="1" applyBorder="1" applyAlignment="1">
      <alignment vertical="center"/>
    </xf>
    <xf numFmtId="0" fontId="15" fillId="0" borderId="0" xfId="0" applyFont="1"/>
    <xf numFmtId="0" fontId="5" fillId="5" borderId="0" xfId="0" applyFont="1" applyFill="1" applyAlignment="1">
      <alignment vertical="center"/>
    </xf>
    <xf numFmtId="0" fontId="16" fillId="5" borderId="0" xfId="0" applyFont="1" applyFill="1"/>
    <xf numFmtId="0" fontId="11" fillId="3" borderId="0" xfId="0" applyFont="1" applyFill="1"/>
    <xf numFmtId="0" fontId="11" fillId="2" borderId="0" xfId="0" applyFont="1" applyFill="1"/>
    <xf numFmtId="0" fontId="20" fillId="3" borderId="0" xfId="5" applyFont="1" applyFill="1" applyAlignment="1">
      <alignment horizontal="left" vertical="center"/>
    </xf>
    <xf numFmtId="0" fontId="23" fillId="0" borderId="0" xfId="0" applyFont="1" applyAlignment="1">
      <alignment vertical="center"/>
    </xf>
    <xf numFmtId="0" fontId="23" fillId="3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26" fillId="3" borderId="0" xfId="0" applyFont="1" applyFill="1"/>
    <xf numFmtId="0" fontId="12" fillId="3" borderId="5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2" borderId="0" xfId="0" applyFont="1" applyFill="1"/>
    <xf numFmtId="0" fontId="10" fillId="3" borderId="0" xfId="0" applyFont="1" applyFill="1"/>
    <xf numFmtId="170" fontId="11" fillId="2" borderId="0" xfId="0" applyNumberFormat="1" applyFont="1" applyFill="1"/>
    <xf numFmtId="0" fontId="11" fillId="3" borderId="0" xfId="0" applyFont="1" applyFill="1" applyBorder="1" applyAlignment="1">
      <alignment vertical="center"/>
    </xf>
    <xf numFmtId="0" fontId="17" fillId="2" borderId="0" xfId="0" applyFont="1" applyFill="1"/>
    <xf numFmtId="0" fontId="26" fillId="2" borderId="0" xfId="0" applyFont="1" applyFill="1"/>
    <xf numFmtId="0" fontId="9" fillId="3" borderId="0" xfId="0" applyFont="1" applyFill="1" applyAlignment="1">
      <alignment vertical="center"/>
    </xf>
    <xf numFmtId="0" fontId="11" fillId="3" borderId="0" xfId="0" applyFont="1" applyFill="1" applyBorder="1"/>
    <xf numFmtId="0" fontId="14" fillId="3" borderId="21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5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5" fillId="5" borderId="0" xfId="0" applyFont="1" applyFill="1"/>
    <xf numFmtId="44" fontId="11" fillId="3" borderId="7" xfId="0" applyNumberFormat="1" applyFont="1" applyFill="1" applyBorder="1" applyAlignment="1">
      <alignment vertical="center"/>
    </xf>
    <xf numFmtId="0" fontId="11" fillId="0" borderId="0" xfId="0" applyFont="1"/>
    <xf numFmtId="0" fontId="15" fillId="3" borderId="0" xfId="0" applyFont="1" applyFill="1" applyBorder="1" applyAlignment="1">
      <alignment vertical="center"/>
    </xf>
    <xf numFmtId="49" fontId="13" fillId="3" borderId="8" xfId="0" applyNumberFormat="1" applyFont="1" applyFill="1" applyBorder="1"/>
    <xf numFmtId="44" fontId="13" fillId="3" borderId="8" xfId="0" applyNumberFormat="1" applyFont="1" applyFill="1" applyBorder="1" applyAlignment="1">
      <alignment vertical="center"/>
    </xf>
    <xf numFmtId="44" fontId="13" fillId="3" borderId="10" xfId="0" applyNumberFormat="1" applyFont="1" applyFill="1" applyBorder="1" applyAlignment="1">
      <alignment vertical="center"/>
    </xf>
    <xf numFmtId="44" fontId="13" fillId="3" borderId="9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49" fontId="15" fillId="3" borderId="0" xfId="0" applyNumberFormat="1" applyFont="1" applyFill="1"/>
    <xf numFmtId="0" fontId="11" fillId="3" borderId="0" xfId="0" applyNumberFormat="1" applyFont="1" applyFill="1" applyAlignment="1">
      <alignment vertical="center"/>
    </xf>
    <xf numFmtId="49" fontId="17" fillId="3" borderId="0" xfId="0" applyNumberFormat="1" applyFont="1" applyFill="1" applyBorder="1"/>
    <xf numFmtId="0" fontId="17" fillId="3" borderId="0" xfId="0" applyFont="1" applyFill="1" applyBorder="1" applyAlignment="1">
      <alignment vertical="center"/>
    </xf>
    <xf numFmtId="49" fontId="17" fillId="2" borderId="0" xfId="0" applyNumberFormat="1" applyFont="1" applyFill="1" applyBorder="1"/>
    <xf numFmtId="44" fontId="10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49" fontId="15" fillId="2" borderId="0" xfId="0" applyNumberFormat="1" applyFont="1" applyFill="1"/>
    <xf numFmtId="0" fontId="28" fillId="2" borderId="0" xfId="0" applyFont="1" applyFill="1" applyAlignment="1">
      <alignment vertical="center"/>
    </xf>
    <xf numFmtId="44" fontId="28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9" fillId="3" borderId="0" xfId="0" applyNumberFormat="1" applyFont="1" applyFill="1"/>
    <xf numFmtId="0" fontId="15" fillId="8" borderId="0" xfId="0" applyFont="1" applyFill="1"/>
    <xf numFmtId="0" fontId="13" fillId="3" borderId="5" xfId="0" applyFont="1" applyFill="1" applyBorder="1"/>
    <xf numFmtId="169" fontId="15" fillId="3" borderId="0" xfId="0" applyNumberFormat="1" applyFont="1" applyFill="1"/>
    <xf numFmtId="2" fontId="15" fillId="3" borderId="0" xfId="0" applyNumberFormat="1" applyFont="1" applyFill="1"/>
    <xf numFmtId="0" fontId="13" fillId="3" borderId="21" xfId="0" applyFont="1" applyFill="1" applyBorder="1" applyAlignment="1">
      <alignment vertical="center"/>
    </xf>
    <xf numFmtId="43" fontId="11" fillId="3" borderId="0" xfId="0" applyNumberFormat="1" applyFont="1" applyFill="1" applyAlignment="1">
      <alignment vertical="center"/>
    </xf>
    <xf numFmtId="10" fontId="10" fillId="3" borderId="21" xfId="3" applyNumberFormat="1" applyFont="1" applyFill="1" applyBorder="1" applyAlignment="1">
      <alignment vertical="center"/>
    </xf>
    <xf numFmtId="10" fontId="10" fillId="3" borderId="16" xfId="0" applyNumberFormat="1" applyFont="1" applyFill="1" applyBorder="1" applyAlignment="1">
      <alignment vertical="center"/>
    </xf>
    <xf numFmtId="0" fontId="13" fillId="3" borderId="3" xfId="0" applyFont="1" applyFill="1" applyBorder="1" applyAlignment="1">
      <alignment horizontal="right"/>
    </xf>
    <xf numFmtId="0" fontId="13" fillId="3" borderId="5" xfId="0" applyFont="1" applyFill="1" applyBorder="1" applyAlignment="1">
      <alignment horizontal="right"/>
    </xf>
    <xf numFmtId="0" fontId="28" fillId="3" borderId="0" xfId="0" applyFont="1" applyFill="1" applyAlignment="1">
      <alignment vertical="center"/>
    </xf>
    <xf numFmtId="44" fontId="11" fillId="3" borderId="20" xfId="0" applyNumberFormat="1" applyFont="1" applyFill="1" applyBorder="1" applyAlignment="1">
      <alignment vertical="center"/>
    </xf>
    <xf numFmtId="44" fontId="22" fillId="3" borderId="18" xfId="0" applyNumberFormat="1" applyFont="1" applyFill="1" applyBorder="1" applyAlignment="1">
      <alignment vertical="center"/>
    </xf>
    <xf numFmtId="44" fontId="22" fillId="3" borderId="20" xfId="0" applyNumberFormat="1" applyFont="1" applyFill="1" applyBorder="1" applyAlignment="1">
      <alignment vertical="center"/>
    </xf>
    <xf numFmtId="44" fontId="22" fillId="3" borderId="19" xfId="0" applyNumberFormat="1" applyFont="1" applyFill="1" applyBorder="1" applyAlignment="1">
      <alignment vertical="center"/>
    </xf>
    <xf numFmtId="44" fontId="22" fillId="3" borderId="1" xfId="0" applyNumberFormat="1" applyFont="1" applyFill="1" applyBorder="1" applyAlignment="1">
      <alignment vertical="center"/>
    </xf>
    <xf numFmtId="44" fontId="22" fillId="3" borderId="7" xfId="0" applyNumberFormat="1" applyFont="1" applyFill="1" applyBorder="1" applyAlignment="1">
      <alignment vertical="center"/>
    </xf>
    <xf numFmtId="44" fontId="11" fillId="3" borderId="5" xfId="0" applyNumberFormat="1" applyFont="1" applyFill="1" applyBorder="1" applyAlignment="1">
      <alignment vertical="center"/>
    </xf>
    <xf numFmtId="44" fontId="11" fillId="3" borderId="3" xfId="0" applyNumberFormat="1" applyFont="1" applyFill="1" applyBorder="1" applyAlignment="1">
      <alignment vertical="center"/>
    </xf>
    <xf numFmtId="44" fontId="11" fillId="3" borderId="6" xfId="0" applyNumberFormat="1" applyFont="1" applyFill="1" applyBorder="1" applyAlignment="1">
      <alignment vertical="center"/>
    </xf>
    <xf numFmtId="168" fontId="11" fillId="3" borderId="0" xfId="0" applyNumberFormat="1" applyFont="1" applyFill="1" applyBorder="1" applyAlignment="1">
      <alignment vertical="center"/>
    </xf>
    <xf numFmtId="168" fontId="11" fillId="3" borderId="0" xfId="0" applyNumberFormat="1" applyFont="1" applyFill="1" applyAlignment="1">
      <alignment vertical="center"/>
    </xf>
    <xf numFmtId="168" fontId="11" fillId="3" borderId="20" xfId="0" applyNumberFormat="1" applyFont="1" applyFill="1" applyBorder="1" applyAlignment="1">
      <alignment vertical="center"/>
    </xf>
    <xf numFmtId="168" fontId="11" fillId="3" borderId="5" xfId="0" applyNumberFormat="1" applyFont="1" applyFill="1" applyBorder="1" applyAlignment="1">
      <alignment vertical="center"/>
    </xf>
    <xf numFmtId="44" fontId="17" fillId="3" borderId="0" xfId="0" applyNumberFormat="1" applyFont="1" applyFill="1" applyBorder="1" applyAlignment="1">
      <alignment vertical="center"/>
    </xf>
    <xf numFmtId="44" fontId="30" fillId="3" borderId="0" xfId="0" applyNumberFormat="1" applyFont="1" applyFill="1" applyBorder="1" applyAlignment="1">
      <alignment vertical="center"/>
    </xf>
    <xf numFmtId="44" fontId="11" fillId="3" borderId="16" xfId="0" applyNumberFormat="1" applyFont="1" applyFill="1" applyBorder="1" applyAlignment="1">
      <alignment vertical="center"/>
    </xf>
    <xf numFmtId="44" fontId="11" fillId="3" borderId="21" xfId="0" applyNumberFormat="1" applyFont="1" applyFill="1" applyBorder="1" applyAlignment="1">
      <alignment vertical="center"/>
    </xf>
    <xf numFmtId="44" fontId="11" fillId="3" borderId="17" xfId="0" applyNumberFormat="1" applyFont="1" applyFill="1" applyBorder="1" applyAlignment="1">
      <alignment vertical="center"/>
    </xf>
    <xf numFmtId="44" fontId="13" fillId="3" borderId="12" xfId="0" applyNumberFormat="1" applyFont="1" applyFill="1" applyBorder="1" applyAlignment="1">
      <alignment vertical="center"/>
    </xf>
    <xf numFmtId="44" fontId="13" fillId="3" borderId="11" xfId="0" applyNumberFormat="1" applyFont="1" applyFill="1" applyBorder="1" applyAlignment="1">
      <alignment vertical="center"/>
    </xf>
    <xf numFmtId="167" fontId="11" fillId="6" borderId="14" xfId="1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49" fontId="13" fillId="3" borderId="8" xfId="0" applyNumberFormat="1" applyFont="1" applyFill="1" applyBorder="1" applyAlignment="1">
      <alignment vertical="center"/>
    </xf>
    <xf numFmtId="0" fontId="23" fillId="3" borderId="8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vertical="center"/>
    </xf>
    <xf numFmtId="49" fontId="22" fillId="3" borderId="20" xfId="0" applyNumberFormat="1" applyFont="1" applyFill="1" applyBorder="1" applyAlignment="1">
      <alignment horizontal="right" vertical="center"/>
    </xf>
    <xf numFmtId="49" fontId="22" fillId="3" borderId="0" xfId="0" applyNumberFormat="1" applyFont="1" applyFill="1" applyBorder="1" applyAlignment="1">
      <alignment horizontal="right" vertical="center"/>
    </xf>
    <xf numFmtId="0" fontId="15" fillId="3" borderId="5" xfId="0" applyFont="1" applyFill="1" applyBorder="1" applyAlignment="1">
      <alignment vertical="center"/>
    </xf>
    <xf numFmtId="49" fontId="22" fillId="3" borderId="5" xfId="0" applyNumberFormat="1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vertical="center"/>
    </xf>
    <xf numFmtId="0" fontId="10" fillId="6" borderId="17" xfId="0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right" vertical="center"/>
    </xf>
    <xf numFmtId="0" fontId="31" fillId="3" borderId="7" xfId="0" applyFont="1" applyFill="1" applyBorder="1" applyAlignment="1">
      <alignment horizontal="right" vertical="center"/>
    </xf>
    <xf numFmtId="0" fontId="22" fillId="3" borderId="7" xfId="0" applyFont="1" applyFill="1" applyBorder="1" applyAlignment="1">
      <alignment horizontal="right" vertical="center" wrapText="1"/>
    </xf>
    <xf numFmtId="10" fontId="22" fillId="3" borderId="1" xfId="3" applyNumberFormat="1" applyFont="1" applyFill="1" applyBorder="1" applyAlignment="1">
      <alignment horizontal="right" vertical="center"/>
    </xf>
    <xf numFmtId="10" fontId="22" fillId="3" borderId="0" xfId="3" applyNumberFormat="1" applyFont="1" applyFill="1" applyBorder="1" applyAlignment="1">
      <alignment horizontal="right" vertical="center"/>
    </xf>
    <xf numFmtId="10" fontId="22" fillId="3" borderId="7" xfId="3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65" fontId="11" fillId="3" borderId="5" xfId="3" applyNumberFormat="1" applyFont="1" applyFill="1" applyBorder="1" applyAlignment="1">
      <alignment vertical="center"/>
    </xf>
    <xf numFmtId="165" fontId="11" fillId="3" borderId="3" xfId="3" applyNumberFormat="1" applyFont="1" applyFill="1" applyBorder="1" applyAlignment="1">
      <alignment vertical="center"/>
    </xf>
    <xf numFmtId="165" fontId="11" fillId="3" borderId="6" xfId="3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center"/>
    </xf>
    <xf numFmtId="0" fontId="32" fillId="3" borderId="5" xfId="0" applyFont="1" applyFill="1" applyBorder="1" applyAlignment="1">
      <alignment vertical="center"/>
    </xf>
    <xf numFmtId="43" fontId="11" fillId="3" borderId="1" xfId="1" applyFont="1" applyFill="1" applyBorder="1" applyAlignment="1">
      <alignment vertical="center"/>
    </xf>
    <xf numFmtId="43" fontId="11" fillId="3" borderId="0" xfId="1" applyFont="1" applyFill="1" applyBorder="1" applyAlignment="1">
      <alignment vertical="center"/>
    </xf>
    <xf numFmtId="43" fontId="11" fillId="3" borderId="7" xfId="1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21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13" fillId="3" borderId="3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23" fillId="3" borderId="6" xfId="0" applyFont="1" applyFill="1" applyBorder="1"/>
    <xf numFmtId="10" fontId="10" fillId="3" borderId="16" xfId="3" applyNumberFormat="1" applyFont="1" applyFill="1" applyBorder="1" applyAlignment="1">
      <alignment vertical="center"/>
    </xf>
    <xf numFmtId="10" fontId="10" fillId="3" borderId="17" xfId="3" applyNumberFormat="1" applyFont="1" applyFill="1" applyBorder="1" applyAlignment="1">
      <alignment vertical="center"/>
    </xf>
    <xf numFmtId="10" fontId="10" fillId="3" borderId="0" xfId="3" applyNumberFormat="1" applyFont="1" applyFill="1" applyBorder="1" applyAlignment="1">
      <alignment vertical="center"/>
    </xf>
    <xf numFmtId="10" fontId="10" fillId="3" borderId="0" xfId="0" applyNumberFormat="1" applyFont="1" applyFill="1" applyBorder="1" applyAlignment="1">
      <alignment vertical="center"/>
    </xf>
    <xf numFmtId="10" fontId="10" fillId="3" borderId="9" xfId="3" applyNumberFormat="1" applyFont="1" applyFill="1" applyBorder="1" applyAlignment="1">
      <alignment vertical="center"/>
    </xf>
    <xf numFmtId="10" fontId="10" fillId="3" borderId="10" xfId="3" applyNumberFormat="1" applyFont="1" applyFill="1" applyBorder="1" applyAlignment="1">
      <alignment vertical="center"/>
    </xf>
    <xf numFmtId="2" fontId="11" fillId="3" borderId="0" xfId="0" applyNumberFormat="1" applyFont="1" applyFill="1"/>
    <xf numFmtId="44" fontId="11" fillId="3" borderId="18" xfId="0" applyNumberFormat="1" applyFont="1" applyFill="1" applyBorder="1" applyAlignment="1">
      <alignment vertical="center"/>
    </xf>
    <xf numFmtId="169" fontId="11" fillId="3" borderId="0" xfId="0" applyNumberFormat="1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17" fillId="8" borderId="0" xfId="0" applyFont="1" applyFill="1"/>
    <xf numFmtId="0" fontId="25" fillId="8" borderId="0" xfId="0" applyFont="1" applyFill="1" applyAlignment="1">
      <alignment vertical="center"/>
    </xf>
    <xf numFmtId="10" fontId="23" fillId="8" borderId="0" xfId="3" applyNumberFormat="1" applyFont="1" applyFill="1" applyAlignment="1">
      <alignment vertical="center"/>
    </xf>
    <xf numFmtId="43" fontId="11" fillId="3" borderId="0" xfId="1" applyFont="1" applyFill="1" applyBorder="1" applyAlignment="1">
      <alignment horizontal="center" vertical="center"/>
    </xf>
    <xf numFmtId="0" fontId="33" fillId="8" borderId="0" xfId="0" applyFont="1" applyFill="1"/>
    <xf numFmtId="44" fontId="11" fillId="3" borderId="1" xfId="2" applyNumberFormat="1" applyFont="1" applyFill="1" applyBorder="1" applyAlignment="1">
      <alignment vertical="center"/>
    </xf>
    <xf numFmtId="44" fontId="11" fillId="3" borderId="0" xfId="2" applyNumberFormat="1" applyFont="1" applyFill="1" applyBorder="1" applyAlignment="1">
      <alignment vertical="center"/>
    </xf>
    <xf numFmtId="44" fontId="10" fillId="3" borderId="10" xfId="2" applyNumberFormat="1" applyFont="1" applyFill="1" applyBorder="1" applyAlignment="1">
      <alignment vertical="center"/>
    </xf>
    <xf numFmtId="44" fontId="10" fillId="3" borderId="8" xfId="2" applyNumberFormat="1" applyFont="1" applyFill="1" applyBorder="1" applyAlignment="1">
      <alignment vertical="center"/>
    </xf>
    <xf numFmtId="44" fontId="10" fillId="3" borderId="9" xfId="2" applyNumberFormat="1" applyFont="1" applyFill="1" applyBorder="1" applyAlignment="1">
      <alignment vertical="center"/>
    </xf>
    <xf numFmtId="44" fontId="11" fillId="3" borderId="0" xfId="2" applyNumberFormat="1" applyFont="1" applyFill="1" applyAlignment="1">
      <alignment vertical="center"/>
    </xf>
    <xf numFmtId="44" fontId="11" fillId="3" borderId="20" xfId="2" applyNumberFormat="1" applyFont="1" applyFill="1" applyBorder="1" applyAlignment="1">
      <alignment vertical="center"/>
    </xf>
    <xf numFmtId="44" fontId="11" fillId="3" borderId="19" xfId="2" applyNumberFormat="1" applyFont="1" applyFill="1" applyBorder="1" applyAlignment="1">
      <alignment vertical="center"/>
    </xf>
    <xf numFmtId="44" fontId="11" fillId="3" borderId="3" xfId="2" applyNumberFormat="1" applyFont="1" applyFill="1" applyBorder="1" applyAlignment="1">
      <alignment vertical="center"/>
    </xf>
    <xf numFmtId="44" fontId="11" fillId="3" borderId="5" xfId="2" applyNumberFormat="1" applyFont="1" applyFill="1" applyBorder="1" applyAlignment="1">
      <alignment vertical="center"/>
    </xf>
    <xf numFmtId="44" fontId="11" fillId="3" borderId="6" xfId="2" applyNumberFormat="1" applyFont="1" applyFill="1" applyBorder="1" applyAlignment="1">
      <alignment vertical="center"/>
    </xf>
    <xf numFmtId="43" fontId="15" fillId="8" borderId="0" xfId="1" applyFont="1" applyFill="1"/>
    <xf numFmtId="10" fontId="15" fillId="8" borderId="0" xfId="3" applyNumberFormat="1" applyFont="1" applyFill="1"/>
    <xf numFmtId="10" fontId="15" fillId="8" borderId="0" xfId="0" applyNumberFormat="1" applyFont="1" applyFill="1"/>
    <xf numFmtId="44" fontId="15" fillId="2" borderId="0" xfId="0" applyNumberFormat="1" applyFont="1" applyFill="1"/>
    <xf numFmtId="43" fontId="11" fillId="3" borderId="18" xfId="1" applyFont="1" applyFill="1" applyBorder="1" applyAlignment="1">
      <alignment horizontal="center" vertical="center"/>
    </xf>
    <xf numFmtId="43" fontId="11" fillId="3" borderId="20" xfId="1" applyFont="1" applyFill="1" applyBorder="1" applyAlignment="1">
      <alignment horizontal="center" vertical="center"/>
    </xf>
    <xf numFmtId="43" fontId="11" fillId="3" borderId="19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7" xfId="1" applyFont="1" applyFill="1" applyBorder="1" applyAlignment="1">
      <alignment horizontal="center" vertical="center"/>
    </xf>
    <xf numFmtId="43" fontId="11" fillId="3" borderId="3" xfId="1" applyFont="1" applyFill="1" applyBorder="1" applyAlignment="1">
      <alignment horizontal="center" vertical="center"/>
    </xf>
    <xf numFmtId="43" fontId="11" fillId="3" borderId="5" xfId="1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vertical="center"/>
    </xf>
    <xf numFmtId="43" fontId="9" fillId="3" borderId="5" xfId="1" applyFont="1" applyFill="1" applyBorder="1" applyAlignment="1">
      <alignment vertical="center"/>
    </xf>
    <xf numFmtId="43" fontId="9" fillId="3" borderId="6" xfId="1" applyFont="1" applyFill="1" applyBorder="1" applyAlignment="1">
      <alignment vertical="center"/>
    </xf>
    <xf numFmtId="43" fontId="9" fillId="3" borderId="16" xfId="1" applyFont="1" applyFill="1" applyBorder="1" applyAlignment="1">
      <alignment vertical="center"/>
    </xf>
    <xf numFmtId="43" fontId="9" fillId="3" borderId="21" xfId="1" applyFont="1" applyFill="1" applyBorder="1" applyAlignment="1">
      <alignment vertical="center"/>
    </xf>
    <xf numFmtId="43" fontId="9" fillId="3" borderId="17" xfId="1" applyFont="1" applyFill="1" applyBorder="1" applyAlignment="1">
      <alignment vertical="center"/>
    </xf>
    <xf numFmtId="164" fontId="7" fillId="3" borderId="0" xfId="1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165" fontId="11" fillId="3" borderId="20" xfId="3" applyNumberFormat="1" applyFont="1" applyFill="1" applyBorder="1" applyAlignment="1">
      <alignment vertical="center"/>
    </xf>
    <xf numFmtId="10" fontId="11" fillId="3" borderId="0" xfId="3" applyNumberFormat="1" applyFont="1" applyFill="1" applyBorder="1" applyAlignment="1">
      <alignment vertical="center"/>
    </xf>
    <xf numFmtId="10" fontId="11" fillId="3" borderId="1" xfId="3" applyNumberFormat="1" applyFont="1" applyFill="1" applyBorder="1" applyAlignment="1">
      <alignment vertical="center"/>
    </xf>
    <xf numFmtId="10" fontId="11" fillId="3" borderId="7" xfId="3" applyNumberFormat="1" applyFont="1" applyFill="1" applyBorder="1" applyAlignment="1">
      <alignment vertical="center"/>
    </xf>
    <xf numFmtId="10" fontId="11" fillId="3" borderId="20" xfId="3" applyNumberFormat="1" applyFont="1" applyFill="1" applyBorder="1" applyAlignment="1">
      <alignment vertical="center"/>
    </xf>
    <xf numFmtId="10" fontId="11" fillId="3" borderId="18" xfId="3" applyNumberFormat="1" applyFont="1" applyFill="1" applyBorder="1" applyAlignment="1">
      <alignment vertical="center"/>
    </xf>
    <xf numFmtId="10" fontId="11" fillId="3" borderId="19" xfId="3" applyNumberFormat="1" applyFont="1" applyFill="1" applyBorder="1" applyAlignment="1">
      <alignment vertical="center"/>
    </xf>
    <xf numFmtId="10" fontId="10" fillId="3" borderId="20" xfId="3" applyNumberFormat="1" applyFont="1" applyFill="1" applyBorder="1" applyAlignment="1">
      <alignment vertical="center"/>
    </xf>
    <xf numFmtId="10" fontId="10" fillId="3" borderId="18" xfId="3" applyNumberFormat="1" applyFont="1" applyFill="1" applyBorder="1" applyAlignment="1">
      <alignment vertical="center"/>
    </xf>
    <xf numFmtId="10" fontId="10" fillId="3" borderId="19" xfId="3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165" fontId="10" fillId="3" borderId="5" xfId="3" applyNumberFormat="1" applyFont="1" applyFill="1" applyBorder="1" applyAlignment="1">
      <alignment vertical="center"/>
    </xf>
    <xf numFmtId="165" fontId="10" fillId="3" borderId="3" xfId="3" applyNumberFormat="1" applyFont="1" applyFill="1" applyBorder="1" applyAlignment="1">
      <alignment vertical="center"/>
    </xf>
    <xf numFmtId="165" fontId="10" fillId="3" borderId="6" xfId="3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164" fontId="7" fillId="3" borderId="0" xfId="1" applyNumberFormat="1" applyFont="1" applyFill="1" applyAlignment="1">
      <alignment vertical="center"/>
    </xf>
    <xf numFmtId="164" fontId="8" fillId="3" borderId="10" xfId="1" applyNumberFormat="1" applyFont="1" applyFill="1" applyBorder="1" applyAlignment="1">
      <alignment vertical="center"/>
    </xf>
    <xf numFmtId="164" fontId="8" fillId="3" borderId="8" xfId="1" applyNumberFormat="1" applyFont="1" applyFill="1" applyBorder="1" applyAlignment="1">
      <alignment vertical="center"/>
    </xf>
    <xf numFmtId="164" fontId="8" fillId="3" borderId="9" xfId="1" applyNumberFormat="1" applyFont="1" applyFill="1" applyBorder="1" applyAlignment="1">
      <alignment vertical="center"/>
    </xf>
    <xf numFmtId="164" fontId="7" fillId="3" borderId="3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164" fontId="7" fillId="3" borderId="6" xfId="1" applyNumberFormat="1" applyFont="1" applyFill="1" applyBorder="1" applyAlignment="1">
      <alignment vertical="center"/>
    </xf>
    <xf numFmtId="44" fontId="11" fillId="3" borderId="0" xfId="2" applyFont="1" applyFill="1" applyBorder="1" applyAlignment="1">
      <alignment horizontal="center" vertical="center"/>
    </xf>
    <xf numFmtId="44" fontId="11" fillId="3" borderId="7" xfId="2" applyFont="1" applyFill="1" applyBorder="1" applyAlignment="1">
      <alignment horizontal="center" vertical="center"/>
    </xf>
    <xf numFmtId="44" fontId="11" fillId="3" borderId="1" xfId="2" applyFont="1" applyFill="1" applyBorder="1" applyAlignment="1">
      <alignment horizontal="center" vertical="center"/>
    </xf>
    <xf numFmtId="44" fontId="10" fillId="3" borderId="8" xfId="2" applyFont="1" applyFill="1" applyBorder="1" applyAlignment="1">
      <alignment vertical="center"/>
    </xf>
    <xf numFmtId="44" fontId="10" fillId="3" borderId="10" xfId="2" applyFont="1" applyFill="1" applyBorder="1" applyAlignment="1">
      <alignment vertical="center"/>
    </xf>
    <xf numFmtId="44" fontId="10" fillId="3" borderId="9" xfId="2" applyFont="1" applyFill="1" applyBorder="1" applyAlignment="1">
      <alignment vertical="center"/>
    </xf>
    <xf numFmtId="0" fontId="13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10" fontId="11" fillId="3" borderId="0" xfId="3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43" fontId="11" fillId="3" borderId="2" xfId="1" applyFont="1" applyFill="1" applyBorder="1" applyAlignment="1">
      <alignment horizontal="center" vertical="center"/>
    </xf>
    <xf numFmtId="10" fontId="11" fillId="3" borderId="2" xfId="3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10" fontId="11" fillId="3" borderId="0" xfId="1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0" fontId="11" fillId="3" borderId="15" xfId="0" applyNumberFormat="1" applyFont="1" applyFill="1" applyBorder="1" applyAlignment="1">
      <alignment horizontal="center" vertical="center"/>
    </xf>
    <xf numFmtId="10" fontId="11" fillId="3" borderId="2" xfId="1" applyNumberFormat="1" applyFont="1" applyFill="1" applyBorder="1" applyAlignment="1">
      <alignment horizontal="center" vertical="center"/>
    </xf>
    <xf numFmtId="10" fontId="14" fillId="3" borderId="2" xfId="1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10" fontId="13" fillId="3" borderId="0" xfId="3" applyNumberFormat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1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0" xfId="0" applyFont="1" applyFill="1"/>
    <xf numFmtId="10" fontId="2" fillId="3" borderId="0" xfId="3" applyNumberFormat="1" applyFont="1" applyFill="1"/>
    <xf numFmtId="10" fontId="2" fillId="3" borderId="0" xfId="0" applyNumberFormat="1" applyFont="1" applyFill="1"/>
    <xf numFmtId="0" fontId="13" fillId="3" borderId="6" xfId="0" applyFont="1" applyFill="1" applyBorder="1"/>
    <xf numFmtId="10" fontId="10" fillId="3" borderId="21" xfId="0" applyNumberFormat="1" applyFont="1" applyFill="1" applyBorder="1" applyAlignment="1">
      <alignment vertical="center"/>
    </xf>
    <xf numFmtId="10" fontId="10" fillId="3" borderId="17" xfId="0" applyNumberFormat="1" applyFont="1" applyFill="1" applyBorder="1" applyAlignment="1">
      <alignment vertical="center"/>
    </xf>
    <xf numFmtId="43" fontId="10" fillId="3" borderId="16" xfId="1" applyFont="1" applyFill="1" applyBorder="1" applyAlignment="1">
      <alignment vertical="center"/>
    </xf>
    <xf numFmtId="43" fontId="10" fillId="3" borderId="0" xfId="1" applyFont="1" applyFill="1" applyAlignment="1">
      <alignment vertical="center"/>
    </xf>
    <xf numFmtId="0" fontId="11" fillId="3" borderId="5" xfId="0" applyFont="1" applyFill="1" applyBorder="1" applyAlignment="1">
      <alignment vertical="center"/>
    </xf>
    <xf numFmtId="0" fontId="15" fillId="3" borderId="5" xfId="0" applyFont="1" applyFill="1" applyBorder="1"/>
    <xf numFmtId="44" fontId="13" fillId="3" borderId="13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wrapText="1"/>
    </xf>
    <xf numFmtId="0" fontId="29" fillId="3" borderId="0" xfId="0" applyFont="1" applyFill="1" applyBorder="1"/>
    <xf numFmtId="0" fontId="9" fillId="3" borderId="20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/>
    </xf>
    <xf numFmtId="49" fontId="22" fillId="3" borderId="0" xfId="0" applyNumberFormat="1" applyFont="1" applyFill="1" applyBorder="1"/>
    <xf numFmtId="0" fontId="13" fillId="3" borderId="1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3" fillId="9" borderId="16" xfId="0" applyFont="1" applyFill="1" applyBorder="1" applyAlignment="1">
      <alignment vertical="center"/>
    </xf>
    <xf numFmtId="0" fontId="11" fillId="9" borderId="21" xfId="0" applyFont="1" applyFill="1" applyBorder="1"/>
    <xf numFmtId="0" fontId="11" fillId="9" borderId="17" xfId="0" applyFont="1" applyFill="1" applyBorder="1"/>
    <xf numFmtId="10" fontId="10" fillId="9" borderId="16" xfId="3" applyNumberFormat="1" applyFont="1" applyFill="1" applyBorder="1" applyAlignment="1">
      <alignment horizontal="right" vertical="center"/>
    </xf>
    <xf numFmtId="10" fontId="10" fillId="9" borderId="21" xfId="3" applyNumberFormat="1" applyFont="1" applyFill="1" applyBorder="1" applyAlignment="1">
      <alignment horizontal="right" vertical="center"/>
    </xf>
    <xf numFmtId="10" fontId="10" fillId="9" borderId="17" xfId="3" applyNumberFormat="1" applyFont="1" applyFill="1" applyBorder="1" applyAlignment="1">
      <alignment horizontal="right" vertical="center"/>
    </xf>
    <xf numFmtId="0" fontId="21" fillId="10" borderId="0" xfId="5" applyFont="1" applyFill="1" applyAlignment="1">
      <alignment horizontal="left" vertical="center"/>
    </xf>
    <xf numFmtId="0" fontId="21" fillId="10" borderId="0" xfId="0" applyFont="1" applyFill="1" applyAlignment="1">
      <alignment vertical="center"/>
    </xf>
    <xf numFmtId="0" fontId="21" fillId="10" borderId="0" xfId="0" applyFont="1" applyFill="1"/>
    <xf numFmtId="9" fontId="15" fillId="3" borderId="0" xfId="3" applyFont="1" applyFill="1"/>
    <xf numFmtId="166" fontId="15" fillId="3" borderId="0" xfId="0" applyNumberFormat="1" applyFont="1" applyFill="1"/>
    <xf numFmtId="9" fontId="11" fillId="3" borderId="19" xfId="0" applyNumberFormat="1" applyFont="1" applyFill="1" applyBorder="1" applyAlignment="1">
      <alignment horizontal="right" vertical="center"/>
    </xf>
    <xf numFmtId="9" fontId="11" fillId="3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15" fillId="3" borderId="8" xfId="0" applyFont="1" applyFill="1" applyBorder="1"/>
    <xf numFmtId="44" fontId="10" fillId="3" borderId="11" xfId="2" applyNumberFormat="1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43" fontId="10" fillId="3" borderId="8" xfId="0" applyNumberFormat="1" applyFont="1" applyFill="1" applyBorder="1" applyAlignment="1">
      <alignment vertical="center"/>
    </xf>
    <xf numFmtId="164" fontId="11" fillId="2" borderId="0" xfId="0" applyNumberFormat="1" applyFont="1" applyFill="1"/>
    <xf numFmtId="1" fontId="9" fillId="3" borderId="5" xfId="0" applyNumberFormat="1" applyFont="1" applyFill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164" fontId="7" fillId="2" borderId="0" xfId="0" applyNumberFormat="1" applyFont="1" applyFill="1"/>
    <xf numFmtId="44" fontId="7" fillId="3" borderId="0" xfId="0" applyNumberFormat="1" applyFont="1" applyFill="1"/>
    <xf numFmtId="2" fontId="11" fillId="3" borderId="0" xfId="0" applyNumberFormat="1" applyFont="1" applyFill="1" applyAlignment="1">
      <alignment vertical="center"/>
    </xf>
    <xf numFmtId="1" fontId="11" fillId="3" borderId="0" xfId="0" applyNumberFormat="1" applyFont="1" applyFill="1" applyAlignment="1">
      <alignment vertical="center"/>
    </xf>
    <xf numFmtId="44" fontId="11" fillId="3" borderId="0" xfId="0" applyNumberFormat="1" applyFont="1" applyFill="1"/>
    <xf numFmtId="164" fontId="15" fillId="2" borderId="0" xfId="0" applyNumberFormat="1" applyFont="1" applyFill="1"/>
    <xf numFmtId="168" fontId="17" fillId="3" borderId="0" xfId="0" applyNumberFormat="1" applyFont="1" applyFill="1" applyBorder="1" applyAlignment="1">
      <alignment vertical="center"/>
    </xf>
    <xf numFmtId="0" fontId="5" fillId="12" borderId="0" xfId="0" applyFont="1" applyFill="1" applyAlignment="1">
      <alignment vertical="center"/>
    </xf>
    <xf numFmtId="0" fontId="16" fillId="12" borderId="0" xfId="0" applyFont="1" applyFill="1"/>
    <xf numFmtId="0" fontId="34" fillId="3" borderId="0" xfId="0" applyFont="1" applyFill="1" applyAlignment="1">
      <alignment vertical="center"/>
    </xf>
    <xf numFmtId="0" fontId="35" fillId="11" borderId="0" xfId="0" applyFont="1" applyFill="1" applyBorder="1" applyAlignment="1">
      <alignment vertical="center"/>
    </xf>
    <xf numFmtId="0" fontId="36" fillId="3" borderId="0" xfId="0" applyFont="1" applyFill="1"/>
    <xf numFmtId="0" fontId="34" fillId="2" borderId="0" xfId="0" applyFont="1" applyFill="1"/>
    <xf numFmtId="0" fontId="37" fillId="0" borderId="0" xfId="0" applyFont="1" applyAlignment="1">
      <alignment vertical="center"/>
    </xf>
    <xf numFmtId="0" fontId="37" fillId="3" borderId="0" xfId="0" applyFont="1" applyFill="1" applyAlignment="1">
      <alignment vertical="center"/>
    </xf>
    <xf numFmtId="0" fontId="37" fillId="3" borderId="0" xfId="0" applyFont="1" applyFill="1"/>
    <xf numFmtId="0" fontId="37" fillId="2" borderId="0" xfId="0" applyFont="1" applyFill="1" applyAlignment="1">
      <alignment vertical="center"/>
    </xf>
    <xf numFmtId="0" fontId="15" fillId="12" borderId="0" xfId="0" applyFont="1" applyFill="1"/>
    <xf numFmtId="0" fontId="15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vertical="center" wrapText="1"/>
    </xf>
    <xf numFmtId="0" fontId="5" fillId="12" borderId="0" xfId="0" applyFont="1" applyFill="1"/>
    <xf numFmtId="0" fontId="21" fillId="11" borderId="0" xfId="0" applyFont="1" applyFill="1" applyAlignment="1">
      <alignment vertical="center"/>
    </xf>
    <xf numFmtId="0" fontId="24" fillId="11" borderId="0" xfId="0" applyFont="1" applyFill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vertical="center"/>
    </xf>
    <xf numFmtId="1" fontId="14" fillId="3" borderId="20" xfId="0" applyNumberFormat="1" applyFont="1" applyFill="1" applyBorder="1" applyAlignment="1">
      <alignment vertical="center"/>
    </xf>
    <xf numFmtId="1" fontId="14" fillId="3" borderId="5" xfId="0" applyNumberFormat="1" applyFont="1" applyFill="1" applyBorder="1" applyAlignment="1">
      <alignment vertical="center"/>
    </xf>
    <xf numFmtId="44" fontId="11" fillId="3" borderId="0" xfId="2" applyFont="1" applyFill="1" applyAlignment="1">
      <alignment vertic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16" fillId="11" borderId="0" xfId="0" applyFont="1" applyFill="1"/>
    <xf numFmtId="0" fontId="18" fillId="3" borderId="0" xfId="0" applyFont="1" applyFill="1" applyBorder="1" applyAlignment="1">
      <alignment vertical="center"/>
    </xf>
    <xf numFmtId="0" fontId="27" fillId="3" borderId="0" xfId="5" quotePrefix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49" fontId="17" fillId="3" borderId="0" xfId="0" applyNumberFormat="1" applyFont="1" applyFill="1" applyBorder="1" applyAlignment="1">
      <alignment horizontal="left" vertical="center"/>
    </xf>
    <xf numFmtId="1" fontId="10" fillId="3" borderId="0" xfId="0" applyNumberFormat="1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left" vertical="center"/>
    </xf>
    <xf numFmtId="0" fontId="1" fillId="3" borderId="0" xfId="0" applyFont="1" applyFill="1"/>
    <xf numFmtId="0" fontId="12" fillId="3" borderId="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/>
    <xf numFmtId="0" fontId="14" fillId="3" borderId="5" xfId="0" applyFont="1" applyFill="1" applyBorder="1" applyAlignment="1"/>
    <xf numFmtId="49" fontId="17" fillId="3" borderId="5" xfId="0" applyNumberFormat="1" applyFont="1" applyFill="1" applyBorder="1" applyAlignment="1">
      <alignment horizontal="left" vertical="center"/>
    </xf>
    <xf numFmtId="49" fontId="39" fillId="3" borderId="0" xfId="0" applyNumberFormat="1" applyFont="1" applyFill="1" applyBorder="1" applyAlignment="1">
      <alignment horizontal="right" vertical="center"/>
    </xf>
    <xf numFmtId="49" fontId="39" fillId="3" borderId="5" xfId="0" applyNumberFormat="1" applyFont="1" applyFill="1" applyBorder="1" applyAlignment="1">
      <alignment horizontal="right" vertical="center"/>
    </xf>
    <xf numFmtId="49" fontId="17" fillId="3" borderId="21" xfId="0" applyNumberFormat="1" applyFont="1" applyFill="1" applyBorder="1" applyAlignment="1">
      <alignment horizontal="left" vertical="center"/>
    </xf>
    <xf numFmtId="0" fontId="18" fillId="3" borderId="21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27" fillId="3" borderId="21" xfId="5" quotePrefix="1" applyFont="1" applyFill="1" applyBorder="1" applyAlignment="1">
      <alignment horizontal="left" vertical="center"/>
    </xf>
    <xf numFmtId="0" fontId="27" fillId="3" borderId="0" xfId="5" quotePrefix="1" applyFont="1" applyFill="1" applyBorder="1" applyAlignment="1">
      <alignment horizontal="left" vertical="center"/>
    </xf>
    <xf numFmtId="0" fontId="27" fillId="3" borderId="5" xfId="5" quotePrefix="1" applyFont="1" applyFill="1" applyBorder="1" applyAlignment="1">
      <alignment horizontal="left" vertical="center"/>
    </xf>
    <xf numFmtId="0" fontId="27" fillId="3" borderId="5" xfId="5" quotePrefix="1" applyFont="1" applyFill="1" applyBorder="1" applyAlignment="1">
      <alignment horizontal="left" vertical="center" wrapText="1"/>
    </xf>
    <xf numFmtId="0" fontId="21" fillId="12" borderId="0" xfId="0" applyFont="1" applyFill="1" applyAlignment="1">
      <alignment vertical="center"/>
    </xf>
    <xf numFmtId="0" fontId="24" fillId="12" borderId="0" xfId="0" applyFont="1" applyFill="1" applyAlignment="1">
      <alignment vertical="center"/>
    </xf>
    <xf numFmtId="0" fontId="22" fillId="3" borderId="0" xfId="0" applyFont="1" applyFill="1" applyBorder="1" applyAlignment="1">
      <alignment vertical="center"/>
    </xf>
    <xf numFmtId="164" fontId="22" fillId="3" borderId="0" xfId="1" applyNumberFormat="1" applyFont="1" applyFill="1" applyBorder="1" applyAlignment="1">
      <alignment vertical="center"/>
    </xf>
    <xf numFmtId="0" fontId="40" fillId="3" borderId="0" xfId="0" applyFont="1" applyFill="1" applyAlignment="1">
      <alignment vertical="center"/>
    </xf>
    <xf numFmtId="0" fontId="11" fillId="4" borderId="0" xfId="0" applyFont="1" applyFill="1"/>
    <xf numFmtId="0" fontId="11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10" fontId="11" fillId="3" borderId="5" xfId="3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10" fontId="11" fillId="3" borderId="3" xfId="3" applyNumberFormat="1" applyFont="1" applyFill="1" applyBorder="1" applyAlignment="1">
      <alignment vertical="center"/>
    </xf>
    <xf numFmtId="10" fontId="11" fillId="3" borderId="6" xfId="3" applyNumberFormat="1" applyFont="1" applyFill="1" applyBorder="1" applyAlignment="1">
      <alignment vertical="center"/>
    </xf>
    <xf numFmtId="0" fontId="17" fillId="6" borderId="16" xfId="0" applyFont="1" applyFill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164" fontId="22" fillId="3" borderId="1" xfId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9" fontId="10" fillId="3" borderId="0" xfId="0" applyNumberFormat="1" applyFont="1" applyFill="1" applyBorder="1" applyAlignment="1">
      <alignment vertical="center"/>
    </xf>
    <xf numFmtId="9" fontId="10" fillId="3" borderId="0" xfId="3" applyFont="1" applyFill="1" applyBorder="1" applyAlignment="1">
      <alignment vertical="center"/>
    </xf>
    <xf numFmtId="1" fontId="11" fillId="3" borderId="21" xfId="0" applyNumberFormat="1" applyFont="1" applyFill="1" applyBorder="1" applyAlignment="1">
      <alignment vertical="center"/>
    </xf>
    <xf numFmtId="1" fontId="11" fillId="3" borderId="5" xfId="0" applyNumberFormat="1" applyFont="1" applyFill="1" applyBorder="1" applyAlignment="1">
      <alignment vertical="center"/>
    </xf>
    <xf numFmtId="1" fontId="11" fillId="3" borderId="20" xfId="0" applyNumberFormat="1" applyFont="1" applyFill="1" applyBorder="1" applyAlignment="1">
      <alignment vertical="center"/>
    </xf>
    <xf numFmtId="1" fontId="11" fillId="3" borderId="0" xfId="0" applyNumberFormat="1" applyFont="1" applyFill="1" applyBorder="1" applyAlignment="1">
      <alignment vertical="center"/>
    </xf>
    <xf numFmtId="0" fontId="21" fillId="11" borderId="0" xfId="0" applyFont="1" applyFill="1" applyBorder="1" applyAlignment="1">
      <alignment vertical="center"/>
    </xf>
    <xf numFmtId="0" fontId="21" fillId="11" borderId="0" xfId="0" applyFont="1" applyFill="1" applyBorder="1" applyAlignment="1">
      <alignment horizontal="center" vertical="center"/>
    </xf>
    <xf numFmtId="49" fontId="10" fillId="3" borderId="0" xfId="0" applyNumberFormat="1" applyFont="1" applyFill="1" applyBorder="1"/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0" fontId="11" fillId="3" borderId="0" xfId="3" applyNumberFormat="1" applyFont="1" applyFill="1" applyBorder="1"/>
    <xf numFmtId="10" fontId="11" fillId="3" borderId="0" xfId="0" applyNumberFormat="1" applyFont="1" applyFill="1" applyBorder="1"/>
    <xf numFmtId="43" fontId="11" fillId="3" borderId="0" xfId="1" applyFont="1" applyFill="1" applyAlignment="1">
      <alignment vertical="center"/>
    </xf>
    <xf numFmtId="0" fontId="13" fillId="3" borderId="9" xfId="0" applyFont="1" applyFill="1" applyBorder="1" applyAlignment="1">
      <alignment vertical="center"/>
    </xf>
    <xf numFmtId="9" fontId="11" fillId="3" borderId="1" xfId="3" applyNumberFormat="1" applyFont="1" applyFill="1" applyBorder="1" applyAlignment="1">
      <alignment horizontal="center" vertical="center"/>
    </xf>
    <xf numFmtId="9" fontId="11" fillId="3" borderId="3" xfId="3" applyNumberFormat="1" applyFont="1" applyFill="1" applyBorder="1" applyAlignment="1">
      <alignment horizontal="center" vertical="center"/>
    </xf>
    <xf numFmtId="9" fontId="10" fillId="3" borderId="21" xfId="0" applyNumberFormat="1" applyFont="1" applyFill="1" applyBorder="1" applyAlignment="1">
      <alignment horizontal="center" vertical="center"/>
    </xf>
    <xf numFmtId="0" fontId="41" fillId="3" borderId="0" xfId="0" applyFont="1" applyFill="1"/>
    <xf numFmtId="43" fontId="41" fillId="3" borderId="0" xfId="0" applyNumberFormat="1" applyFont="1" applyFill="1"/>
    <xf numFmtId="0" fontId="42" fillId="3" borderId="0" xfId="0" applyFont="1" applyFill="1" applyAlignment="1">
      <alignment vertical="center"/>
    </xf>
    <xf numFmtId="0" fontId="41" fillId="3" borderId="0" xfId="0" applyFont="1" applyFill="1" applyAlignment="1">
      <alignment vertical="center"/>
    </xf>
    <xf numFmtId="43" fontId="41" fillId="3" borderId="0" xfId="0" applyNumberFormat="1" applyFont="1" applyFill="1" applyAlignment="1">
      <alignment vertical="center"/>
    </xf>
    <xf numFmtId="0" fontId="41" fillId="8" borderId="0" xfId="0" applyFont="1" applyFill="1" applyAlignment="1">
      <alignment vertical="center"/>
    </xf>
    <xf numFmtId="43" fontId="10" fillId="3" borderId="14" xfId="1" applyFont="1" applyFill="1" applyBorder="1" applyAlignment="1">
      <alignment vertical="center"/>
    </xf>
    <xf numFmtId="0" fontId="2" fillId="9" borderId="14" xfId="0" applyFont="1" applyFill="1" applyBorder="1" applyAlignment="1">
      <alignment vertical="center"/>
    </xf>
    <xf numFmtId="44" fontId="10" fillId="9" borderId="14" xfId="2" applyFont="1" applyFill="1" applyBorder="1" applyAlignment="1">
      <alignment vertical="center"/>
    </xf>
    <xf numFmtId="10" fontId="10" fillId="9" borderId="14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left"/>
    </xf>
    <xf numFmtId="0" fontId="24" fillId="3" borderId="5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43" fontId="9" fillId="3" borderId="14" xfId="1" applyFont="1" applyFill="1" applyBorder="1" applyAlignment="1">
      <alignment vertical="center"/>
    </xf>
    <xf numFmtId="169" fontId="11" fillId="3" borderId="1" xfId="0" applyNumberFormat="1" applyFont="1" applyFill="1" applyBorder="1" applyAlignment="1">
      <alignment vertical="center"/>
    </xf>
    <xf numFmtId="49" fontId="41" fillId="3" borderId="0" xfId="0" applyNumberFormat="1" applyFont="1" applyFill="1" applyBorder="1"/>
    <xf numFmtId="44" fontId="41" fillId="3" borderId="0" xfId="0" applyNumberFormat="1" applyFont="1" applyFill="1" applyBorder="1" applyAlignment="1">
      <alignment vertical="center"/>
    </xf>
    <xf numFmtId="0" fontId="43" fillId="3" borderId="0" xfId="0" applyFont="1" applyFill="1" applyAlignment="1">
      <alignment horizontal="center" vertical="center"/>
    </xf>
    <xf numFmtId="49" fontId="43" fillId="3" borderId="0" xfId="0" applyNumberFormat="1" applyFont="1" applyFill="1" applyAlignment="1">
      <alignment horizontal="center" vertical="center"/>
    </xf>
    <xf numFmtId="49" fontId="43" fillId="3" borderId="20" xfId="0" applyNumberFormat="1" applyFont="1" applyFill="1" applyBorder="1" applyAlignment="1">
      <alignment horizontal="center" vertical="center"/>
    </xf>
    <xf numFmtId="49" fontId="43" fillId="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Alignment="1">
      <alignment vertical="center"/>
    </xf>
    <xf numFmtId="49" fontId="10" fillId="3" borderId="5" xfId="0" applyNumberFormat="1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5" xfId="0" applyFont="1" applyFill="1" applyBorder="1" applyAlignment="1">
      <alignment vertical="center"/>
    </xf>
    <xf numFmtId="9" fontId="10" fillId="3" borderId="10" xfId="3" applyFont="1" applyFill="1" applyBorder="1" applyAlignment="1">
      <alignment vertical="center"/>
    </xf>
    <xf numFmtId="9" fontId="10" fillId="3" borderId="8" xfId="3" applyFont="1" applyFill="1" applyBorder="1" applyAlignment="1">
      <alignment vertical="center"/>
    </xf>
    <xf numFmtId="44" fontId="11" fillId="3" borderId="20" xfId="2" applyFont="1" applyFill="1" applyBorder="1" applyAlignment="1">
      <alignment vertical="center"/>
    </xf>
    <xf numFmtId="44" fontId="11" fillId="3" borderId="3" xfId="2" applyFont="1" applyFill="1" applyBorder="1" applyAlignment="1">
      <alignment vertical="center"/>
    </xf>
    <xf numFmtId="44" fontId="11" fillId="3" borderId="5" xfId="2" applyFont="1" applyFill="1" applyBorder="1" applyAlignment="1">
      <alignment vertical="center"/>
    </xf>
    <xf numFmtId="44" fontId="11" fillId="3" borderId="0" xfId="2" applyFont="1" applyFill="1" applyBorder="1" applyAlignment="1">
      <alignment vertical="center"/>
    </xf>
    <xf numFmtId="44" fontId="11" fillId="3" borderId="1" xfId="2" applyFont="1" applyFill="1" applyBorder="1" applyAlignment="1">
      <alignment vertical="center"/>
    </xf>
    <xf numFmtId="164" fontId="11" fillId="3" borderId="0" xfId="0" applyNumberFormat="1" applyFont="1" applyFill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43" fontId="15" fillId="2" borderId="0" xfId="1" applyFont="1" applyFill="1"/>
    <xf numFmtId="0" fontId="10" fillId="3" borderId="9" xfId="0" applyFont="1" applyFill="1" applyBorder="1" applyAlignment="1">
      <alignment vertical="center"/>
    </xf>
    <xf numFmtId="0" fontId="38" fillId="12" borderId="0" xfId="0" applyFont="1" applyFill="1" applyAlignment="1">
      <alignment vertical="center"/>
    </xf>
    <xf numFmtId="43" fontId="11" fillId="3" borderId="1" xfId="0" applyNumberFormat="1" applyFont="1" applyFill="1" applyBorder="1" applyAlignment="1">
      <alignment vertical="center"/>
    </xf>
    <xf numFmtId="43" fontId="11" fillId="3" borderId="0" xfId="0" applyNumberFormat="1" applyFont="1" applyFill="1" applyBorder="1" applyAlignment="1">
      <alignment vertical="center"/>
    </xf>
    <xf numFmtId="43" fontId="11" fillId="3" borderId="3" xfId="0" applyNumberFormat="1" applyFont="1" applyFill="1" applyBorder="1" applyAlignment="1">
      <alignment vertical="center"/>
    </xf>
    <xf numFmtId="43" fontId="11" fillId="3" borderId="5" xfId="0" applyNumberFormat="1" applyFont="1" applyFill="1" applyBorder="1" applyAlignment="1">
      <alignment vertical="center"/>
    </xf>
    <xf numFmtId="43" fontId="11" fillId="3" borderId="7" xfId="0" applyNumberFormat="1" applyFont="1" applyFill="1" applyBorder="1" applyAlignment="1">
      <alignment vertical="center"/>
    </xf>
    <xf numFmtId="43" fontId="11" fillId="3" borderId="6" xfId="0" applyNumberFormat="1" applyFont="1" applyFill="1" applyBorder="1" applyAlignment="1">
      <alignment vertical="center"/>
    </xf>
    <xf numFmtId="43" fontId="11" fillId="3" borderId="5" xfId="1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9" fontId="11" fillId="3" borderId="0" xfId="3" applyFont="1" applyFill="1" applyAlignment="1">
      <alignment vertical="center"/>
    </xf>
    <xf numFmtId="9" fontId="11" fillId="3" borderId="1" xfId="3" applyFont="1" applyFill="1" applyBorder="1" applyAlignment="1">
      <alignment vertical="center"/>
    </xf>
    <xf numFmtId="164" fontId="8" fillId="3" borderId="12" xfId="1" applyNumberFormat="1" applyFont="1" applyFill="1" applyBorder="1" applyAlignment="1">
      <alignment vertical="center"/>
    </xf>
    <xf numFmtId="164" fontId="8" fillId="3" borderId="11" xfId="1" applyNumberFormat="1" applyFont="1" applyFill="1" applyBorder="1" applyAlignment="1">
      <alignment vertical="center"/>
    </xf>
    <xf numFmtId="164" fontId="8" fillId="3" borderId="13" xfId="1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171" fontId="11" fillId="3" borderId="0" xfId="0" applyNumberFormat="1" applyFont="1" applyFill="1" applyAlignment="1">
      <alignment vertical="center"/>
    </xf>
    <xf numFmtId="0" fontId="22" fillId="3" borderId="0" xfId="0" applyFont="1" applyFill="1"/>
    <xf numFmtId="164" fontId="22" fillId="3" borderId="0" xfId="0" applyNumberFormat="1" applyFont="1" applyFill="1"/>
    <xf numFmtId="0" fontId="9" fillId="3" borderId="1" xfId="0" applyFont="1" applyFill="1" applyBorder="1" applyAlignment="1">
      <alignment horizontal="center" vertical="center"/>
    </xf>
    <xf numFmtId="1" fontId="11" fillId="3" borderId="0" xfId="0" applyNumberFormat="1" applyFont="1" applyFill="1" applyAlignment="1">
      <alignment horizontal="center" vertical="center"/>
    </xf>
    <xf numFmtId="1" fontId="11" fillId="3" borderId="21" xfId="0" applyNumberFormat="1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/>
    </xf>
    <xf numFmtId="1" fontId="11" fillId="3" borderId="20" xfId="0" applyNumberFormat="1" applyFont="1" applyFill="1" applyBorder="1" applyAlignment="1">
      <alignment horizontal="center" vertical="center"/>
    </xf>
    <xf numFmtId="1" fontId="11" fillId="3" borderId="0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27" fillId="3" borderId="5" xfId="5" applyFont="1" applyFill="1" applyBorder="1" applyAlignment="1">
      <alignment horizontal="left" vertical="center"/>
    </xf>
    <xf numFmtId="0" fontId="27" fillId="3" borderId="0" xfId="5" applyFont="1" applyFill="1" applyBorder="1" applyAlignment="1">
      <alignment horizontal="left" vertical="center"/>
    </xf>
    <xf numFmtId="49" fontId="39" fillId="3" borderId="21" xfId="0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10" fontId="11" fillId="3" borderId="4" xfId="3" applyNumberFormat="1" applyFont="1" applyFill="1" applyBorder="1" applyAlignment="1">
      <alignment horizontal="center" vertical="center"/>
    </xf>
    <xf numFmtId="10" fontId="11" fillId="3" borderId="5" xfId="1" applyNumberFormat="1" applyFont="1" applyFill="1" applyBorder="1" applyAlignment="1">
      <alignment horizontal="center" vertical="center"/>
    </xf>
    <xf numFmtId="1" fontId="11" fillId="3" borderId="0" xfId="0" applyNumberFormat="1" applyFont="1" applyFill="1" applyAlignment="1">
      <alignment horizontal="left"/>
    </xf>
    <xf numFmtId="44" fontId="44" fillId="3" borderId="0" xfId="0" applyNumberFormat="1" applyFont="1" applyFill="1" applyBorder="1" applyAlignment="1">
      <alignment vertical="center"/>
    </xf>
    <xf numFmtId="0" fontId="16" fillId="3" borderId="0" xfId="0" applyFont="1" applyFill="1" applyAlignment="1">
      <alignment vertical="center" wrapText="1"/>
    </xf>
    <xf numFmtId="171" fontId="11" fillId="3" borderId="5" xfId="2" applyNumberFormat="1" applyFont="1" applyFill="1" applyBorder="1" applyAlignment="1">
      <alignment vertical="center"/>
    </xf>
    <xf numFmtId="171" fontId="11" fillId="3" borderId="3" xfId="2" applyNumberFormat="1" applyFont="1" applyFill="1" applyBorder="1" applyAlignment="1">
      <alignment vertical="center"/>
    </xf>
    <xf numFmtId="164" fontId="22" fillId="3" borderId="3" xfId="1" applyNumberFormat="1" applyFont="1" applyFill="1" applyBorder="1" applyAlignment="1">
      <alignment vertical="center"/>
    </xf>
    <xf numFmtId="1" fontId="14" fillId="3" borderId="21" xfId="0" applyNumberFormat="1" applyFont="1" applyFill="1" applyBorder="1" applyAlignment="1">
      <alignment vertical="center"/>
    </xf>
    <xf numFmtId="171" fontId="11" fillId="3" borderId="21" xfId="2" applyNumberFormat="1" applyFont="1" applyFill="1" applyBorder="1" applyAlignment="1">
      <alignment vertical="center"/>
    </xf>
    <xf numFmtId="164" fontId="22" fillId="3" borderId="16" xfId="1" applyNumberFormat="1" applyFont="1" applyFill="1" applyBorder="1" applyAlignment="1">
      <alignment vertical="center"/>
    </xf>
    <xf numFmtId="0" fontId="39" fillId="3" borderId="0" xfId="0" applyFont="1" applyFill="1"/>
    <xf numFmtId="44" fontId="22" fillId="3" borderId="0" xfId="0" applyNumberFormat="1" applyFont="1" applyFill="1"/>
    <xf numFmtId="44" fontId="11" fillId="3" borderId="18" xfId="2" applyNumberFormat="1" applyFont="1" applyFill="1" applyBorder="1" applyAlignment="1">
      <alignment vertical="center"/>
    </xf>
    <xf numFmtId="164" fontId="7" fillId="3" borderId="0" xfId="0" applyNumberFormat="1" applyFont="1" applyFill="1" applyAlignment="1">
      <alignment vertical="center"/>
    </xf>
    <xf numFmtId="44" fontId="11" fillId="3" borderId="18" xfId="2" applyFont="1" applyFill="1" applyBorder="1" applyAlignment="1">
      <alignment vertical="center"/>
    </xf>
    <xf numFmtId="44" fontId="13" fillId="3" borderId="10" xfId="2" applyFont="1" applyFill="1" applyBorder="1" applyAlignment="1">
      <alignment vertical="center"/>
    </xf>
    <xf numFmtId="0" fontId="15" fillId="2" borderId="0" xfId="0" applyFont="1" applyFill="1" applyAlignment="1">
      <alignment wrapText="1"/>
    </xf>
    <xf numFmtId="43" fontId="15" fillId="3" borderId="0" xfId="1" applyFont="1" applyFill="1"/>
    <xf numFmtId="43" fontId="23" fillId="0" borderId="0" xfId="1" applyFont="1" applyAlignment="1">
      <alignment vertical="center"/>
    </xf>
    <xf numFmtId="43" fontId="15" fillId="3" borderId="0" xfId="1" applyFont="1" applyFill="1" applyAlignment="1">
      <alignment vertical="center"/>
    </xf>
    <xf numFmtId="43" fontId="17" fillId="3" borderId="0" xfId="1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vertical="center"/>
    </xf>
    <xf numFmtId="1" fontId="12" fillId="3" borderId="0" xfId="0" applyNumberFormat="1" applyFont="1" applyFill="1" applyBorder="1" applyAlignment="1">
      <alignment vertical="center"/>
    </xf>
    <xf numFmtId="164" fontId="10" fillId="3" borderId="0" xfId="0" applyNumberFormat="1" applyFont="1" applyFill="1" applyBorder="1" applyAlignment="1">
      <alignment vertical="center"/>
    </xf>
    <xf numFmtId="44" fontId="10" fillId="3" borderId="0" xfId="2" applyNumberFormat="1" applyFont="1" applyFill="1" applyBorder="1" applyAlignment="1">
      <alignment vertical="center"/>
    </xf>
    <xf numFmtId="164" fontId="22" fillId="3" borderId="0" xfId="0" applyNumberFormat="1" applyFont="1" applyFill="1" applyBorder="1" applyAlignment="1">
      <alignment vertical="center"/>
    </xf>
    <xf numFmtId="44" fontId="22" fillId="3" borderId="0" xfId="2" applyNumberFormat="1" applyFont="1" applyFill="1" applyBorder="1" applyAlignment="1">
      <alignment vertical="center"/>
    </xf>
    <xf numFmtId="1" fontId="31" fillId="3" borderId="0" xfId="0" applyNumberFormat="1" applyFont="1" applyFill="1" applyBorder="1" applyAlignment="1">
      <alignment vertical="center"/>
    </xf>
    <xf numFmtId="44" fontId="15" fillId="3" borderId="0" xfId="0" applyNumberFormat="1" applyFont="1" applyFill="1" applyAlignment="1">
      <alignment vertical="center"/>
    </xf>
    <xf numFmtId="1" fontId="11" fillId="3" borderId="0" xfId="0" applyNumberFormat="1" applyFont="1" applyFill="1" applyAlignment="1">
      <alignment horizontal="left" vertical="center"/>
    </xf>
    <xf numFmtId="0" fontId="1" fillId="3" borderId="8" xfId="0" applyFont="1" applyFill="1" applyBorder="1" applyAlignment="1">
      <alignment vertical="center"/>
    </xf>
    <xf numFmtId="43" fontId="15" fillId="2" borderId="0" xfId="0" applyNumberFormat="1" applyFont="1" applyFill="1"/>
    <xf numFmtId="44" fontId="11" fillId="0" borderId="1" xfId="2" applyFont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7" fillId="2" borderId="0" xfId="0" applyFont="1" applyFill="1" applyAlignment="1">
      <alignment horizontal="right"/>
    </xf>
    <xf numFmtId="0" fontId="1" fillId="9" borderId="14" xfId="0" applyFont="1" applyFill="1" applyBorder="1" applyAlignment="1">
      <alignment vertical="center"/>
    </xf>
    <xf numFmtId="10" fontId="10" fillId="2" borderId="0" xfId="3" applyNumberFormat="1" applyFont="1" applyFill="1" applyBorder="1" applyAlignment="1">
      <alignment vertical="center"/>
    </xf>
    <xf numFmtId="0" fontId="14" fillId="3" borderId="0" xfId="5" applyFont="1" applyFill="1" applyAlignment="1">
      <alignment horizontal="left" vertical="center"/>
    </xf>
    <xf numFmtId="0" fontId="31" fillId="3" borderId="0" xfId="5" applyFont="1" applyFill="1" applyAlignment="1">
      <alignment horizontal="left" vertical="center"/>
    </xf>
    <xf numFmtId="0" fontId="14" fillId="3" borderId="5" xfId="5" applyFont="1" applyFill="1" applyBorder="1" applyAlignment="1">
      <alignment horizontal="left" vertical="center"/>
    </xf>
    <xf numFmtId="0" fontId="21" fillId="3" borderId="5" xfId="0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9" fillId="3" borderId="8" xfId="5" applyFont="1" applyFill="1" applyBorder="1" applyAlignment="1">
      <alignment horizontal="left" vertical="center"/>
    </xf>
    <xf numFmtId="164" fontId="14" fillId="3" borderId="0" xfId="1" applyNumberFormat="1" applyFont="1" applyFill="1" applyAlignment="1">
      <alignment vertical="center"/>
    </xf>
    <xf numFmtId="164" fontId="14" fillId="3" borderId="18" xfId="1" applyNumberFormat="1" applyFont="1" applyFill="1" applyBorder="1" applyAlignment="1">
      <alignment vertical="center"/>
    </xf>
    <xf numFmtId="164" fontId="14" fillId="3" borderId="20" xfId="1" applyNumberFormat="1" applyFont="1" applyFill="1" applyBorder="1" applyAlignment="1">
      <alignment vertical="center"/>
    </xf>
    <xf numFmtId="164" fontId="14" fillId="3" borderId="3" xfId="1" applyNumberFormat="1" applyFont="1" applyFill="1" applyBorder="1" applyAlignment="1">
      <alignment vertical="center"/>
    </xf>
    <xf numFmtId="164" fontId="14" fillId="3" borderId="5" xfId="1" applyNumberFormat="1" applyFont="1" applyFill="1" applyBorder="1" applyAlignment="1">
      <alignment vertical="center"/>
    </xf>
    <xf numFmtId="10" fontId="9" fillId="3" borderId="10" xfId="3" applyNumberFormat="1" applyFont="1" applyFill="1" applyBorder="1" applyAlignment="1">
      <alignment horizontal="right" vertical="center"/>
    </xf>
    <xf numFmtId="10" fontId="9" fillId="3" borderId="8" xfId="3" applyNumberFormat="1" applyFont="1" applyFill="1" applyBorder="1" applyAlignment="1">
      <alignment horizontal="right" vertical="center"/>
    </xf>
    <xf numFmtId="10" fontId="9" fillId="3" borderId="10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164" fontId="14" fillId="3" borderId="19" xfId="1" applyNumberFormat="1" applyFont="1" applyFill="1" applyBorder="1" applyAlignment="1">
      <alignment vertical="center"/>
    </xf>
    <xf numFmtId="164" fontId="14" fillId="3" borderId="6" xfId="1" applyNumberFormat="1" applyFont="1" applyFill="1" applyBorder="1" applyAlignment="1">
      <alignment vertical="center"/>
    </xf>
    <xf numFmtId="164" fontId="14" fillId="3" borderId="1" xfId="1" applyNumberFormat="1" applyFont="1" applyFill="1" applyBorder="1" applyAlignment="1">
      <alignment vertical="center"/>
    </xf>
    <xf numFmtId="164" fontId="14" fillId="3" borderId="0" xfId="1" applyNumberFormat="1" applyFont="1" applyFill="1" applyBorder="1" applyAlignment="1">
      <alignment vertical="center"/>
    </xf>
    <xf numFmtId="164" fontId="14" fillId="3" borderId="7" xfId="1" applyNumberFormat="1" applyFont="1" applyFill="1" applyBorder="1" applyAlignment="1">
      <alignment vertical="center"/>
    </xf>
    <xf numFmtId="164" fontId="9" fillId="3" borderId="8" xfId="1" applyNumberFormat="1" applyFont="1" applyFill="1" applyBorder="1" applyAlignment="1">
      <alignment horizontal="left" vertical="center"/>
    </xf>
    <xf numFmtId="164" fontId="9" fillId="3" borderId="10" xfId="1" applyNumberFormat="1" applyFont="1" applyFill="1" applyBorder="1" applyAlignment="1">
      <alignment horizontal="left" vertical="center"/>
    </xf>
    <xf numFmtId="164" fontId="9" fillId="3" borderId="9" xfId="1" applyNumberFormat="1" applyFont="1" applyFill="1" applyBorder="1" applyAlignment="1">
      <alignment horizontal="left" vertical="center"/>
    </xf>
    <xf numFmtId="164" fontId="9" fillId="3" borderId="8" xfId="5" applyNumberFormat="1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/>
    </xf>
    <xf numFmtId="0" fontId="31" fillId="3" borderId="0" xfId="0" applyFont="1" applyFill="1" applyAlignment="1">
      <alignment horizontal="left" vertical="center"/>
    </xf>
    <xf numFmtId="0" fontId="11" fillId="3" borderId="21" xfId="0" applyFont="1" applyFill="1" applyBorder="1" applyAlignment="1">
      <alignment vertical="center"/>
    </xf>
    <xf numFmtId="164" fontId="11" fillId="3" borderId="21" xfId="1" applyNumberFormat="1" applyFont="1" applyFill="1" applyBorder="1" applyAlignment="1">
      <alignment vertical="center"/>
    </xf>
    <xf numFmtId="164" fontId="11" fillId="3" borderId="16" xfId="1" applyNumberFormat="1" applyFont="1" applyFill="1" applyBorder="1" applyAlignment="1">
      <alignment vertical="center"/>
    </xf>
    <xf numFmtId="0" fontId="12" fillId="13" borderId="0" xfId="0" applyFont="1" applyFill="1" applyAlignment="1">
      <alignment vertical="center"/>
    </xf>
    <xf numFmtId="0" fontId="31" fillId="13" borderId="0" xfId="0" applyFont="1" applyFill="1" applyBorder="1" applyAlignment="1">
      <alignment vertical="center"/>
    </xf>
    <xf numFmtId="164" fontId="31" fillId="13" borderId="0" xfId="1" applyNumberFormat="1" applyFont="1" applyFill="1" applyBorder="1" applyAlignment="1">
      <alignment vertical="center"/>
    </xf>
    <xf numFmtId="0" fontId="10" fillId="13" borderId="0" xfId="0" applyFont="1" applyFill="1" applyBorder="1" applyAlignment="1">
      <alignment vertical="center"/>
    </xf>
    <xf numFmtId="9" fontId="10" fillId="13" borderId="0" xfId="0" applyNumberFormat="1" applyFont="1" applyFill="1" applyBorder="1" applyAlignment="1">
      <alignment vertical="center"/>
    </xf>
    <xf numFmtId="0" fontId="45" fillId="13" borderId="0" xfId="0" applyFont="1" applyFill="1" applyAlignment="1">
      <alignment vertical="center"/>
    </xf>
    <xf numFmtId="43" fontId="10" fillId="13" borderId="0" xfId="1" applyFont="1" applyFill="1" applyBorder="1" applyAlignment="1">
      <alignment vertical="center"/>
    </xf>
    <xf numFmtId="0" fontId="31" fillId="3" borderId="5" xfId="0" applyFont="1" applyFill="1" applyBorder="1" applyAlignment="1">
      <alignment horizontal="left" vertical="center"/>
    </xf>
    <xf numFmtId="44" fontId="11" fillId="3" borderId="0" xfId="2" applyFont="1" applyFill="1"/>
    <xf numFmtId="44" fontId="14" fillId="3" borderId="0" xfId="2" applyFont="1" applyFill="1" applyAlignment="1">
      <alignment vertical="center"/>
    </xf>
    <xf numFmtId="44" fontId="21" fillId="11" borderId="0" xfId="0" applyNumberFormat="1" applyFont="1" applyFill="1" applyAlignment="1">
      <alignment vertical="center"/>
    </xf>
    <xf numFmtId="171" fontId="11" fillId="3" borderId="0" xfId="0" applyNumberFormat="1" applyFont="1" applyFill="1"/>
    <xf numFmtId="0" fontId="25" fillId="3" borderId="16" xfId="0" applyFont="1" applyFill="1" applyBorder="1" applyAlignment="1">
      <alignment vertical="center"/>
    </xf>
    <xf numFmtId="0" fontId="24" fillId="3" borderId="21" xfId="0" applyFont="1" applyFill="1" applyBorder="1" applyAlignment="1">
      <alignment vertical="center"/>
    </xf>
    <xf numFmtId="169" fontId="11" fillId="3" borderId="16" xfId="0" applyNumberFormat="1" applyFont="1" applyFill="1" applyBorder="1" applyAlignment="1">
      <alignment vertical="center"/>
    </xf>
    <xf numFmtId="43" fontId="10" fillId="3" borderId="15" xfId="1" applyFont="1" applyFill="1" applyBorder="1" applyAlignment="1">
      <alignment vertical="center"/>
    </xf>
    <xf numFmtId="10" fontId="10" fillId="3" borderId="14" xfId="0" applyNumberFormat="1" applyFont="1" applyFill="1" applyBorder="1" applyAlignment="1">
      <alignment vertical="center"/>
    </xf>
    <xf numFmtId="1" fontId="14" fillId="3" borderId="0" xfId="0" applyNumberFormat="1" applyFont="1" applyFill="1" applyAlignment="1">
      <alignment horizontal="left" vertical="center"/>
    </xf>
    <xf numFmtId="43" fontId="10" fillId="3" borderId="8" xfId="1" applyFont="1" applyFill="1" applyBorder="1"/>
    <xf numFmtId="43" fontId="10" fillId="3" borderId="9" xfId="1" applyFont="1" applyFill="1" applyBorder="1"/>
    <xf numFmtId="169" fontId="11" fillId="3" borderId="1" xfId="2" applyNumberFormat="1" applyFont="1" applyFill="1" applyBorder="1" applyAlignment="1">
      <alignment vertical="center"/>
    </xf>
    <xf numFmtId="169" fontId="11" fillId="3" borderId="0" xfId="2" applyNumberFormat="1" applyFont="1" applyFill="1" applyBorder="1" applyAlignment="1">
      <alignment vertical="center"/>
    </xf>
    <xf numFmtId="169" fontId="10" fillId="3" borderId="10" xfId="2" applyNumberFormat="1" applyFont="1" applyFill="1" applyBorder="1" applyAlignment="1">
      <alignment vertical="center"/>
    </xf>
    <xf numFmtId="169" fontId="10" fillId="3" borderId="8" xfId="2" applyNumberFormat="1" applyFont="1" applyFill="1" applyBorder="1" applyAlignment="1">
      <alignment vertical="center"/>
    </xf>
    <xf numFmtId="169" fontId="10" fillId="3" borderId="9" xfId="2" applyNumberFormat="1" applyFont="1" applyFill="1" applyBorder="1" applyAlignment="1">
      <alignment vertical="center"/>
    </xf>
    <xf numFmtId="167" fontId="11" fillId="14" borderId="14" xfId="1" applyNumberFormat="1" applyFont="1" applyFill="1" applyBorder="1" applyAlignment="1">
      <alignment horizontal="center" vertical="center"/>
    </xf>
    <xf numFmtId="44" fontId="11" fillId="14" borderId="1" xfId="2" applyNumberFormat="1" applyFont="1" applyFill="1" applyBorder="1" applyAlignment="1">
      <alignment vertical="center"/>
    </xf>
    <xf numFmtId="44" fontId="11" fillId="14" borderId="18" xfId="0" applyNumberFormat="1" applyFont="1" applyFill="1" applyBorder="1" applyAlignment="1">
      <alignment vertical="center"/>
    </xf>
    <xf numFmtId="44" fontId="11" fillId="14" borderId="20" xfId="0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44" fontId="11" fillId="0" borderId="0" xfId="2" applyFont="1" applyAlignment="1">
      <alignment vertical="center"/>
    </xf>
    <xf numFmtId="44" fontId="13" fillId="3" borderId="8" xfId="2" applyFont="1" applyFill="1" applyBorder="1" applyAlignment="1">
      <alignment vertical="center"/>
    </xf>
    <xf numFmtId="0" fontId="1" fillId="2" borderId="0" xfId="0" applyFont="1" applyFill="1"/>
    <xf numFmtId="43" fontId="23" fillId="2" borderId="0" xfId="1" applyFont="1" applyFill="1" applyAlignment="1">
      <alignment vertical="center"/>
    </xf>
    <xf numFmtId="43" fontId="15" fillId="2" borderId="0" xfId="1" applyFont="1" applyFill="1" applyAlignment="1">
      <alignment vertical="center"/>
    </xf>
    <xf numFmtId="43" fontId="17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44" fontId="17" fillId="2" borderId="0" xfId="0" applyNumberFormat="1" applyFont="1" applyFill="1" applyBorder="1" applyAlignment="1">
      <alignment vertical="center"/>
    </xf>
    <xf numFmtId="44" fontId="11" fillId="3" borderId="19" xfId="0" applyNumberFormat="1" applyFont="1" applyFill="1" applyBorder="1" applyAlignment="1">
      <alignment vertical="center"/>
    </xf>
    <xf numFmtId="172" fontId="15" fillId="2" borderId="0" xfId="0" applyNumberFormat="1" applyFont="1" applyFill="1"/>
    <xf numFmtId="172" fontId="15" fillId="2" borderId="0" xfId="0" applyNumberFormat="1" applyFont="1" applyFill="1" applyAlignment="1">
      <alignment horizontal="center"/>
    </xf>
    <xf numFmtId="172" fontId="15" fillId="2" borderId="0" xfId="1" applyNumberFormat="1" applyFont="1" applyFill="1"/>
    <xf numFmtId="172" fontId="23" fillId="2" borderId="0" xfId="1" applyNumberFormat="1" applyFont="1" applyFill="1" applyAlignment="1">
      <alignment vertical="center"/>
    </xf>
    <xf numFmtId="172" fontId="15" fillId="2" borderId="0" xfId="1" applyNumberFormat="1" applyFont="1" applyFill="1" applyAlignment="1">
      <alignment vertical="center"/>
    </xf>
    <xf numFmtId="172" fontId="10" fillId="2" borderId="0" xfId="0" applyNumberFormat="1" applyFont="1" applyFill="1" applyBorder="1" applyAlignment="1">
      <alignment vertical="center"/>
    </xf>
    <xf numFmtId="172" fontId="11" fillId="2" borderId="0" xfId="0" applyNumberFormat="1" applyFont="1" applyFill="1"/>
    <xf numFmtId="172" fontId="17" fillId="2" borderId="0" xfId="0" applyNumberFormat="1" applyFont="1" applyFill="1" applyBorder="1" applyAlignment="1">
      <alignment vertical="center"/>
    </xf>
    <xf numFmtId="172" fontId="15" fillId="2" borderId="0" xfId="0" applyNumberFormat="1" applyFont="1" applyFill="1" applyAlignment="1">
      <alignment vertical="center"/>
    </xf>
    <xf numFmtId="172" fontId="26" fillId="2" borderId="0" xfId="1" applyNumberFormat="1" applyFont="1" applyFill="1"/>
    <xf numFmtId="164" fontId="14" fillId="15" borderId="18" xfId="1" applyNumberFormat="1" applyFont="1" applyFill="1" applyBorder="1" applyAlignment="1">
      <alignment vertical="center"/>
    </xf>
    <xf numFmtId="164" fontId="14" fillId="15" borderId="20" xfId="1" applyNumberFormat="1" applyFont="1" applyFill="1" applyBorder="1" applyAlignment="1">
      <alignment vertical="center"/>
    </xf>
    <xf numFmtId="164" fontId="14" fillId="15" borderId="19" xfId="1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/>
    </xf>
    <xf numFmtId="0" fontId="47" fillId="3" borderId="0" xfId="0" applyFont="1" applyFill="1" applyAlignment="1">
      <alignment vertical="center"/>
    </xf>
    <xf numFmtId="164" fontId="11" fillId="7" borderId="18" xfId="1" applyNumberFormat="1" applyFont="1" applyFill="1" applyBorder="1" applyAlignment="1">
      <alignment horizontal="right" vertical="center"/>
    </xf>
    <xf numFmtId="164" fontId="11" fillId="7" borderId="20" xfId="1" applyNumberFormat="1" applyFont="1" applyFill="1" applyBorder="1" applyAlignment="1">
      <alignment horizontal="right" vertical="center"/>
    </xf>
    <xf numFmtId="164" fontId="11" fillId="7" borderId="19" xfId="1" applyNumberFormat="1" applyFont="1" applyFill="1" applyBorder="1" applyAlignment="1">
      <alignment horizontal="right" vertical="center"/>
    </xf>
    <xf numFmtId="164" fontId="11" fillId="7" borderId="1" xfId="1" applyNumberFormat="1" applyFont="1" applyFill="1" applyBorder="1" applyAlignment="1">
      <alignment horizontal="right" vertical="center"/>
    </xf>
    <xf numFmtId="164" fontId="11" fillId="7" borderId="0" xfId="1" applyNumberFormat="1" applyFont="1" applyFill="1" applyBorder="1" applyAlignment="1">
      <alignment horizontal="right" vertical="center"/>
    </xf>
    <xf numFmtId="164" fontId="11" fillId="7" borderId="7" xfId="1" applyNumberFormat="1" applyFont="1" applyFill="1" applyBorder="1" applyAlignment="1">
      <alignment horizontal="right" vertical="center"/>
    </xf>
    <xf numFmtId="164" fontId="11" fillId="7" borderId="3" xfId="1" applyNumberFormat="1" applyFont="1" applyFill="1" applyBorder="1" applyAlignment="1">
      <alignment horizontal="right" vertical="center"/>
    </xf>
    <xf numFmtId="164" fontId="11" fillId="7" borderId="5" xfId="1" applyNumberFormat="1" applyFont="1" applyFill="1" applyBorder="1" applyAlignment="1">
      <alignment horizontal="right" vertical="center"/>
    </xf>
    <xf numFmtId="164" fontId="11" fillId="7" borderId="6" xfId="1" applyNumberFormat="1" applyFont="1" applyFill="1" applyBorder="1" applyAlignment="1">
      <alignment horizontal="right" vertical="center"/>
    </xf>
    <xf numFmtId="171" fontId="11" fillId="14" borderId="1" xfId="2" applyNumberFormat="1" applyFont="1" applyFill="1" applyBorder="1" applyAlignment="1">
      <alignment horizontal="right" vertical="center"/>
    </xf>
    <xf numFmtId="171" fontId="11" fillId="7" borderId="0" xfId="2" applyNumberFormat="1" applyFont="1" applyFill="1" applyBorder="1" applyAlignment="1">
      <alignment horizontal="right" vertical="center"/>
    </xf>
    <xf numFmtId="171" fontId="11" fillId="14" borderId="3" xfId="2" applyNumberFormat="1" applyFont="1" applyFill="1" applyBorder="1" applyAlignment="1">
      <alignment horizontal="right" vertical="center"/>
    </xf>
    <xf numFmtId="171" fontId="11" fillId="14" borderId="16" xfId="2" applyNumberFormat="1" applyFont="1" applyFill="1" applyBorder="1" applyAlignment="1">
      <alignment horizontal="right" vertical="center"/>
    </xf>
    <xf numFmtId="171" fontId="11" fillId="7" borderId="21" xfId="2" applyNumberFormat="1" applyFont="1" applyFill="1" applyBorder="1" applyAlignment="1">
      <alignment horizontal="right" vertical="center"/>
    </xf>
    <xf numFmtId="171" fontId="11" fillId="7" borderId="5" xfId="2" applyNumberFormat="1" applyFont="1" applyFill="1" applyBorder="1" applyAlignment="1">
      <alignment horizontal="right" vertical="center"/>
    </xf>
    <xf numFmtId="171" fontId="11" fillId="7" borderId="7" xfId="2" applyNumberFormat="1" applyFont="1" applyFill="1" applyBorder="1" applyAlignment="1">
      <alignment horizontal="right" vertical="center"/>
    </xf>
    <xf numFmtId="171" fontId="11" fillId="7" borderId="1" xfId="2" applyNumberFormat="1" applyFont="1" applyFill="1" applyBorder="1" applyAlignment="1">
      <alignment horizontal="right" vertical="center"/>
    </xf>
    <xf numFmtId="171" fontId="11" fillId="7" borderId="3" xfId="2" applyNumberFormat="1" applyFont="1" applyFill="1" applyBorder="1" applyAlignment="1">
      <alignment horizontal="right" vertical="center"/>
    </xf>
    <xf numFmtId="171" fontId="11" fillId="7" borderId="6" xfId="2" applyNumberFormat="1" applyFont="1" applyFill="1" applyBorder="1" applyAlignment="1">
      <alignment horizontal="right" vertical="center"/>
    </xf>
    <xf numFmtId="171" fontId="11" fillId="7" borderId="16" xfId="2" applyNumberFormat="1" applyFont="1" applyFill="1" applyBorder="1" applyAlignment="1">
      <alignment horizontal="right" vertical="center"/>
    </xf>
    <xf numFmtId="171" fontId="11" fillId="7" borderId="17" xfId="2" applyNumberFormat="1" applyFont="1" applyFill="1" applyBorder="1" applyAlignment="1">
      <alignment horizontal="right" vertical="center"/>
    </xf>
    <xf numFmtId="164" fontId="11" fillId="7" borderId="0" xfId="0" applyNumberFormat="1" applyFont="1" applyFill="1" applyAlignment="1">
      <alignment horizontal="right" vertical="center"/>
    </xf>
    <xf numFmtId="0" fontId="15" fillId="6" borderId="16" xfId="0" applyFont="1" applyFill="1" applyBorder="1" applyAlignment="1">
      <alignment horizontal="left" vertical="center"/>
    </xf>
    <xf numFmtId="0" fontId="15" fillId="6" borderId="17" xfId="0" applyFont="1" applyFill="1" applyBorder="1" applyAlignment="1">
      <alignment horizontal="left" vertical="center"/>
    </xf>
    <xf numFmtId="0" fontId="38" fillId="11" borderId="0" xfId="0" applyFont="1" applyFill="1" applyBorder="1" applyAlignment="1">
      <alignment horizontal="left" vertical="center" wrapText="1"/>
    </xf>
    <xf numFmtId="49" fontId="38" fillId="11" borderId="0" xfId="0" applyNumberFormat="1" applyFont="1" applyFill="1" applyBorder="1" applyAlignment="1">
      <alignment horizontal="left" vertical="center"/>
    </xf>
    <xf numFmtId="49" fontId="17" fillId="3" borderId="0" xfId="0" applyNumberFormat="1" applyFont="1" applyFill="1" applyBorder="1" applyAlignment="1">
      <alignment horizontal="left" vertical="center" wrapText="1"/>
    </xf>
    <xf numFmtId="49" fontId="17" fillId="3" borderId="5" xfId="0" applyNumberFormat="1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21" fillId="11" borderId="0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</cellXfs>
  <cellStyles count="6">
    <cellStyle name="Comma" xfId="1" builtinId="3"/>
    <cellStyle name="Comma 2 2" xfId="4"/>
    <cellStyle name="Currency" xfId="2" builtinId="4"/>
    <cellStyle name="Hyperlink" xfId="5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00A3E0"/>
      <color rgb="FF003C71"/>
      <color rgb="FF00FFFF"/>
      <color rgb="FFE35205"/>
      <color rgb="FF9CDB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66675</xdr:colOff>
      <xdr:row>52</xdr:row>
      <xdr:rowOff>0</xdr:rowOff>
    </xdr:to>
    <xdr:pic>
      <xdr:nvPicPr>
        <xdr:cNvPr id="2" name="Picture 1" descr="C:\Users\RamanK\AppData\Local\Microsoft\Windows\INetCache\Content.Word\AGN048_Access Arrangement Plan_FA02_Covers_Attachment Cover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78" t="3480" r="5027" b="3723"/>
        <a:stretch/>
      </xdr:blipFill>
      <xdr:spPr bwMode="auto">
        <a:xfrm>
          <a:off x="0" y="0"/>
          <a:ext cx="6772275" cy="9906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324970</xdr:colOff>
      <xdr:row>15</xdr:row>
      <xdr:rowOff>22411</xdr:rowOff>
    </xdr:from>
    <xdr:to>
      <xdr:col>10</xdr:col>
      <xdr:colOff>112059</xdr:colOff>
      <xdr:row>27</xdr:row>
      <xdr:rowOff>100853</xdr:rowOff>
    </xdr:to>
    <xdr:sp macro="" textlink="">
      <xdr:nvSpPr>
        <xdr:cNvPr id="3" name="TextBox 2"/>
        <xdr:cNvSpPr txBox="1"/>
      </xdr:nvSpPr>
      <xdr:spPr>
        <a:xfrm>
          <a:off x="934570" y="2879911"/>
          <a:ext cx="5273489" cy="2364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7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Revised</a:t>
          </a:r>
          <a:r>
            <a:rPr lang="en-US" sz="2700" b="1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US" sz="27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Final Plan Attachment 8.8A </a:t>
          </a:r>
          <a:endParaRPr lang="en-AU" sz="27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200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Capital Expenditure Model</a:t>
          </a:r>
          <a:endParaRPr lang="en-AU" sz="20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20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August</a:t>
          </a:r>
          <a:r>
            <a:rPr lang="en-US" sz="12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2017</a:t>
          </a:r>
          <a:endParaRPr lang="en-AU" sz="12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n-AU" sz="12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AU" sz="16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(AER Final Decision Capex Model</a:t>
          </a:r>
          <a:r>
            <a:rPr lang="en-AU" sz="16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- Public</a:t>
          </a:r>
          <a:r>
            <a:rPr lang="en-AU" sz="16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83343</xdr:rowOff>
    </xdr:from>
    <xdr:to>
      <xdr:col>2</xdr:col>
      <xdr:colOff>357187</xdr:colOff>
      <xdr:row>1</xdr:row>
      <xdr:rowOff>785811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61937"/>
          <a:ext cx="1869281" cy="70246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C%20Albury%20AA%20General\Expenditure\02.%20Expenditure%20Library\C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VIC%20Albury%20AA%20General\Modelling\2017.07.26%20CPI%20Update\AGN%20Victoria%20Demand%20Forecast%20Model_Draft_Decision_HIA_Upd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tion key"/>
      <sheetName val="$2016"/>
    </sheetNames>
    <sheetDataSet>
      <sheetData sheetId="0" refreshError="1">
        <row r="7">
          <cell r="Y7">
            <v>1.0609037328094302</v>
          </cell>
        </row>
        <row r="11">
          <cell r="N11">
            <v>80.900000000000006</v>
          </cell>
        </row>
        <row r="12">
          <cell r="N12">
            <v>83.4</v>
          </cell>
        </row>
        <row r="13">
          <cell r="N13">
            <v>86.7</v>
          </cell>
        </row>
        <row r="14">
          <cell r="N14">
            <v>88.3</v>
          </cell>
        </row>
        <row r="15">
          <cell r="N15">
            <v>92.7</v>
          </cell>
        </row>
        <row r="16">
          <cell r="N16">
            <v>93.8</v>
          </cell>
        </row>
        <row r="17">
          <cell r="N17">
            <v>96.5</v>
          </cell>
        </row>
        <row r="18">
          <cell r="N18">
            <v>99.8</v>
          </cell>
        </row>
        <row r="19">
          <cell r="N19">
            <v>101.8</v>
          </cell>
        </row>
        <row r="20">
          <cell r="N20">
            <v>104</v>
          </cell>
        </row>
        <row r="21">
          <cell r="N21">
            <v>106.4</v>
          </cell>
        </row>
        <row r="22">
          <cell r="N22">
            <v>108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"/>
      <sheetName val="Contents"/>
      <sheetName val="Instructions"/>
      <sheetName val="Disclaimer"/>
      <sheetName val="Historical_Data"/>
      <sheetName val="Assumptions"/>
      <sheetName val="Dashboard"/>
      <sheetName val="Summary"/>
      <sheetName val="Tariff_Residential_Volume"/>
      <sheetName val="Tariff_Commercial_Volume"/>
      <sheetName val="Tariff D"/>
      <sheetName val="Tariff D Trend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0">
          <cell r="N40">
            <v>570138.53424657532</v>
          </cell>
          <cell r="O40">
            <v>582017.39178082196</v>
          </cell>
          <cell r="P40">
            <v>594516.32876712328</v>
          </cell>
        </row>
        <row r="49">
          <cell r="N49">
            <v>22779.57808219178</v>
          </cell>
          <cell r="O49">
            <v>23012.046575342465</v>
          </cell>
          <cell r="P49">
            <v>23443.476712328767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3"/>
  <sheetViews>
    <sheetView tabSelected="1" zoomScale="85" zoomScaleNormal="85" workbookViewId="0">
      <selection activeCell="L1" sqref="L1"/>
    </sheetView>
  </sheetViews>
  <sheetFormatPr defaultColWidth="0" defaultRowHeight="15" customHeight="1" zeroHeight="1" x14ac:dyDescent="0.25"/>
  <cols>
    <col min="1" max="11" width="9.140625" style="1" customWidth="1"/>
    <col min="12" max="16384" width="9.140625" style="1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hidden="1" x14ac:dyDescent="0.25"/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0"/>
  <sheetViews>
    <sheetView topLeftCell="F1" zoomScale="80" zoomScaleNormal="80" workbookViewId="0">
      <selection activeCell="U21" sqref="U21"/>
    </sheetView>
  </sheetViews>
  <sheetFormatPr defaultRowHeight="14.25" x14ac:dyDescent="0.2"/>
  <cols>
    <col min="1" max="1" width="2.28515625" style="44" customWidth="1"/>
    <col min="2" max="2" width="4.42578125" style="44" customWidth="1"/>
    <col min="3" max="3" width="45.7109375" style="44" customWidth="1"/>
    <col min="4" max="4" width="11" style="44" customWidth="1"/>
    <col min="5" max="5" width="9.7109375" style="44" customWidth="1"/>
    <col min="6" max="10" width="10.42578125" style="44" customWidth="1"/>
    <col min="11" max="11" width="13" style="44" customWidth="1"/>
    <col min="12" max="12" width="47" style="44" bestFit="1" customWidth="1"/>
    <col min="13" max="13" width="3" style="44" customWidth="1"/>
    <col min="14" max="14" width="3.42578125" style="44" customWidth="1"/>
    <col min="15" max="15" width="44" style="44" customWidth="1"/>
    <col min="16" max="17" width="9.28515625" style="44" bestFit="1" customWidth="1"/>
    <col min="18" max="22" width="9.85546875" style="44" bestFit="1" customWidth="1"/>
    <col min="23" max="23" width="12.140625" style="44" customWidth="1"/>
    <col min="24" max="24" width="29.42578125" style="44" bestFit="1" customWidth="1"/>
    <col min="25" max="25" width="2.5703125" style="44" customWidth="1"/>
    <col min="26" max="26" width="4.140625" style="44" customWidth="1"/>
    <col min="27" max="27" width="41.85546875" style="44" bestFit="1" customWidth="1"/>
    <col min="28" max="29" width="9.140625" style="44"/>
    <col min="30" max="30" width="12.7109375" style="44" bestFit="1" customWidth="1"/>
    <col min="31" max="34" width="9.85546875" style="44" bestFit="1" customWidth="1"/>
    <col min="35" max="35" width="10.7109375" style="44" bestFit="1" customWidth="1"/>
    <col min="36" max="36" width="4.28515625" style="44" customWidth="1"/>
    <col min="37" max="37" width="4.5703125" style="44" customWidth="1"/>
    <col min="38" max="38" width="41.85546875" style="44" bestFit="1" customWidth="1"/>
    <col min="39" max="45" width="9.140625" style="44"/>
    <col min="46" max="46" width="11" style="44" customWidth="1"/>
    <col min="47" max="47" width="3.7109375" style="44" customWidth="1"/>
    <col min="48" max="48" width="4" style="44" customWidth="1"/>
    <col min="49" max="49" width="41.85546875" style="44" bestFit="1" customWidth="1"/>
    <col min="50" max="56" width="9.140625" style="44"/>
    <col min="57" max="57" width="13.42578125" style="44" customWidth="1"/>
    <col min="58" max="58" width="3.140625" style="44" customWidth="1"/>
    <col min="59" max="16384" width="9.140625" style="44"/>
  </cols>
  <sheetData>
    <row r="1" spans="1:5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 ht="27.95" customHeight="1" x14ac:dyDescent="0.25">
      <c r="A2" s="63"/>
      <c r="B2" s="340" t="s">
        <v>367</v>
      </c>
      <c r="C2" s="340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2"/>
    </row>
    <row r="3" spans="1:58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32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32"/>
    </row>
    <row r="4" spans="1:58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32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32"/>
    </row>
    <row r="5" spans="1:58" s="67" customFormat="1" ht="24" customHeight="1" x14ac:dyDescent="0.2">
      <c r="A5" s="66"/>
      <c r="B5" s="315" t="s">
        <v>232</v>
      </c>
      <c r="C5" s="315"/>
      <c r="D5" s="316"/>
      <c r="E5" s="316"/>
      <c r="F5" s="316"/>
      <c r="G5" s="316"/>
      <c r="H5" s="316"/>
      <c r="I5" s="316"/>
      <c r="J5" s="316"/>
      <c r="K5" s="316"/>
      <c r="L5" s="316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2"/>
    </row>
    <row r="6" spans="1:58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32"/>
      <c r="N6" s="66"/>
      <c r="O6" s="12" t="s">
        <v>377</v>
      </c>
      <c r="P6" s="32"/>
      <c r="Q6" s="32"/>
      <c r="R6" s="32"/>
      <c r="S6" s="594">
        <v>1.0194000000000001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32"/>
    </row>
    <row r="7" spans="1:58" s="67" customFormat="1" ht="24.75" customHeight="1" x14ac:dyDescent="0.2">
      <c r="A7" s="66"/>
      <c r="B7" s="354" t="s">
        <v>185</v>
      </c>
      <c r="C7" s="354"/>
      <c r="D7" s="355"/>
      <c r="E7" s="355"/>
      <c r="F7" s="355"/>
      <c r="G7" s="355"/>
      <c r="H7" s="355"/>
      <c r="I7" s="355"/>
      <c r="J7" s="355"/>
      <c r="K7" s="355"/>
      <c r="L7" s="355"/>
      <c r="M7" s="32"/>
      <c r="N7" s="354" t="s">
        <v>411</v>
      </c>
      <c r="O7" s="354"/>
      <c r="P7" s="355"/>
      <c r="Q7" s="355"/>
      <c r="R7" s="355"/>
      <c r="S7" s="355"/>
      <c r="T7" s="355"/>
      <c r="U7" s="355"/>
      <c r="V7" s="355"/>
      <c r="W7" s="355"/>
      <c r="X7" s="355"/>
      <c r="Y7" s="66"/>
      <c r="Z7" s="354" t="s">
        <v>414</v>
      </c>
      <c r="AA7" s="354"/>
      <c r="AB7" s="355"/>
      <c r="AC7" s="355"/>
      <c r="AD7" s="355"/>
      <c r="AE7" s="355"/>
      <c r="AF7" s="355"/>
      <c r="AG7" s="355"/>
      <c r="AH7" s="355"/>
      <c r="AI7" s="355"/>
      <c r="AJ7" s="32"/>
      <c r="AK7" s="354" t="s">
        <v>426</v>
      </c>
      <c r="AL7" s="354"/>
      <c r="AM7" s="355"/>
      <c r="AN7" s="355"/>
      <c r="AO7" s="355"/>
      <c r="AP7" s="355"/>
      <c r="AQ7" s="355"/>
      <c r="AR7" s="355"/>
      <c r="AS7" s="355"/>
      <c r="AT7" s="355"/>
      <c r="AU7" s="66"/>
      <c r="AV7" s="354" t="s">
        <v>433</v>
      </c>
      <c r="AW7" s="354"/>
      <c r="AX7" s="355"/>
      <c r="AY7" s="355"/>
      <c r="AZ7" s="355"/>
      <c r="BA7" s="355"/>
      <c r="BB7" s="355"/>
      <c r="BC7" s="355"/>
      <c r="BD7" s="355"/>
      <c r="BE7" s="355"/>
      <c r="BF7" s="32"/>
    </row>
    <row r="8" spans="1:58" s="67" customFormat="1" ht="18" customHeight="1" x14ac:dyDescent="0.2">
      <c r="A8" s="66"/>
      <c r="B8" s="72"/>
      <c r="C8" s="73"/>
      <c r="D8" s="12"/>
      <c r="E8" s="12"/>
      <c r="F8" s="12"/>
      <c r="G8" s="12"/>
      <c r="H8" s="12"/>
      <c r="I8" s="12"/>
      <c r="J8" s="12"/>
      <c r="K8" s="12"/>
      <c r="L8" s="12"/>
      <c r="M8" s="32"/>
      <c r="N8" s="72"/>
      <c r="O8" s="73"/>
      <c r="P8" s="12"/>
      <c r="Q8" s="12"/>
      <c r="R8" s="12"/>
      <c r="S8" s="12"/>
      <c r="T8" s="12"/>
      <c r="U8" s="12"/>
      <c r="V8" s="12"/>
      <c r="W8" s="12"/>
      <c r="X8" s="12"/>
      <c r="Y8" s="66"/>
      <c r="Z8" s="72"/>
      <c r="AA8" s="73"/>
      <c r="AB8" s="12"/>
      <c r="AC8" s="12"/>
      <c r="AD8" s="12"/>
      <c r="AE8" s="12"/>
      <c r="AF8" s="12"/>
      <c r="AG8" s="12"/>
      <c r="AH8" s="12"/>
      <c r="AI8" s="12"/>
      <c r="AJ8" s="32"/>
      <c r="AK8" s="72"/>
      <c r="AL8" s="73"/>
      <c r="AM8" s="12"/>
      <c r="AN8" s="12"/>
      <c r="AO8" s="12"/>
      <c r="AP8" s="12"/>
      <c r="AQ8" s="12"/>
      <c r="AR8" s="12"/>
      <c r="AS8" s="12"/>
      <c r="AT8" s="12"/>
      <c r="AU8" s="66"/>
      <c r="AV8" s="72"/>
      <c r="AW8" s="73"/>
      <c r="AX8" s="12"/>
      <c r="AY8" s="12"/>
      <c r="AZ8" s="12"/>
      <c r="BA8" s="12"/>
      <c r="BB8" s="12"/>
      <c r="BC8" s="12"/>
      <c r="BD8" s="12"/>
      <c r="BE8" s="12"/>
      <c r="BF8" s="32"/>
    </row>
    <row r="9" spans="1:58" s="67" customFormat="1" ht="22.5" x14ac:dyDescent="0.2">
      <c r="A9" s="66"/>
      <c r="B9" s="10" t="s">
        <v>76</v>
      </c>
      <c r="C9" s="11"/>
      <c r="D9" s="3"/>
      <c r="E9" s="4"/>
      <c r="F9" s="7">
        <v>2018</v>
      </c>
      <c r="G9" s="8">
        <v>2019</v>
      </c>
      <c r="H9" s="8">
        <v>2020</v>
      </c>
      <c r="I9" s="8">
        <v>2021</v>
      </c>
      <c r="J9" s="9">
        <v>2022</v>
      </c>
      <c r="K9" s="3" t="s">
        <v>73</v>
      </c>
      <c r="L9" s="30" t="s">
        <v>100</v>
      </c>
      <c r="M9" s="32"/>
      <c r="N9" s="10" t="s">
        <v>174</v>
      </c>
      <c r="O9" s="11"/>
      <c r="P9" s="3"/>
      <c r="Q9" s="3"/>
      <c r="R9" s="30">
        <f t="shared" ref="R9:W9" si="0">F9</f>
        <v>2018</v>
      </c>
      <c r="S9" s="3">
        <f t="shared" si="0"/>
        <v>2019</v>
      </c>
      <c r="T9" s="3">
        <f t="shared" si="0"/>
        <v>2020</v>
      </c>
      <c r="U9" s="3">
        <f t="shared" si="0"/>
        <v>2021</v>
      </c>
      <c r="V9" s="31">
        <f t="shared" si="0"/>
        <v>2022</v>
      </c>
      <c r="W9" s="3" t="str">
        <f t="shared" si="0"/>
        <v>Total for 
2018-2022</v>
      </c>
      <c r="X9" s="30" t="s">
        <v>100</v>
      </c>
      <c r="Y9" s="32"/>
      <c r="Z9" s="184"/>
      <c r="AA9" s="356"/>
      <c r="AB9" s="301"/>
      <c r="AC9" s="8"/>
      <c r="AD9" s="5">
        <f t="shared" ref="AD9:AI9" si="1">R9</f>
        <v>2018</v>
      </c>
      <c r="AE9" s="4">
        <f t="shared" si="1"/>
        <v>2019</v>
      </c>
      <c r="AF9" s="4">
        <f t="shared" si="1"/>
        <v>2020</v>
      </c>
      <c r="AG9" s="4">
        <f t="shared" si="1"/>
        <v>2021</v>
      </c>
      <c r="AH9" s="6">
        <f t="shared" si="1"/>
        <v>2022</v>
      </c>
      <c r="AI9" s="3" t="str">
        <f t="shared" si="1"/>
        <v>Total for 
2018-2022</v>
      </c>
      <c r="AJ9" s="32"/>
      <c r="AK9" s="10"/>
      <c r="AL9" s="11"/>
      <c r="AM9" s="3"/>
      <c r="AN9" s="4"/>
      <c r="AO9" s="5">
        <f t="shared" ref="AO9:AT9" si="2">AD9</f>
        <v>2018</v>
      </c>
      <c r="AP9" s="4">
        <f t="shared" si="2"/>
        <v>2019</v>
      </c>
      <c r="AQ9" s="4">
        <f t="shared" si="2"/>
        <v>2020</v>
      </c>
      <c r="AR9" s="4">
        <f t="shared" si="2"/>
        <v>2021</v>
      </c>
      <c r="AS9" s="6">
        <f t="shared" si="2"/>
        <v>2022</v>
      </c>
      <c r="AT9" s="3" t="str">
        <f t="shared" si="2"/>
        <v>Total for 
2018-2022</v>
      </c>
      <c r="AU9" s="66"/>
      <c r="AV9" s="184"/>
      <c r="AW9" s="356"/>
      <c r="AX9" s="301"/>
      <c r="AY9" s="8"/>
      <c r="AZ9" s="5">
        <f t="shared" ref="AZ9:BE9" si="3">AO9</f>
        <v>2018</v>
      </c>
      <c r="BA9" s="4">
        <f t="shared" si="3"/>
        <v>2019</v>
      </c>
      <c r="BB9" s="4">
        <f t="shared" si="3"/>
        <v>2020</v>
      </c>
      <c r="BC9" s="4">
        <f t="shared" si="3"/>
        <v>2021</v>
      </c>
      <c r="BD9" s="6">
        <f t="shared" si="3"/>
        <v>2022</v>
      </c>
      <c r="BE9" s="3" t="str">
        <f t="shared" si="3"/>
        <v>Total for 
2018-2022</v>
      </c>
      <c r="BF9" s="32"/>
    </row>
    <row r="10" spans="1:58" s="67" customFormat="1" ht="18" customHeight="1" x14ac:dyDescent="0.2">
      <c r="A10" s="66"/>
      <c r="B10" s="29" t="str">
        <f>'Capex Model Category Index'!B8</f>
        <v>01</v>
      </c>
      <c r="C10" s="29" t="str">
        <f>'Capex Model Category Index'!C8</f>
        <v>Meter Replacement - Meters &lt; 25m3</v>
      </c>
      <c r="D10" s="15"/>
      <c r="E10" s="15"/>
      <c r="F10" s="624" t="s">
        <v>445</v>
      </c>
      <c r="G10" s="625" t="s">
        <v>445</v>
      </c>
      <c r="H10" s="625" t="s">
        <v>445</v>
      </c>
      <c r="I10" s="625" t="s">
        <v>445</v>
      </c>
      <c r="J10" s="626" t="s">
        <v>445</v>
      </c>
      <c r="K10" s="14">
        <v>144956</v>
      </c>
      <c r="L10" s="409" t="s">
        <v>374</v>
      </c>
      <c r="M10" s="32"/>
      <c r="N10" s="29" t="str">
        <f>B10</f>
        <v>01</v>
      </c>
      <c r="O10" s="29" t="str">
        <f>C10</f>
        <v>Meter Replacement - Meters &lt; 25m3</v>
      </c>
      <c r="P10" s="41"/>
      <c r="Q10" s="41"/>
      <c r="R10" s="633" t="s">
        <v>445</v>
      </c>
      <c r="S10" s="634" t="s">
        <v>445</v>
      </c>
      <c r="T10" s="634" t="s">
        <v>445</v>
      </c>
      <c r="U10" s="634" t="s">
        <v>445</v>
      </c>
      <c r="V10" s="639" t="s">
        <v>445</v>
      </c>
      <c r="W10" s="62"/>
      <c r="X10" s="409" t="s">
        <v>373</v>
      </c>
      <c r="Y10" s="32"/>
      <c r="Z10" s="358" t="str">
        <f>B10</f>
        <v>01</v>
      </c>
      <c r="AA10" s="358" t="str">
        <f>C10</f>
        <v>Meter Replacement - Meters &lt; 25m3</v>
      </c>
      <c r="AB10" s="213"/>
      <c r="AC10" s="214"/>
      <c r="AD10" s="208">
        <v>4.7735679255232775</v>
      </c>
      <c r="AE10" s="208">
        <v>4.7735679255232775</v>
      </c>
      <c r="AF10" s="208">
        <v>4.7735679255232775</v>
      </c>
      <c r="AG10" s="208">
        <v>2.4445776277150855</v>
      </c>
      <c r="AH10" s="56">
        <v>2.4445776277150855</v>
      </c>
      <c r="AI10" s="212">
        <f>SUM(AD10:AH10)</f>
        <v>19.209859032000001</v>
      </c>
      <c r="AJ10" s="32"/>
      <c r="AK10" s="29" t="str">
        <f>N10</f>
        <v>01</v>
      </c>
      <c r="AL10" s="29" t="str">
        <f>O10</f>
        <v>Meter Replacement - Meters &lt; 25m3</v>
      </c>
      <c r="AM10" s="212"/>
      <c r="AN10" s="212"/>
      <c r="AO10" s="207">
        <f>AD10*(1-'Real Cost Escalation'!E$25)</f>
        <v>4.7735679255232775</v>
      </c>
      <c r="AP10" s="208">
        <f>AE10*(1-'Real Cost Escalation'!F$25)</f>
        <v>4.7564546845102766</v>
      </c>
      <c r="AQ10" s="208">
        <f>AF10*(1-'Real Cost Escalation'!G$25)</f>
        <v>4.7563933335412454</v>
      </c>
      <c r="AR10" s="208">
        <f>AG10*(1+'Real Cost Escalation'!H$18)</f>
        <v>2.5141977978185879</v>
      </c>
      <c r="AS10" s="56">
        <f>AH10*(1+'Real Cost Escalation'!I$18)</f>
        <v>2.5386175866466223</v>
      </c>
      <c r="AT10" s="212">
        <f>SUM(AO10:AS10)</f>
        <v>19.339231328040011</v>
      </c>
      <c r="AU10" s="66"/>
      <c r="AV10" s="358" t="str">
        <f>Z10</f>
        <v>01</v>
      </c>
      <c r="AW10" s="358" t="str">
        <f>AA10</f>
        <v>Meter Replacement - Meters &lt; 25m3</v>
      </c>
      <c r="AX10" s="213"/>
      <c r="AY10" s="214"/>
      <c r="AZ10" s="208">
        <f t="shared" ref="AZ10:BD11" si="4">AO10-AD10</f>
        <v>0</v>
      </c>
      <c r="BA10" s="208">
        <f t="shared" si="4"/>
        <v>-1.7113241013000824E-2</v>
      </c>
      <c r="BB10" s="208">
        <f t="shared" si="4"/>
        <v>-1.7174591982032084E-2</v>
      </c>
      <c r="BC10" s="208">
        <f t="shared" si="4"/>
        <v>6.962017010350241E-2</v>
      </c>
      <c r="BD10" s="56">
        <f t="shared" si="4"/>
        <v>9.4039958931536827E-2</v>
      </c>
      <c r="BE10" s="212">
        <f>SUM(AZ10:BD10)</f>
        <v>0.12937229604000633</v>
      </c>
      <c r="BF10" s="32"/>
    </row>
    <row r="11" spans="1:58" s="67" customFormat="1" ht="18" customHeight="1" x14ac:dyDescent="0.2">
      <c r="A11" s="66"/>
      <c r="B11" s="29" t="str">
        <f>'Capex Model Category Index'!B9</f>
        <v>02</v>
      </c>
      <c r="C11" s="29" t="str">
        <f>'Capex Model Category Index'!C9</f>
        <v>Meter Replacement - Meters &gt; 25m3</v>
      </c>
      <c r="D11" s="15"/>
      <c r="E11" s="15"/>
      <c r="F11" s="627" t="s">
        <v>445</v>
      </c>
      <c r="G11" s="628" t="s">
        <v>445</v>
      </c>
      <c r="H11" s="628" t="s">
        <v>445</v>
      </c>
      <c r="I11" s="628" t="s">
        <v>445</v>
      </c>
      <c r="J11" s="629" t="s">
        <v>445</v>
      </c>
      <c r="K11" s="17">
        <v>6805</v>
      </c>
      <c r="L11" s="409" t="s">
        <v>374</v>
      </c>
      <c r="M11" s="32"/>
      <c r="N11" s="359" t="str">
        <f>B11</f>
        <v>02</v>
      </c>
      <c r="O11" s="359" t="str">
        <f>C11</f>
        <v>Meter Replacement - Meters &gt; 25m3</v>
      </c>
      <c r="P11" s="507"/>
      <c r="Q11" s="507"/>
      <c r="R11" s="635" t="s">
        <v>445</v>
      </c>
      <c r="S11" s="638" t="s">
        <v>445</v>
      </c>
      <c r="T11" s="638" t="s">
        <v>445</v>
      </c>
      <c r="U11" s="638" t="s">
        <v>445</v>
      </c>
      <c r="V11" s="638" t="s">
        <v>445</v>
      </c>
      <c r="W11" s="507"/>
      <c r="X11" s="509" t="s">
        <v>373</v>
      </c>
      <c r="Y11" s="32"/>
      <c r="Z11" s="359" t="str">
        <f>B11</f>
        <v>02</v>
      </c>
      <c r="AA11" s="359" t="str">
        <f>C11</f>
        <v>Meter Replacement - Meters &gt; 25m3</v>
      </c>
      <c r="AB11" s="216"/>
      <c r="AC11" s="217"/>
      <c r="AD11" s="208">
        <v>2.3818639305669294</v>
      </c>
      <c r="AE11" s="208">
        <v>2.3818639305669294</v>
      </c>
      <c r="AF11" s="208">
        <v>2.3818639305669294</v>
      </c>
      <c r="AG11" s="208">
        <v>2.3818639305669294</v>
      </c>
      <c r="AH11" s="56">
        <v>2.3818639305669294</v>
      </c>
      <c r="AI11" s="212">
        <f>SUM(AD11:AH11)</f>
        <v>11.909319652834647</v>
      </c>
      <c r="AJ11" s="32"/>
      <c r="AK11" s="29" t="str">
        <f>N11</f>
        <v>02</v>
      </c>
      <c r="AL11" s="29" t="str">
        <f>O11</f>
        <v>Meter Replacement - Meters &gt; 25m3</v>
      </c>
      <c r="AM11" s="212"/>
      <c r="AN11" s="212"/>
      <c r="AO11" s="207">
        <f>AD11*(1+'Real Cost Escalation'!E$18)</f>
        <v>2.3978984498007243</v>
      </c>
      <c r="AP11" s="208">
        <f>AE11*(1+'Real Cost Escalation'!F$18)</f>
        <v>2.4116040241576591</v>
      </c>
      <c r="AQ11" s="208">
        <f>AF11*(1+'Real Cost Escalation'!G$18)</f>
        <v>2.4286367519090191</v>
      </c>
      <c r="AR11" s="208">
        <f>AG11*(1+'Real Cost Escalation'!H$18)</f>
        <v>2.4496980505103658</v>
      </c>
      <c r="AS11" s="56">
        <f>AH11*(1+'Real Cost Escalation'!I$18)</f>
        <v>2.4734913690542824</v>
      </c>
      <c r="AT11" s="212">
        <f>SUM(AO11:AS11)</f>
        <v>12.16132864543205</v>
      </c>
      <c r="AU11" s="66"/>
      <c r="AV11" s="359" t="str">
        <f>Z11</f>
        <v>02</v>
      </c>
      <c r="AW11" s="359" t="str">
        <f>AA11</f>
        <v>Meter Replacement - Meters &gt; 25m3</v>
      </c>
      <c r="AX11" s="216"/>
      <c r="AY11" s="217"/>
      <c r="AZ11" s="208">
        <f t="shared" si="4"/>
        <v>1.6034519233794953E-2</v>
      </c>
      <c r="BA11" s="208">
        <f t="shared" si="4"/>
        <v>2.974009359072971E-2</v>
      </c>
      <c r="BB11" s="208">
        <f t="shared" si="4"/>
        <v>4.677282134208971E-2</v>
      </c>
      <c r="BC11" s="208">
        <f t="shared" si="4"/>
        <v>6.7834119943436466E-2</v>
      </c>
      <c r="BD11" s="56">
        <f t="shared" si="4"/>
        <v>9.1627438487352997E-2</v>
      </c>
      <c r="BE11" s="212">
        <f>SUM(AZ11:BD11)</f>
        <v>0.25200899259740384</v>
      </c>
      <c r="BF11" s="32"/>
    </row>
    <row r="12" spans="1:58" s="67" customFormat="1" ht="18" customHeight="1" thickBot="1" x14ac:dyDescent="0.25">
      <c r="A12" s="66"/>
      <c r="B12" s="24"/>
      <c r="C12" s="24" t="s">
        <v>75</v>
      </c>
      <c r="D12" s="22"/>
      <c r="E12" s="22"/>
      <c r="F12" s="26">
        <v>37381.946903331343</v>
      </c>
      <c r="G12" s="27">
        <v>37381.946903331343</v>
      </c>
      <c r="H12" s="27">
        <v>37381.946903331343</v>
      </c>
      <c r="I12" s="27">
        <v>19807.579645002981</v>
      </c>
      <c r="J12" s="28">
        <v>19807.579645002981</v>
      </c>
      <c r="K12" s="27">
        <v>151761</v>
      </c>
      <c r="L12" s="26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57"/>
      <c r="AA12" s="357" t="s">
        <v>75</v>
      </c>
      <c r="AB12" s="325"/>
      <c r="AC12" s="325"/>
      <c r="AD12" s="209">
        <f>SUM(AD10:AD11)</f>
        <v>7.1554318560902068</v>
      </c>
      <c r="AE12" s="210">
        <f t="shared" ref="AE12:AI12" si="5">SUM(AE10:AE11)</f>
        <v>7.1554318560902068</v>
      </c>
      <c r="AF12" s="210">
        <f t="shared" si="5"/>
        <v>7.1554318560902068</v>
      </c>
      <c r="AG12" s="210">
        <f t="shared" si="5"/>
        <v>4.8264415582820153</v>
      </c>
      <c r="AH12" s="211">
        <f t="shared" si="5"/>
        <v>4.8264415582820153</v>
      </c>
      <c r="AI12" s="210">
        <f t="shared" si="5"/>
        <v>31.119178684834647</v>
      </c>
      <c r="AJ12" s="32"/>
      <c r="AK12" s="24"/>
      <c r="AL12" s="24" t="s">
        <v>75</v>
      </c>
      <c r="AM12" s="210"/>
      <c r="AN12" s="210"/>
      <c r="AO12" s="209">
        <f>SUM(AO10:AO11)</f>
        <v>7.1714663753240018</v>
      </c>
      <c r="AP12" s="210">
        <f t="shared" ref="AP12:AT12" si="6">SUM(AP10:AP11)</f>
        <v>7.1680587086679353</v>
      </c>
      <c r="AQ12" s="210">
        <f t="shared" si="6"/>
        <v>7.1850300854502649</v>
      </c>
      <c r="AR12" s="210">
        <f t="shared" si="6"/>
        <v>4.9638958483289537</v>
      </c>
      <c r="AS12" s="211">
        <f t="shared" si="6"/>
        <v>5.0121089557009046</v>
      </c>
      <c r="AT12" s="210">
        <f t="shared" si="6"/>
        <v>31.500559973472061</v>
      </c>
      <c r="AU12" s="66"/>
      <c r="AV12" s="357"/>
      <c r="AW12" s="357" t="s">
        <v>75</v>
      </c>
      <c r="AX12" s="325"/>
      <c r="AY12" s="325"/>
      <c r="AZ12" s="209">
        <f>SUM(AZ10:AZ11)</f>
        <v>1.6034519233794953E-2</v>
      </c>
      <c r="BA12" s="210">
        <f t="shared" ref="BA12:BE12" si="7">SUM(BA10:BA11)</f>
        <v>1.2626852577728886E-2</v>
      </c>
      <c r="BB12" s="210">
        <f t="shared" si="7"/>
        <v>2.9598229360057626E-2</v>
      </c>
      <c r="BC12" s="210">
        <f t="shared" si="7"/>
        <v>0.13745429004693888</v>
      </c>
      <c r="BD12" s="211">
        <f t="shared" si="7"/>
        <v>0.18566739741888982</v>
      </c>
      <c r="BE12" s="210">
        <f t="shared" si="7"/>
        <v>0.38138128863741017</v>
      </c>
      <c r="BF12" s="32"/>
    </row>
    <row r="13" spans="1:58" s="67" customFormat="1" ht="18" customHeight="1" x14ac:dyDescent="0.2">
      <c r="A13" s="66"/>
      <c r="B13" s="68"/>
      <c r="C13" s="68" t="s">
        <v>396</v>
      </c>
      <c r="D13" s="12"/>
      <c r="E13" s="12"/>
      <c r="F13" s="12"/>
      <c r="G13" s="12"/>
      <c r="H13" s="12"/>
      <c r="I13" s="12"/>
      <c r="J13" s="12"/>
      <c r="K13" s="12"/>
      <c r="L13" s="12"/>
      <c r="M13" s="32"/>
      <c r="N13" s="66"/>
      <c r="O13" s="66"/>
      <c r="P13" s="580"/>
      <c r="Q13" s="580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577"/>
      <c r="AC13" s="577"/>
      <c r="AD13" s="66"/>
      <c r="AE13" s="66"/>
      <c r="AF13" s="66"/>
      <c r="AG13" s="66"/>
      <c r="AH13" s="66"/>
      <c r="AI13" s="66"/>
      <c r="AJ13" s="32"/>
      <c r="AK13" s="66"/>
      <c r="AL13" s="66"/>
      <c r="AM13" s="577"/>
      <c r="AN13" s="577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32"/>
    </row>
    <row r="14" spans="1:58" s="71" customFormat="1" ht="24" customHeight="1" x14ac:dyDescent="0.2">
      <c r="A14" s="69"/>
      <c r="B14" s="354" t="s">
        <v>173</v>
      </c>
      <c r="C14" s="354"/>
      <c r="D14" s="355"/>
      <c r="E14" s="355"/>
      <c r="F14" s="355"/>
      <c r="G14" s="355"/>
      <c r="H14" s="355"/>
      <c r="I14" s="355"/>
      <c r="J14" s="355"/>
      <c r="K14" s="355"/>
      <c r="L14" s="355"/>
      <c r="M14" s="32"/>
      <c r="N14" s="354" t="s">
        <v>412</v>
      </c>
      <c r="O14" s="354"/>
      <c r="P14" s="355"/>
      <c r="Q14" s="355"/>
      <c r="R14" s="355"/>
      <c r="S14" s="355"/>
      <c r="T14" s="355"/>
      <c r="U14" s="355"/>
      <c r="V14" s="355"/>
      <c r="W14" s="355"/>
      <c r="X14" s="355"/>
      <c r="Y14" s="70"/>
      <c r="Z14" s="354" t="s">
        <v>415</v>
      </c>
      <c r="AA14" s="354"/>
      <c r="AB14" s="355"/>
      <c r="AC14" s="355"/>
      <c r="AD14" s="355"/>
      <c r="AE14" s="355"/>
      <c r="AF14" s="355"/>
      <c r="AG14" s="355"/>
      <c r="AH14" s="355"/>
      <c r="AI14" s="355"/>
      <c r="AJ14" s="32"/>
      <c r="AK14" s="354" t="s">
        <v>427</v>
      </c>
      <c r="AL14" s="354"/>
      <c r="AM14" s="355"/>
      <c r="AN14" s="355"/>
      <c r="AO14" s="355"/>
      <c r="AP14" s="355"/>
      <c r="AQ14" s="355"/>
      <c r="AR14" s="355"/>
      <c r="AS14" s="355"/>
      <c r="AT14" s="355"/>
      <c r="AU14" s="66"/>
      <c r="AV14" s="354" t="s">
        <v>434</v>
      </c>
      <c r="AW14" s="354"/>
      <c r="AX14" s="355"/>
      <c r="AY14" s="355"/>
      <c r="AZ14" s="355"/>
      <c r="BA14" s="355"/>
      <c r="BB14" s="355"/>
      <c r="BC14" s="355"/>
      <c r="BD14" s="355"/>
      <c r="BE14" s="355"/>
      <c r="BF14" s="32"/>
    </row>
    <row r="15" spans="1:58" s="67" customFormat="1" ht="18" customHeight="1" x14ac:dyDescent="0.2">
      <c r="A15" s="6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6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66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32"/>
    </row>
    <row r="16" spans="1:58" s="67" customFormat="1" ht="27.75" customHeight="1" x14ac:dyDescent="0.2">
      <c r="A16" s="66"/>
      <c r="B16" s="10" t="s">
        <v>169</v>
      </c>
      <c r="C16" s="11"/>
      <c r="D16" s="3"/>
      <c r="E16" s="4"/>
      <c r="F16" s="5">
        <v>2018</v>
      </c>
      <c r="G16" s="4">
        <v>2019</v>
      </c>
      <c r="H16" s="4">
        <v>2020</v>
      </c>
      <c r="I16" s="4">
        <v>2021</v>
      </c>
      <c r="J16" s="6">
        <v>2022</v>
      </c>
      <c r="K16" s="3" t="s">
        <v>73</v>
      </c>
      <c r="L16" s="30" t="s">
        <v>100</v>
      </c>
      <c r="M16" s="32"/>
      <c r="N16" s="10" t="s">
        <v>171</v>
      </c>
      <c r="O16" s="11"/>
      <c r="P16" s="3"/>
      <c r="Q16" s="3"/>
      <c r="R16" s="30">
        <v>2018</v>
      </c>
      <c r="S16" s="3">
        <v>2019</v>
      </c>
      <c r="T16" s="3">
        <v>2020</v>
      </c>
      <c r="U16" s="3">
        <v>2021</v>
      </c>
      <c r="V16" s="31">
        <v>2022</v>
      </c>
      <c r="W16" s="3" t="str">
        <f t="shared" ref="W16" si="8">K16</f>
        <v>Total for 
2018-2022</v>
      </c>
      <c r="X16" s="30" t="s">
        <v>100</v>
      </c>
      <c r="Y16" s="66"/>
      <c r="Z16" s="10"/>
      <c r="AA16" s="11"/>
      <c r="AB16" s="3"/>
      <c r="AC16" s="4"/>
      <c r="AD16" s="5">
        <f t="shared" ref="AD16" si="9">R16</f>
        <v>2018</v>
      </c>
      <c r="AE16" s="4">
        <f t="shared" ref="AE16" si="10">S16</f>
        <v>2019</v>
      </c>
      <c r="AF16" s="4">
        <f t="shared" ref="AF16" si="11">T16</f>
        <v>2020</v>
      </c>
      <c r="AG16" s="4">
        <f t="shared" ref="AG16" si="12">U16</f>
        <v>2021</v>
      </c>
      <c r="AH16" s="6">
        <f t="shared" ref="AH16" si="13">V16</f>
        <v>2022</v>
      </c>
      <c r="AI16" s="3" t="str">
        <f t="shared" ref="AI16" si="14">W16</f>
        <v>Total for 
2018-2022</v>
      </c>
      <c r="AJ16" s="32"/>
      <c r="AK16" s="10"/>
      <c r="AL16" s="11"/>
      <c r="AM16" s="301"/>
      <c r="AN16" s="4"/>
      <c r="AO16" s="5">
        <f t="shared" ref="AO16:AT16" si="15">AD16</f>
        <v>2018</v>
      </c>
      <c r="AP16" s="4">
        <f t="shared" si="15"/>
        <v>2019</v>
      </c>
      <c r="AQ16" s="4">
        <f t="shared" si="15"/>
        <v>2020</v>
      </c>
      <c r="AR16" s="4">
        <f t="shared" si="15"/>
        <v>2021</v>
      </c>
      <c r="AS16" s="6">
        <f t="shared" si="15"/>
        <v>2022</v>
      </c>
      <c r="AT16" s="3" t="str">
        <f t="shared" si="15"/>
        <v>Total for 
2018-2022</v>
      </c>
      <c r="AU16" s="66"/>
      <c r="AV16" s="10"/>
      <c r="AW16" s="11"/>
      <c r="AX16" s="3"/>
      <c r="AY16" s="4"/>
      <c r="AZ16" s="5">
        <f t="shared" ref="AZ16:BE16" si="16">AO16</f>
        <v>2018</v>
      </c>
      <c r="BA16" s="4">
        <f t="shared" si="16"/>
        <v>2019</v>
      </c>
      <c r="BB16" s="4">
        <f t="shared" si="16"/>
        <v>2020</v>
      </c>
      <c r="BC16" s="4">
        <f t="shared" si="16"/>
        <v>2021</v>
      </c>
      <c r="BD16" s="6">
        <f t="shared" si="16"/>
        <v>2022</v>
      </c>
      <c r="BE16" s="3" t="str">
        <f t="shared" si="16"/>
        <v>Total for 
2018-2022</v>
      </c>
      <c r="BF16" s="32"/>
    </row>
    <row r="17" spans="1:58" s="67" customFormat="1" ht="18" customHeight="1" x14ac:dyDescent="0.2">
      <c r="A17" s="66"/>
      <c r="B17" s="29" t="str">
        <f>'Capex Model Category Index'!B10</f>
        <v>03</v>
      </c>
      <c r="C17" s="29" t="str">
        <f>'Capex Model Category Index'!C10</f>
        <v>Mains Replacement - General Trunk Replacement</v>
      </c>
      <c r="D17" s="15"/>
      <c r="E17" s="15"/>
      <c r="F17" s="624" t="s">
        <v>445</v>
      </c>
      <c r="G17" s="625" t="s">
        <v>445</v>
      </c>
      <c r="H17" s="625" t="s">
        <v>445</v>
      </c>
      <c r="I17" s="625" t="s">
        <v>445</v>
      </c>
      <c r="J17" s="626" t="s">
        <v>445</v>
      </c>
      <c r="K17" s="15">
        <v>10200</v>
      </c>
      <c r="L17" s="409" t="s">
        <v>399</v>
      </c>
      <c r="M17" s="32"/>
      <c r="N17" s="29" t="str">
        <f>B17</f>
        <v>03</v>
      </c>
      <c r="O17" s="29" t="str">
        <f>C17</f>
        <v>Mains Replacement - General Trunk Replacement</v>
      </c>
      <c r="P17" s="41"/>
      <c r="Q17" s="41"/>
      <c r="R17" s="633" t="s">
        <v>445</v>
      </c>
      <c r="S17" s="634" t="s">
        <v>445</v>
      </c>
      <c r="T17" s="634" t="s">
        <v>445</v>
      </c>
      <c r="U17" s="634" t="s">
        <v>445</v>
      </c>
      <c r="V17" s="634" t="s">
        <v>445</v>
      </c>
      <c r="W17" s="41"/>
      <c r="X17" s="409" t="s">
        <v>373</v>
      </c>
      <c r="Y17" s="66"/>
      <c r="Z17" s="29" t="str">
        <f t="shared" ref="Z17:Z21" si="17">B17</f>
        <v>03</v>
      </c>
      <c r="AA17" s="29" t="str">
        <f t="shared" ref="AA17:AA21" si="18">C17</f>
        <v>Mains Replacement - General Trunk Replacement</v>
      </c>
      <c r="AB17" s="212"/>
      <c r="AC17" s="212"/>
      <c r="AD17" s="207">
        <v>2.1203520000000005</v>
      </c>
      <c r="AE17" s="208">
        <v>2.1203520000000005</v>
      </c>
      <c r="AF17" s="208">
        <v>2.1203520000000005</v>
      </c>
      <c r="AG17" s="208">
        <v>1.6310400000000003</v>
      </c>
      <c r="AH17" s="56">
        <v>0.32620800000000005</v>
      </c>
      <c r="AI17" s="212">
        <f>SUM(AD17:AH17)</f>
        <v>8.3183040000000013</v>
      </c>
      <c r="AJ17" s="32"/>
      <c r="AK17" s="29" t="str">
        <f t="shared" ref="AK17:AK23" si="19">N17</f>
        <v>03</v>
      </c>
      <c r="AL17" s="29" t="str">
        <f t="shared" ref="AL17:AL23" si="20">O17</f>
        <v>Mains Replacement - General Trunk Replacement</v>
      </c>
      <c r="AM17" s="62"/>
      <c r="AN17" s="208"/>
      <c r="AO17" s="207">
        <f>AD17*(1+'Real Cost Escalation'!E$18)</f>
        <v>2.1346260416402898</v>
      </c>
      <c r="AP17" s="208">
        <f>AE17*(1+'Real Cost Escalation'!F$18)</f>
        <v>2.1468268401938655</v>
      </c>
      <c r="AQ17" s="208">
        <f>AF17*(1+'Real Cost Escalation'!G$18)</f>
        <v>2.161989494067404</v>
      </c>
      <c r="AR17" s="208">
        <f>AG17*(1+'Real Cost Escalation'!H$18)</f>
        <v>1.6774910846201903</v>
      </c>
      <c r="AS17" s="56">
        <f>AH17*(1+'Real Cost Escalation'!I$18)</f>
        <v>0.33875682912096838</v>
      </c>
      <c r="AT17" s="212">
        <f>SUM(AO17:AS17)</f>
        <v>8.4596902896427189</v>
      </c>
      <c r="AU17" s="66"/>
      <c r="AV17" s="29" t="str">
        <f t="shared" ref="AV17:AV23" si="21">Z17</f>
        <v>03</v>
      </c>
      <c r="AW17" s="29" t="str">
        <f t="shared" ref="AW17:AW23" si="22">AA17</f>
        <v>Mains Replacement - General Trunk Replacement</v>
      </c>
      <c r="AX17" s="212"/>
      <c r="AY17" s="212"/>
      <c r="AZ17" s="207">
        <f t="shared" ref="AZ17:AZ23" si="23">AO17-AD17</f>
        <v>1.4274041640289337E-2</v>
      </c>
      <c r="BA17" s="208">
        <f t="shared" ref="BA17:BA23" si="24">AP17-AE17</f>
        <v>2.6474840193865035E-2</v>
      </c>
      <c r="BB17" s="208">
        <f t="shared" ref="BB17:BB23" si="25">AQ17-AF17</f>
        <v>4.163749406740358E-2</v>
      </c>
      <c r="BC17" s="208">
        <f t="shared" ref="BC17:BC23" si="26">AR17-AG17</f>
        <v>4.6451084620189986E-2</v>
      </c>
      <c r="BD17" s="56">
        <f t="shared" ref="BD17:BD23" si="27">AS17-AH17</f>
        <v>1.254882912096833E-2</v>
      </c>
      <c r="BE17" s="212">
        <f>SUM(AZ17:BD17)</f>
        <v>0.14138628964271627</v>
      </c>
      <c r="BF17" s="32"/>
    </row>
    <row r="18" spans="1:58" s="67" customFormat="1" ht="18" customHeight="1" x14ac:dyDescent="0.2">
      <c r="A18" s="66"/>
      <c r="B18" s="29" t="str">
        <f>'Capex Model Category Index'!B11</f>
        <v>04</v>
      </c>
      <c r="C18" s="29" t="str">
        <f>'Capex Model Category Index'!C11</f>
        <v>Mains Replacement - Decommissioned Trunk Replacement</v>
      </c>
      <c r="D18" s="15"/>
      <c r="E18" s="15"/>
      <c r="F18" s="627" t="s">
        <v>445</v>
      </c>
      <c r="G18" s="628" t="s">
        <v>445</v>
      </c>
      <c r="H18" s="628" t="s">
        <v>445</v>
      </c>
      <c r="I18" s="628" t="s">
        <v>445</v>
      </c>
      <c r="J18" s="628" t="s">
        <v>445</v>
      </c>
      <c r="K18" s="16">
        <v>32400</v>
      </c>
      <c r="L18" s="409" t="s">
        <v>399</v>
      </c>
      <c r="M18" s="32"/>
      <c r="N18" s="29" t="str">
        <f t="shared" ref="N18:N23" si="28">B18</f>
        <v>04</v>
      </c>
      <c r="O18" s="29" t="str">
        <f t="shared" ref="O18:O23" si="29">C18</f>
        <v>Mains Replacement - Decommissioned Trunk Replacement</v>
      </c>
      <c r="P18" s="41"/>
      <c r="Q18" s="41"/>
      <c r="R18" s="633" t="s">
        <v>445</v>
      </c>
      <c r="S18" s="634" t="s">
        <v>445</v>
      </c>
      <c r="T18" s="634" t="s">
        <v>445</v>
      </c>
      <c r="U18" s="634" t="s">
        <v>445</v>
      </c>
      <c r="V18" s="634" t="s">
        <v>445</v>
      </c>
      <c r="W18" s="41"/>
      <c r="X18" s="409" t="s">
        <v>373</v>
      </c>
      <c r="Y18" s="66"/>
      <c r="Z18" s="29" t="str">
        <f t="shared" si="17"/>
        <v>04</v>
      </c>
      <c r="AA18" s="29" t="str">
        <f t="shared" si="18"/>
        <v>Mains Replacement - Decommissioned Trunk Replacement</v>
      </c>
      <c r="AB18" s="212"/>
      <c r="AC18" s="212"/>
      <c r="AD18" s="207">
        <v>1.2715995600000001</v>
      </c>
      <c r="AE18" s="208">
        <v>1.2715995600000001</v>
      </c>
      <c r="AF18" s="208">
        <v>1.2715995600000001</v>
      </c>
      <c r="AG18" s="208">
        <v>1.2715995600000001</v>
      </c>
      <c r="AH18" s="56">
        <v>0</v>
      </c>
      <c r="AI18" s="212">
        <f t="shared" ref="AI18:AI23" si="30">SUM(AD18:AH18)</f>
        <v>5.0863982400000003</v>
      </c>
      <c r="AJ18" s="32"/>
      <c r="AK18" s="29" t="str">
        <f t="shared" si="19"/>
        <v>04</v>
      </c>
      <c r="AL18" s="29" t="str">
        <f t="shared" si="20"/>
        <v>Mains Replacement - Decommissioned Trunk Replacement</v>
      </c>
      <c r="AM18" s="212"/>
      <c r="AN18" s="212"/>
      <c r="AO18" s="207">
        <f>AD18*(1+'Real Cost Escalation'!E$18)</f>
        <v>1.2801598674721619</v>
      </c>
      <c r="AP18" s="208">
        <f>AE18*(1+'Real Cost Escalation'!F$18)</f>
        <v>1.2874768271431862</v>
      </c>
      <c r="AQ18" s="208">
        <f>AF18*(1+'Real Cost Escalation'!G$18)</f>
        <v>1.2965700456248459</v>
      </c>
      <c r="AR18" s="208">
        <f>AG18*(1+'Real Cost Escalation'!H$18)</f>
        <v>1.3078139868470158</v>
      </c>
      <c r="AS18" s="56">
        <f>AH18*(1+'Real Cost Escalation'!I$18)</f>
        <v>0</v>
      </c>
      <c r="AT18" s="212">
        <f t="shared" ref="AT18:AT23" si="31">SUM(AO18:AS18)</f>
        <v>5.1720207270872098</v>
      </c>
      <c r="AU18" s="66"/>
      <c r="AV18" s="29" t="str">
        <f t="shared" si="21"/>
        <v>04</v>
      </c>
      <c r="AW18" s="29" t="str">
        <f t="shared" si="22"/>
        <v>Mains Replacement - Decommissioned Trunk Replacement</v>
      </c>
      <c r="AX18" s="212"/>
      <c r="AY18" s="212"/>
      <c r="AZ18" s="207">
        <f t="shared" si="23"/>
        <v>8.5603074721618544E-3</v>
      </c>
      <c r="BA18" s="208">
        <f t="shared" si="24"/>
        <v>1.5877267143186158E-2</v>
      </c>
      <c r="BB18" s="208">
        <f t="shared" si="25"/>
        <v>2.4970485624845828E-2</v>
      </c>
      <c r="BC18" s="208">
        <f t="shared" si="26"/>
        <v>3.6214426847015702E-2</v>
      </c>
      <c r="BD18" s="56">
        <f t="shared" si="27"/>
        <v>0</v>
      </c>
      <c r="BE18" s="212">
        <f t="shared" ref="BE18:BE23" si="32">SUM(AZ18:BD18)</f>
        <v>8.5622487087209542E-2</v>
      </c>
      <c r="BF18" s="32"/>
    </row>
    <row r="19" spans="1:58" s="67" customFormat="1" ht="18" customHeight="1" x14ac:dyDescent="0.2">
      <c r="A19" s="66"/>
      <c r="B19" s="29" t="str">
        <f>'Capex Model Category Index'!B12</f>
        <v>05</v>
      </c>
      <c r="C19" s="29" t="str">
        <f>'Capex Model Category Index'!C12</f>
        <v>Mains Replacement - Piecemeal Replacement</v>
      </c>
      <c r="D19" s="15"/>
      <c r="E19" s="15"/>
      <c r="F19" s="627" t="s">
        <v>445</v>
      </c>
      <c r="G19" s="628" t="s">
        <v>445</v>
      </c>
      <c r="H19" s="628" t="s">
        <v>445</v>
      </c>
      <c r="I19" s="628" t="s">
        <v>445</v>
      </c>
      <c r="J19" s="628" t="s">
        <v>445</v>
      </c>
      <c r="K19" s="16">
        <v>2000</v>
      </c>
      <c r="L19" s="409" t="s">
        <v>399</v>
      </c>
      <c r="M19" s="32"/>
      <c r="N19" s="29" t="str">
        <f t="shared" si="28"/>
        <v>05</v>
      </c>
      <c r="O19" s="29" t="str">
        <f t="shared" si="29"/>
        <v>Mains Replacement - Piecemeal Replacement</v>
      </c>
      <c r="P19" s="43"/>
      <c r="Q19" s="43"/>
      <c r="R19" s="633" t="s">
        <v>445</v>
      </c>
      <c r="S19" s="634" t="s">
        <v>445</v>
      </c>
      <c r="T19" s="634" t="s">
        <v>445</v>
      </c>
      <c r="U19" s="634" t="s">
        <v>445</v>
      </c>
      <c r="V19" s="634" t="s">
        <v>445</v>
      </c>
      <c r="W19" s="41"/>
      <c r="X19" s="409" t="s">
        <v>373</v>
      </c>
      <c r="Y19" s="66"/>
      <c r="Z19" s="29" t="str">
        <f t="shared" si="17"/>
        <v>05</v>
      </c>
      <c r="AA19" s="29" t="str">
        <f t="shared" si="18"/>
        <v>Mains Replacement - Piecemeal Replacement</v>
      </c>
      <c r="AB19" s="212"/>
      <c r="AC19" s="212"/>
      <c r="AD19" s="207">
        <v>0.27975908818985856</v>
      </c>
      <c r="AE19" s="208">
        <v>0.27975908818985856</v>
      </c>
      <c r="AF19" s="208">
        <v>0.27975908818985856</v>
      </c>
      <c r="AG19" s="208">
        <v>0.27975908818985856</v>
      </c>
      <c r="AH19" s="56">
        <v>0</v>
      </c>
      <c r="AI19" s="212">
        <f t="shared" si="30"/>
        <v>1.1190363527594342</v>
      </c>
      <c r="AJ19" s="32"/>
      <c r="AK19" s="29" t="str">
        <f t="shared" si="19"/>
        <v>05</v>
      </c>
      <c r="AL19" s="29" t="str">
        <f t="shared" si="20"/>
        <v>Mains Replacement - Piecemeal Replacement</v>
      </c>
      <c r="AM19" s="212"/>
      <c r="AN19" s="212"/>
      <c r="AO19" s="207">
        <f>AD19*(1+'Real Cost Escalation'!E$18)</f>
        <v>0.28164240420251657</v>
      </c>
      <c r="AP19" s="208">
        <f>AE19*(1+'Real Cost Escalation'!F$18)</f>
        <v>0.28325217667356689</v>
      </c>
      <c r="AQ19" s="208">
        <f>AF19*(1+'Real Cost Escalation'!G$18)</f>
        <v>0.28525273611945112</v>
      </c>
      <c r="AR19" s="208">
        <f>AG19*(1+'Real Cost Escalation'!H$18)</f>
        <v>0.28772646672059621</v>
      </c>
      <c r="AS19" s="56">
        <f>AH19*(1+'Real Cost Escalation'!I$18)</f>
        <v>0</v>
      </c>
      <c r="AT19" s="212">
        <f>SUM(AO19:AS19)</f>
        <v>1.1378737837161308</v>
      </c>
      <c r="AU19" s="66"/>
      <c r="AV19" s="29" t="str">
        <f t="shared" si="21"/>
        <v>05</v>
      </c>
      <c r="AW19" s="29" t="str">
        <f t="shared" si="22"/>
        <v>Mains Replacement - Piecemeal Replacement</v>
      </c>
      <c r="AX19" s="212"/>
      <c r="AY19" s="212"/>
      <c r="AZ19" s="207">
        <f t="shared" si="23"/>
        <v>1.8833160126580095E-3</v>
      </c>
      <c r="BA19" s="208">
        <f t="shared" si="24"/>
        <v>3.4930884837083287E-3</v>
      </c>
      <c r="BB19" s="208">
        <f t="shared" si="25"/>
        <v>5.49364792959256E-3</v>
      </c>
      <c r="BC19" s="208">
        <f t="shared" si="26"/>
        <v>7.9673785307376455E-3</v>
      </c>
      <c r="BD19" s="56">
        <f t="shared" si="27"/>
        <v>0</v>
      </c>
      <c r="BE19" s="212">
        <f t="shared" si="32"/>
        <v>1.8837430956696544E-2</v>
      </c>
      <c r="BF19" s="32"/>
    </row>
    <row r="20" spans="1:58" s="67" customFormat="1" ht="18" customHeight="1" x14ac:dyDescent="0.2">
      <c r="A20" s="66"/>
      <c r="B20" s="29" t="str">
        <f>'Capex Model Category Index'!B13</f>
        <v>06</v>
      </c>
      <c r="C20" s="29" t="str">
        <f>'Capex Model Category Index'!C13</f>
        <v>Mains Replacement - HDPE Replacement</v>
      </c>
      <c r="D20" s="15"/>
      <c r="E20" s="15"/>
      <c r="F20" s="627" t="s">
        <v>445</v>
      </c>
      <c r="G20" s="628" t="s">
        <v>445</v>
      </c>
      <c r="H20" s="628" t="s">
        <v>445</v>
      </c>
      <c r="I20" s="628" t="s">
        <v>445</v>
      </c>
      <c r="J20" s="628" t="s">
        <v>445</v>
      </c>
      <c r="K20" s="16">
        <v>10000</v>
      </c>
      <c r="L20" s="409" t="s">
        <v>399</v>
      </c>
      <c r="M20" s="32"/>
      <c r="N20" s="29" t="str">
        <f>B20</f>
        <v>06</v>
      </c>
      <c r="O20" s="29" t="str">
        <f>C20</f>
        <v>Mains Replacement - HDPE Replacement</v>
      </c>
      <c r="P20" s="41"/>
      <c r="Q20" s="41"/>
      <c r="R20" s="633" t="s">
        <v>445</v>
      </c>
      <c r="S20" s="634" t="s">
        <v>445</v>
      </c>
      <c r="T20" s="634" t="s">
        <v>445</v>
      </c>
      <c r="U20" s="634" t="s">
        <v>445</v>
      </c>
      <c r="V20" s="634" t="s">
        <v>445</v>
      </c>
      <c r="W20" s="41"/>
      <c r="X20" s="409" t="s">
        <v>373</v>
      </c>
      <c r="Y20" s="66"/>
      <c r="Z20" s="29" t="str">
        <f>B20</f>
        <v>06</v>
      </c>
      <c r="AA20" s="29" t="str">
        <f>C20</f>
        <v>Mains Replacement - HDPE Replacement</v>
      </c>
      <c r="AB20" s="212"/>
      <c r="AC20" s="212"/>
      <c r="AD20" s="207">
        <v>1.1190363527594342</v>
      </c>
      <c r="AE20" s="208">
        <v>1.1190363527594342</v>
      </c>
      <c r="AF20" s="208">
        <v>1.1190363527594342</v>
      </c>
      <c r="AG20" s="208">
        <v>1.1190363527594342</v>
      </c>
      <c r="AH20" s="56">
        <v>1.1190363527594342</v>
      </c>
      <c r="AI20" s="212">
        <f>SUM(AD20:AH20)</f>
        <v>5.5951817637971715</v>
      </c>
      <c r="AJ20" s="32"/>
      <c r="AK20" s="29" t="str">
        <f>N20</f>
        <v>06</v>
      </c>
      <c r="AL20" s="29" t="str">
        <f>O20</f>
        <v>Mains Replacement - HDPE Replacement</v>
      </c>
      <c r="AM20" s="212"/>
      <c r="AN20" s="212"/>
      <c r="AO20" s="207">
        <f>AD20*(1+'Real Cost Escalation'!E$18)</f>
        <v>1.1265696168100663</v>
      </c>
      <c r="AP20" s="208">
        <f>AE20*(1+'Real Cost Escalation'!F$18)</f>
        <v>1.1330087066942676</v>
      </c>
      <c r="AQ20" s="208">
        <f>AF20*(1+'Real Cost Escalation'!G$18)</f>
        <v>1.1410109444778045</v>
      </c>
      <c r="AR20" s="208">
        <f>AG20*(1+'Real Cost Escalation'!H$18)</f>
        <v>1.1509058668823848</v>
      </c>
      <c r="AS20" s="56">
        <f>AH20*(1+'Real Cost Escalation'!I$18)</f>
        <v>1.1620843343261946</v>
      </c>
      <c r="AT20" s="212">
        <f>SUM(AO20:AS20)</f>
        <v>5.7135794691907176</v>
      </c>
      <c r="AU20" s="66"/>
      <c r="AV20" s="29" t="str">
        <f>Z20</f>
        <v>06</v>
      </c>
      <c r="AW20" s="29" t="str">
        <f>AA20</f>
        <v>Mains Replacement - HDPE Replacement</v>
      </c>
      <c r="AX20" s="212"/>
      <c r="AY20" s="212"/>
      <c r="AZ20" s="207">
        <f t="shared" ref="AZ20:BD20" si="33">AO20-AD20</f>
        <v>7.5332640506320381E-3</v>
      </c>
      <c r="BA20" s="208">
        <f t="shared" si="33"/>
        <v>1.3972353934833315E-2</v>
      </c>
      <c r="BB20" s="208">
        <f t="shared" si="33"/>
        <v>2.197459171837024E-2</v>
      </c>
      <c r="BC20" s="208">
        <f t="shared" si="33"/>
        <v>3.1869514122950582E-2</v>
      </c>
      <c r="BD20" s="56">
        <f t="shared" si="33"/>
        <v>4.3047981566760374E-2</v>
      </c>
      <c r="BE20" s="212">
        <f>SUM(AZ20:BD20)</f>
        <v>0.11839770539354655</v>
      </c>
      <c r="BF20" s="32"/>
    </row>
    <row r="21" spans="1:58" s="67" customFormat="1" ht="18" customHeight="1" x14ac:dyDescent="0.2">
      <c r="A21" s="66"/>
      <c r="B21" s="29" t="str">
        <f>'Capex Model Category Index'!B14</f>
        <v>07</v>
      </c>
      <c r="C21" s="29" t="str">
        <f>'Capex Model Category Index'!C14</f>
        <v>Mains Replacement - HDICS Block Replacement</v>
      </c>
      <c r="D21" s="15"/>
      <c r="E21" s="15"/>
      <c r="F21" s="627" t="s">
        <v>445</v>
      </c>
      <c r="G21" s="628" t="s">
        <v>445</v>
      </c>
      <c r="H21" s="628" t="s">
        <v>445</v>
      </c>
      <c r="I21" s="628" t="s">
        <v>445</v>
      </c>
      <c r="J21" s="628" t="s">
        <v>445</v>
      </c>
      <c r="K21" s="16">
        <v>178458</v>
      </c>
      <c r="L21" s="409" t="s">
        <v>399</v>
      </c>
      <c r="M21" s="32"/>
      <c r="N21" s="29" t="str">
        <f t="shared" si="28"/>
        <v>07</v>
      </c>
      <c r="O21" s="29" t="str">
        <f t="shared" si="29"/>
        <v>Mains Replacement - HDICS Block Replacement</v>
      </c>
      <c r="P21" s="41"/>
      <c r="Q21" s="41"/>
      <c r="R21" s="633" t="s">
        <v>445</v>
      </c>
      <c r="S21" s="634" t="s">
        <v>445</v>
      </c>
      <c r="T21" s="634" t="s">
        <v>445</v>
      </c>
      <c r="U21" s="634" t="s">
        <v>445</v>
      </c>
      <c r="V21" s="634" t="s">
        <v>445</v>
      </c>
      <c r="W21" s="41"/>
      <c r="X21" s="409" t="s">
        <v>373</v>
      </c>
      <c r="Y21" s="66"/>
      <c r="Z21" s="29" t="str">
        <f t="shared" si="17"/>
        <v>07</v>
      </c>
      <c r="AA21" s="29" t="str">
        <f t="shared" si="18"/>
        <v>Mains Replacement - HDICS Block Replacement</v>
      </c>
      <c r="AB21" s="212"/>
      <c r="AC21" s="212"/>
      <c r="AD21" s="207">
        <v>19.28581950209934</v>
      </c>
      <c r="AE21" s="208">
        <v>19.28581950209934</v>
      </c>
      <c r="AF21" s="208">
        <v>19.28581950209934</v>
      </c>
      <c r="AG21" s="208">
        <v>19.28581950209934</v>
      </c>
      <c r="AH21" s="56">
        <v>0</v>
      </c>
      <c r="AI21" s="212">
        <f t="shared" si="30"/>
        <v>77.14327800839736</v>
      </c>
      <c r="AJ21" s="32"/>
      <c r="AK21" s="29" t="str">
        <f t="shared" si="19"/>
        <v>07</v>
      </c>
      <c r="AL21" s="29" t="str">
        <f t="shared" si="20"/>
        <v>Mains Replacement - HDICS Block Replacement</v>
      </c>
      <c r="AM21" s="212"/>
      <c r="AN21" s="212"/>
      <c r="AO21" s="207">
        <f>AD21*(1+'Real Cost Escalation'!E$18)</f>
        <v>19.415650110715301</v>
      </c>
      <c r="AP21" s="208">
        <f>AE21*(1+'Real Cost Escalation'!F$18)</f>
        <v>19.526623382457792</v>
      </c>
      <c r="AQ21" s="208">
        <f>AF21*(1+'Real Cost Escalation'!G$18)</f>
        <v>19.664536429809303</v>
      </c>
      <c r="AR21" s="208">
        <f>AG21*(1+'Real Cost Escalation'!H$18)</f>
        <v>19.8350685908168</v>
      </c>
      <c r="AS21" s="56">
        <f>AH21*(1+'Real Cost Escalation'!I$18)</f>
        <v>0</v>
      </c>
      <c r="AT21" s="212">
        <f t="shared" si="31"/>
        <v>78.441878513799196</v>
      </c>
      <c r="AU21" s="66"/>
      <c r="AV21" s="29" t="str">
        <f t="shared" si="21"/>
        <v>07</v>
      </c>
      <c r="AW21" s="29" t="str">
        <f t="shared" si="22"/>
        <v>Mains Replacement - HDICS Block Replacement</v>
      </c>
      <c r="AX21" s="212"/>
      <c r="AY21" s="212"/>
      <c r="AZ21" s="207">
        <f t="shared" si="23"/>
        <v>0.1298306086159613</v>
      </c>
      <c r="BA21" s="208">
        <f t="shared" si="24"/>
        <v>0.24080388035845246</v>
      </c>
      <c r="BB21" s="208">
        <f t="shared" si="25"/>
        <v>0.3787169277099629</v>
      </c>
      <c r="BC21" s="208">
        <f t="shared" si="26"/>
        <v>0.5492490887174597</v>
      </c>
      <c r="BD21" s="56">
        <f t="shared" si="27"/>
        <v>0</v>
      </c>
      <c r="BE21" s="212">
        <f t="shared" si="32"/>
        <v>1.2986005054018364</v>
      </c>
      <c r="BF21" s="32"/>
    </row>
    <row r="22" spans="1:58" s="67" customFormat="1" ht="18" customHeight="1" x14ac:dyDescent="0.2">
      <c r="A22" s="66"/>
      <c r="B22" s="29" t="str">
        <f>'Capex Model Category Index'!B15</f>
        <v>08</v>
      </c>
      <c r="C22" s="29" t="str">
        <f>'Capex Model Category Index'!C15</f>
        <v>Mains Replacement - LDS Block Replacement</v>
      </c>
      <c r="D22" s="15"/>
      <c r="E22" s="15"/>
      <c r="F22" s="627" t="s">
        <v>445</v>
      </c>
      <c r="G22" s="628" t="s">
        <v>445</v>
      </c>
      <c r="H22" s="628" t="s">
        <v>445</v>
      </c>
      <c r="I22" s="628" t="s">
        <v>445</v>
      </c>
      <c r="J22" s="628" t="s">
        <v>445</v>
      </c>
      <c r="K22" s="16">
        <v>36874</v>
      </c>
      <c r="L22" s="409" t="s">
        <v>399</v>
      </c>
      <c r="M22" s="32"/>
      <c r="N22" s="29" t="str">
        <f t="shared" ref="N22" si="34">B22</f>
        <v>08</v>
      </c>
      <c r="O22" s="29" t="str">
        <f t="shared" ref="O22" si="35">C22</f>
        <v>Mains Replacement - LDS Block Replacement</v>
      </c>
      <c r="P22" s="41"/>
      <c r="Q22" s="41"/>
      <c r="R22" s="633" t="s">
        <v>445</v>
      </c>
      <c r="S22" s="634" t="s">
        <v>445</v>
      </c>
      <c r="T22" s="634" t="s">
        <v>445</v>
      </c>
      <c r="U22" s="634" t="s">
        <v>445</v>
      </c>
      <c r="V22" s="634" t="s">
        <v>445</v>
      </c>
      <c r="W22" s="41"/>
      <c r="X22" s="409" t="s">
        <v>373</v>
      </c>
      <c r="Y22" s="66"/>
      <c r="Z22" s="29" t="str">
        <f t="shared" ref="Z22" si="36">B22</f>
        <v>08</v>
      </c>
      <c r="AA22" s="29" t="str">
        <f t="shared" ref="AA22" si="37">C22</f>
        <v>Mains Replacement - LDS Block Replacement</v>
      </c>
      <c r="AB22" s="212"/>
      <c r="AC22" s="212"/>
      <c r="AD22" s="207">
        <v>2.8339698134266142</v>
      </c>
      <c r="AE22" s="208">
        <v>2.8339698134266142</v>
      </c>
      <c r="AF22" s="208">
        <v>2.8339698134266142</v>
      </c>
      <c r="AG22" s="208">
        <v>2.8339698134266142</v>
      </c>
      <c r="AH22" s="56">
        <v>0</v>
      </c>
      <c r="AI22" s="212">
        <f t="shared" ref="AI22" si="38">SUM(AD22:AH22)</f>
        <v>11.335879253706457</v>
      </c>
      <c r="AJ22" s="32"/>
      <c r="AK22" s="29" t="str">
        <f t="shared" ref="AK22" si="39">N22</f>
        <v>08</v>
      </c>
      <c r="AL22" s="29" t="str">
        <f t="shared" ref="AL22" si="40">O22</f>
        <v>Mains Replacement - LDS Block Replacement</v>
      </c>
      <c r="AM22" s="212"/>
      <c r="AN22" s="212"/>
      <c r="AO22" s="207">
        <f>AD22*(1+'Real Cost Escalation'!E$18)</f>
        <v>2.853047873637454</v>
      </c>
      <c r="AP22" s="208">
        <f>AE22*(1+'Real Cost Escalation'!F$18)</f>
        <v>2.8693549277494754</v>
      </c>
      <c r="AQ22" s="208">
        <f>AF22*(1+'Real Cost Escalation'!G$18)</f>
        <v>2.8896206682345666</v>
      </c>
      <c r="AR22" s="208">
        <f>AG22*(1+'Real Cost Escalation'!H$18)</f>
        <v>2.9146796498589174</v>
      </c>
      <c r="AS22" s="56">
        <f>AH22*(1+'Real Cost Escalation'!I$18)</f>
        <v>0</v>
      </c>
      <c r="AT22" s="212">
        <f t="shared" ref="AT22" si="41">SUM(AO22:AS22)</f>
        <v>11.526703119480413</v>
      </c>
      <c r="AU22" s="66"/>
      <c r="AV22" s="29" t="str">
        <f t="shared" ref="AV22" si="42">Z22</f>
        <v>08</v>
      </c>
      <c r="AW22" s="29" t="str">
        <f t="shared" ref="AW22" si="43">AA22</f>
        <v>Mains Replacement - LDS Block Replacement</v>
      </c>
      <c r="AX22" s="212"/>
      <c r="AY22" s="212"/>
      <c r="AZ22" s="207">
        <f t="shared" ref="AZ22" si="44">AO22-AD22</f>
        <v>1.9078060210839798E-2</v>
      </c>
      <c r="BA22" s="208">
        <f t="shared" ref="BA22" si="45">AP22-AE22</f>
        <v>3.5385114322861178E-2</v>
      </c>
      <c r="BB22" s="208">
        <f t="shared" ref="BB22" si="46">AQ22-AF22</f>
        <v>5.5650854807952399E-2</v>
      </c>
      <c r="BC22" s="208">
        <f t="shared" ref="BC22" si="47">AR22-AG22</f>
        <v>8.0709836432303117E-2</v>
      </c>
      <c r="BD22" s="56">
        <f t="shared" ref="BD22" si="48">AS22-AH22</f>
        <v>0</v>
      </c>
      <c r="BE22" s="212">
        <f t="shared" ref="BE22" si="49">SUM(AZ22:BD22)</f>
        <v>0.19082386577395649</v>
      </c>
      <c r="BF22" s="32"/>
    </row>
    <row r="23" spans="1:58" s="67" customFormat="1" ht="18" customHeight="1" x14ac:dyDescent="0.2">
      <c r="A23" s="66"/>
      <c r="B23" s="29" t="str">
        <f>'Capex Model Category Index'!B16</f>
        <v>09</v>
      </c>
      <c r="C23" s="29" t="str">
        <f>'Capex Model Category Index'!C16</f>
        <v>Mains Replacement - CBD Block Replacement</v>
      </c>
      <c r="D23" s="15"/>
      <c r="E23" s="15"/>
      <c r="F23" s="627" t="s">
        <v>445</v>
      </c>
      <c r="G23" s="628" t="s">
        <v>445</v>
      </c>
      <c r="H23" s="628" t="s">
        <v>445</v>
      </c>
      <c r="I23" s="628" t="s">
        <v>445</v>
      </c>
      <c r="J23" s="628" t="s">
        <v>445</v>
      </c>
      <c r="K23" s="16">
        <v>25300</v>
      </c>
      <c r="L23" s="409" t="s">
        <v>399</v>
      </c>
      <c r="M23" s="32"/>
      <c r="N23" s="29" t="str">
        <f t="shared" si="28"/>
        <v>09</v>
      </c>
      <c r="O23" s="29" t="str">
        <f t="shared" si="29"/>
        <v>Mains Replacement - CBD Block Replacement</v>
      </c>
      <c r="P23" s="41"/>
      <c r="Q23" s="41"/>
      <c r="R23" s="633" t="s">
        <v>445</v>
      </c>
      <c r="S23" s="634" t="s">
        <v>445</v>
      </c>
      <c r="T23" s="634" t="s">
        <v>445</v>
      </c>
      <c r="U23" s="634" t="s">
        <v>445</v>
      </c>
      <c r="V23" s="634" t="s">
        <v>445</v>
      </c>
      <c r="W23" s="41"/>
      <c r="X23" s="409" t="s">
        <v>373</v>
      </c>
      <c r="Y23" s="66"/>
      <c r="Z23" s="29" t="str">
        <f t="shared" ref="Z23:Z24" si="50">B23</f>
        <v>09</v>
      </c>
      <c r="AA23" s="29" t="str">
        <f t="shared" ref="AA23:AA24" si="51">C23</f>
        <v>Mains Replacement - CBD Block Replacement</v>
      </c>
      <c r="AB23" s="212"/>
      <c r="AC23" s="212"/>
      <c r="AD23" s="207">
        <v>6.1367880000000001</v>
      </c>
      <c r="AE23" s="208">
        <v>6.1367880000000001</v>
      </c>
      <c r="AF23" s="208">
        <v>6.1367880000000001</v>
      </c>
      <c r="AG23" s="208">
        <v>6.2595237600000004</v>
      </c>
      <c r="AH23" s="56">
        <v>6.3822595200000007</v>
      </c>
      <c r="AI23" s="212">
        <f t="shared" si="30"/>
        <v>31.052147280000003</v>
      </c>
      <c r="AJ23" s="32"/>
      <c r="AK23" s="29" t="str">
        <f t="shared" si="19"/>
        <v>09</v>
      </c>
      <c r="AL23" s="29" t="str">
        <f t="shared" si="20"/>
        <v>Mains Replacement - CBD Block Replacement</v>
      </c>
      <c r="AM23" s="212"/>
      <c r="AN23" s="212"/>
      <c r="AO23" s="207">
        <f>AD23*(1+'Real Cost Escalation'!E$18)</f>
        <v>6.1781003705166064</v>
      </c>
      <c r="AP23" s="208">
        <f>AE23*(1+'Real Cost Escalation'!F$18)</f>
        <v>6.213412297099552</v>
      </c>
      <c r="AQ23" s="208">
        <f>AF23*(1+'Real Cost Escalation'!G$18)</f>
        <v>6.2572965164835432</v>
      </c>
      <c r="AR23" s="208">
        <f>AG23*(1+'Real Cost Escalation'!H$18)</f>
        <v>6.4377914100011342</v>
      </c>
      <c r="AS23" s="56">
        <f>AH23*(1+'Real Cost Escalation'!I$18)</f>
        <v>6.6277773617517468</v>
      </c>
      <c r="AT23" s="212">
        <f t="shared" si="31"/>
        <v>31.714377955852584</v>
      </c>
      <c r="AU23" s="66"/>
      <c r="AV23" s="29" t="str">
        <f t="shared" si="21"/>
        <v>09</v>
      </c>
      <c r="AW23" s="29" t="str">
        <f t="shared" si="22"/>
        <v>Mains Replacement - CBD Block Replacement</v>
      </c>
      <c r="AX23" s="212"/>
      <c r="AY23" s="212"/>
      <c r="AZ23" s="207">
        <f t="shared" si="23"/>
        <v>4.13123705166063E-2</v>
      </c>
      <c r="BA23" s="208">
        <f t="shared" si="24"/>
        <v>7.6624297099551875E-2</v>
      </c>
      <c r="BB23" s="208">
        <f t="shared" si="25"/>
        <v>0.1205085164835431</v>
      </c>
      <c r="BC23" s="208">
        <f t="shared" si="26"/>
        <v>0.17826765000113376</v>
      </c>
      <c r="BD23" s="56">
        <f t="shared" si="27"/>
        <v>0.24551784175174607</v>
      </c>
      <c r="BE23" s="212">
        <f t="shared" si="32"/>
        <v>0.66223067585258111</v>
      </c>
      <c r="BF23" s="32"/>
    </row>
    <row r="24" spans="1:58" s="67" customFormat="1" ht="18" customHeight="1" x14ac:dyDescent="0.2">
      <c r="A24" s="66"/>
      <c r="B24" s="29" t="str">
        <f>'Capex Model Category Index'!B17</f>
        <v>10</v>
      </c>
      <c r="C24" s="29" t="str">
        <f>'Capex Model Category Index'!C17</f>
        <v>Mains Replacement - CBD Trunk Replacement</v>
      </c>
      <c r="D24" s="15"/>
      <c r="E24" s="15"/>
      <c r="F24" s="627" t="s">
        <v>445</v>
      </c>
      <c r="G24" s="628" t="s">
        <v>445</v>
      </c>
      <c r="H24" s="628" t="s">
        <v>445</v>
      </c>
      <c r="I24" s="628" t="s">
        <v>445</v>
      </c>
      <c r="J24" s="628" t="s">
        <v>445</v>
      </c>
      <c r="K24" s="61">
        <v>1600</v>
      </c>
      <c r="L24" s="409" t="s">
        <v>399</v>
      </c>
      <c r="M24" s="32"/>
      <c r="N24" s="359" t="str">
        <f t="shared" ref="N24" si="52">B24</f>
        <v>10</v>
      </c>
      <c r="O24" s="359" t="str">
        <f t="shared" ref="O24" si="53">C24</f>
        <v>Mains Replacement - CBD Trunk Replacement</v>
      </c>
      <c r="P24" s="507"/>
      <c r="Q24" s="507"/>
      <c r="R24" s="635" t="s">
        <v>445</v>
      </c>
      <c r="S24" s="638" t="s">
        <v>445</v>
      </c>
      <c r="T24" s="638" t="s">
        <v>445</v>
      </c>
      <c r="U24" s="638" t="s">
        <v>445</v>
      </c>
      <c r="V24" s="638" t="s">
        <v>445</v>
      </c>
      <c r="W24" s="507"/>
      <c r="X24" s="509" t="s">
        <v>373</v>
      </c>
      <c r="Y24" s="66"/>
      <c r="Z24" s="29" t="str">
        <f t="shared" si="50"/>
        <v>10</v>
      </c>
      <c r="AA24" s="29" t="str">
        <f t="shared" si="51"/>
        <v>Mains Replacement - CBD Trunk Replacement</v>
      </c>
      <c r="AB24" s="212"/>
      <c r="AC24" s="212"/>
      <c r="AD24" s="207">
        <v>0</v>
      </c>
      <c r="AE24" s="208">
        <v>1.9664615003040002</v>
      </c>
      <c r="AF24" s="208">
        <v>1.9664615003040002</v>
      </c>
      <c r="AG24" s="208">
        <v>0</v>
      </c>
      <c r="AH24" s="56">
        <v>0</v>
      </c>
      <c r="AI24" s="212">
        <f t="shared" ref="AI24" si="54">SUM(AD24:AH24)</f>
        <v>3.9329230006080005</v>
      </c>
      <c r="AJ24" s="32"/>
      <c r="AK24" s="29" t="str">
        <f t="shared" ref="AK24" si="55">N24</f>
        <v>10</v>
      </c>
      <c r="AL24" s="29" t="str">
        <f t="shared" ref="AL24" si="56">O24</f>
        <v>Mains Replacement - CBD Trunk Replacement</v>
      </c>
      <c r="AM24" s="212"/>
      <c r="AN24" s="212"/>
      <c r="AO24" s="207">
        <f>AD24*(1+'Real Cost Escalation'!E$18)</f>
        <v>0</v>
      </c>
      <c r="AP24" s="208">
        <f>AE24*(1+'Real Cost Escalation'!F$18)</f>
        <v>1.9910148546375905</v>
      </c>
      <c r="AQ24" s="208">
        <f>AF24*(1+'Real Cost Escalation'!G$18)</f>
        <v>2.0050770363341903</v>
      </c>
      <c r="AR24" s="208">
        <f>AG24*(1+'Real Cost Escalation'!H$18)</f>
        <v>0</v>
      </c>
      <c r="AS24" s="56">
        <f>AH24*(1+'Real Cost Escalation'!I$18)</f>
        <v>0</v>
      </c>
      <c r="AT24" s="212">
        <f t="shared" ref="AT24" si="57">SUM(AO24:AS24)</f>
        <v>3.9960918909717806</v>
      </c>
      <c r="AU24" s="66"/>
      <c r="AV24" s="29" t="str">
        <f t="shared" ref="AV24" si="58">Z24</f>
        <v>10</v>
      </c>
      <c r="AW24" s="29" t="str">
        <f t="shared" ref="AW24" si="59">AA24</f>
        <v>Mains Replacement - CBD Trunk Replacement</v>
      </c>
      <c r="AX24" s="212"/>
      <c r="AY24" s="212"/>
      <c r="AZ24" s="207">
        <f t="shared" ref="AZ24" si="60">AO24-AD24</f>
        <v>0</v>
      </c>
      <c r="BA24" s="208">
        <f t="shared" ref="BA24" si="61">AP24-AE24</f>
        <v>2.4553354333590294E-2</v>
      </c>
      <c r="BB24" s="208">
        <f t="shared" ref="BB24" si="62">AQ24-AF24</f>
        <v>3.8615536030190079E-2</v>
      </c>
      <c r="BC24" s="208">
        <f t="shared" ref="BC24" si="63">AR24-AG24</f>
        <v>0</v>
      </c>
      <c r="BD24" s="56">
        <f t="shared" ref="BD24" si="64">AS24-AH24</f>
        <v>0</v>
      </c>
      <c r="BE24" s="212">
        <f t="shared" ref="BE24" si="65">SUM(AZ24:BD24)</f>
        <v>6.3168890363780372E-2</v>
      </c>
      <c r="BF24" s="32"/>
    </row>
    <row r="25" spans="1:58" s="67" customFormat="1" ht="18" customHeight="1" thickBot="1" x14ac:dyDescent="0.25">
      <c r="A25" s="66"/>
      <c r="B25" s="19"/>
      <c r="C25" s="20" t="s">
        <v>74</v>
      </c>
      <c r="D25" s="22"/>
      <c r="E25" s="22"/>
      <c r="F25" s="21">
        <v>72033</v>
      </c>
      <c r="G25" s="22">
        <v>72833</v>
      </c>
      <c r="H25" s="22">
        <v>72833</v>
      </c>
      <c r="I25" s="22">
        <v>71533</v>
      </c>
      <c r="J25" s="23">
        <v>7600</v>
      </c>
      <c r="K25" s="22">
        <v>296832</v>
      </c>
      <c r="L25" s="21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66"/>
      <c r="Z25" s="19"/>
      <c r="AA25" s="20" t="s">
        <v>74</v>
      </c>
      <c r="AB25" s="210"/>
      <c r="AC25" s="210"/>
      <c r="AD25" s="209">
        <f t="shared" ref="AD25:AI25" si="66">SUM(AD17:AD24)</f>
        <v>33.047324316475247</v>
      </c>
      <c r="AE25" s="210">
        <f t="shared" si="66"/>
        <v>35.013785816779247</v>
      </c>
      <c r="AF25" s="210">
        <f t="shared" si="66"/>
        <v>35.013785816779247</v>
      </c>
      <c r="AG25" s="210">
        <f t="shared" si="66"/>
        <v>32.680748076475247</v>
      </c>
      <c r="AH25" s="211">
        <f t="shared" si="66"/>
        <v>7.8275038727594346</v>
      </c>
      <c r="AI25" s="210">
        <f t="shared" si="66"/>
        <v>143.58314789926845</v>
      </c>
      <c r="AJ25" s="32"/>
      <c r="AK25" s="19"/>
      <c r="AL25" s="20" t="s">
        <v>74</v>
      </c>
      <c r="AM25" s="210"/>
      <c r="AN25" s="210"/>
      <c r="AO25" s="209">
        <f t="shared" ref="AO25:AT25" si="67">SUM(AO17:AO24)</f>
        <v>33.269796284994399</v>
      </c>
      <c r="AP25" s="210">
        <f t="shared" si="67"/>
        <v>35.4509700126493</v>
      </c>
      <c r="AQ25" s="210">
        <f t="shared" si="67"/>
        <v>35.701353871151113</v>
      </c>
      <c r="AR25" s="210">
        <f t="shared" si="67"/>
        <v>33.611477055747038</v>
      </c>
      <c r="AS25" s="211">
        <f t="shared" si="67"/>
        <v>8.1286185251989096</v>
      </c>
      <c r="AT25" s="210">
        <f t="shared" si="67"/>
        <v>146.16221574974074</v>
      </c>
      <c r="AU25" s="66"/>
      <c r="AV25" s="19"/>
      <c r="AW25" s="20" t="s">
        <v>74</v>
      </c>
      <c r="AX25" s="266"/>
      <c r="AY25" s="266"/>
      <c r="AZ25" s="267">
        <f t="shared" ref="AZ25:BE25" si="68">SUM(AZ17:AZ24)</f>
        <v>0.22247196851914863</v>
      </c>
      <c r="BA25" s="266">
        <f t="shared" si="68"/>
        <v>0.43718419587004864</v>
      </c>
      <c r="BB25" s="266">
        <f t="shared" si="68"/>
        <v>0.68756805437186075</v>
      </c>
      <c r="BC25" s="266">
        <f t="shared" si="68"/>
        <v>0.93072897927179055</v>
      </c>
      <c r="BD25" s="268">
        <f t="shared" si="68"/>
        <v>0.30111465243947477</v>
      </c>
      <c r="BE25" s="210">
        <f t="shared" si="68"/>
        <v>2.579067850472323</v>
      </c>
      <c r="BF25" s="32"/>
    </row>
    <row r="26" spans="1:58" s="67" customFormat="1" ht="18" customHeight="1" x14ac:dyDescent="0.2">
      <c r="A26" s="66"/>
      <c r="B26" s="72"/>
      <c r="C26" s="73"/>
      <c r="D26" s="12"/>
      <c r="E26" s="12"/>
      <c r="F26" s="12"/>
      <c r="G26" s="12"/>
      <c r="H26" s="12"/>
      <c r="I26" s="12"/>
      <c r="J26" s="12"/>
      <c r="K26" s="12"/>
      <c r="L26" s="12"/>
      <c r="M26" s="32"/>
      <c r="N26" s="72"/>
      <c r="O26" s="73"/>
      <c r="P26" s="12"/>
      <c r="Q26" s="12"/>
      <c r="R26" s="12"/>
      <c r="S26" s="12"/>
      <c r="T26" s="12"/>
      <c r="U26" s="12"/>
      <c r="V26" s="12"/>
      <c r="W26" s="12"/>
      <c r="X26" s="12"/>
      <c r="Y26" s="66"/>
      <c r="Z26" s="72"/>
      <c r="AA26" s="73"/>
      <c r="AB26" s="12"/>
      <c r="AC26" s="12"/>
      <c r="AD26" s="12"/>
      <c r="AE26" s="12"/>
      <c r="AF26" s="12"/>
      <c r="AG26" s="12"/>
      <c r="AH26" s="12"/>
      <c r="AI26" s="12"/>
      <c r="AJ26" s="32"/>
      <c r="AK26" s="72"/>
      <c r="AL26" s="73"/>
      <c r="AM26" s="12"/>
      <c r="AN26" s="12"/>
      <c r="AO26" s="12"/>
      <c r="AP26" s="12"/>
      <c r="AQ26" s="12"/>
      <c r="AR26" s="12"/>
      <c r="AS26" s="12"/>
      <c r="AT26" s="12"/>
      <c r="AU26" s="66"/>
      <c r="AV26" s="72"/>
      <c r="AW26" s="73"/>
      <c r="AX26" s="12"/>
      <c r="AY26" s="12"/>
      <c r="AZ26" s="12"/>
      <c r="BA26" s="12"/>
      <c r="BB26" s="12"/>
      <c r="BC26" s="12"/>
      <c r="BD26" s="12"/>
      <c r="BE26" s="12"/>
      <c r="BF26" s="32"/>
    </row>
    <row r="27" spans="1:58" s="71" customFormat="1" ht="24" customHeight="1" x14ac:dyDescent="0.2">
      <c r="A27" s="69"/>
      <c r="B27" s="354" t="s">
        <v>167</v>
      </c>
      <c r="C27" s="354"/>
      <c r="D27" s="355"/>
      <c r="E27" s="355"/>
      <c r="F27" s="355"/>
      <c r="G27" s="355"/>
      <c r="H27" s="355"/>
      <c r="I27" s="355"/>
      <c r="J27" s="355"/>
      <c r="K27" s="355"/>
      <c r="L27" s="355"/>
      <c r="M27" s="32"/>
      <c r="N27" s="354" t="s">
        <v>413</v>
      </c>
      <c r="O27" s="354"/>
      <c r="P27" s="355"/>
      <c r="Q27" s="355"/>
      <c r="R27" s="355"/>
      <c r="S27" s="355"/>
      <c r="T27" s="355"/>
      <c r="U27" s="355"/>
      <c r="V27" s="355"/>
      <c r="W27" s="355"/>
      <c r="X27" s="355"/>
      <c r="Y27" s="70"/>
      <c r="Z27" s="354" t="s">
        <v>416</v>
      </c>
      <c r="AA27" s="354"/>
      <c r="AB27" s="355"/>
      <c r="AC27" s="355"/>
      <c r="AD27" s="355"/>
      <c r="AE27" s="355"/>
      <c r="AF27" s="355"/>
      <c r="AG27" s="355"/>
      <c r="AH27" s="355"/>
      <c r="AI27" s="355"/>
      <c r="AJ27" s="32"/>
      <c r="AK27" s="354" t="s">
        <v>428</v>
      </c>
      <c r="AL27" s="354"/>
      <c r="AM27" s="355"/>
      <c r="AN27" s="355"/>
      <c r="AO27" s="355"/>
      <c r="AP27" s="355"/>
      <c r="AQ27" s="355"/>
      <c r="AR27" s="355"/>
      <c r="AS27" s="355"/>
      <c r="AT27" s="355"/>
      <c r="AU27" s="66"/>
      <c r="AV27" s="354" t="s">
        <v>435</v>
      </c>
      <c r="AW27" s="354"/>
      <c r="AX27" s="355"/>
      <c r="AY27" s="355"/>
      <c r="AZ27" s="355"/>
      <c r="BA27" s="355"/>
      <c r="BB27" s="355"/>
      <c r="BC27" s="355"/>
      <c r="BD27" s="355"/>
      <c r="BE27" s="355"/>
      <c r="BF27" s="32"/>
    </row>
    <row r="28" spans="1:58" s="67" customFormat="1" ht="18" customHeight="1" x14ac:dyDescent="0.2">
      <c r="A28" s="66"/>
      <c r="B28" s="72"/>
      <c r="C28" s="73"/>
      <c r="D28" s="12"/>
      <c r="E28" s="12"/>
      <c r="F28" s="12"/>
      <c r="G28" s="12"/>
      <c r="H28" s="12"/>
      <c r="I28" s="12"/>
      <c r="J28" s="12"/>
      <c r="K28" s="12"/>
      <c r="L28" s="12"/>
      <c r="M28" s="32"/>
      <c r="N28" s="72"/>
      <c r="O28" s="73"/>
      <c r="P28" s="12"/>
      <c r="Q28" s="12"/>
      <c r="R28" s="12"/>
      <c r="S28" s="12"/>
      <c r="T28" s="12"/>
      <c r="U28" s="12"/>
      <c r="V28" s="12"/>
      <c r="W28" s="12"/>
      <c r="X28" s="12"/>
      <c r="Y28" s="66"/>
      <c r="Z28" s="72"/>
      <c r="AA28" s="73"/>
      <c r="AB28" s="12"/>
      <c r="AC28" s="12"/>
      <c r="AD28" s="12"/>
      <c r="AE28" s="12"/>
      <c r="AF28" s="12"/>
      <c r="AG28" s="12"/>
      <c r="AH28" s="12"/>
      <c r="AI28" s="12"/>
      <c r="AJ28" s="32"/>
      <c r="AK28" s="72"/>
      <c r="AL28" s="73"/>
      <c r="AM28" s="12"/>
      <c r="AN28" s="12"/>
      <c r="AO28" s="12"/>
      <c r="AP28" s="12"/>
      <c r="AQ28" s="12"/>
      <c r="AR28" s="12"/>
      <c r="AS28" s="12"/>
      <c r="AT28" s="12"/>
      <c r="AU28" s="66"/>
      <c r="AV28" s="72"/>
      <c r="AW28" s="73"/>
      <c r="AX28" s="12"/>
      <c r="AY28" s="12"/>
      <c r="AZ28" s="12"/>
      <c r="BA28" s="12"/>
      <c r="BB28" s="12"/>
      <c r="BC28" s="12"/>
      <c r="BD28" s="12"/>
      <c r="BE28" s="12"/>
      <c r="BF28" s="32"/>
    </row>
    <row r="29" spans="1:58" s="67" customFormat="1" ht="22.5" x14ac:dyDescent="0.2">
      <c r="A29" s="66"/>
      <c r="B29" s="10" t="s">
        <v>168</v>
      </c>
      <c r="C29" s="11"/>
      <c r="D29" s="3"/>
      <c r="E29" s="3"/>
      <c r="F29" s="30">
        <f t="shared" ref="F29:K29" si="69">F16</f>
        <v>2018</v>
      </c>
      <c r="G29" s="3">
        <f t="shared" si="69"/>
        <v>2019</v>
      </c>
      <c r="H29" s="3">
        <f t="shared" si="69"/>
        <v>2020</v>
      </c>
      <c r="I29" s="3">
        <f t="shared" si="69"/>
        <v>2021</v>
      </c>
      <c r="J29" s="31">
        <f t="shared" si="69"/>
        <v>2022</v>
      </c>
      <c r="K29" s="363" t="str">
        <f t="shared" si="69"/>
        <v>Total for 
2018-2022</v>
      </c>
      <c r="L29" s="3" t="s">
        <v>100</v>
      </c>
      <c r="M29" s="32"/>
      <c r="N29" s="10" t="s">
        <v>172</v>
      </c>
      <c r="O29" s="11"/>
      <c r="P29" s="3"/>
      <c r="Q29" s="3"/>
      <c r="R29" s="30">
        <v>2018</v>
      </c>
      <c r="S29" s="3">
        <v>2019</v>
      </c>
      <c r="T29" s="3">
        <v>2020</v>
      </c>
      <c r="U29" s="3">
        <v>2021</v>
      </c>
      <c r="V29" s="31">
        <v>2022</v>
      </c>
      <c r="W29" s="3" t="str">
        <f t="shared" ref="W29" si="70">W16</f>
        <v>Total for 
2018-2022</v>
      </c>
      <c r="X29" s="30" t="s">
        <v>100</v>
      </c>
      <c r="Y29" s="32"/>
      <c r="Z29" s="10"/>
      <c r="AA29" s="11"/>
      <c r="AB29" s="3"/>
      <c r="AC29" s="3"/>
      <c r="AD29" s="30">
        <f t="shared" ref="AD29:AI29" si="71">AD16</f>
        <v>2018</v>
      </c>
      <c r="AE29" s="3">
        <f t="shared" si="71"/>
        <v>2019</v>
      </c>
      <c r="AF29" s="3">
        <f t="shared" si="71"/>
        <v>2020</v>
      </c>
      <c r="AG29" s="3">
        <f t="shared" si="71"/>
        <v>2021</v>
      </c>
      <c r="AH29" s="31">
        <f t="shared" si="71"/>
        <v>2022</v>
      </c>
      <c r="AI29" s="3" t="str">
        <f t="shared" si="71"/>
        <v>Total for 
2018-2022</v>
      </c>
      <c r="AJ29" s="32"/>
      <c r="AK29" s="10"/>
      <c r="AL29" s="11"/>
      <c r="AM29" s="3"/>
      <c r="AN29" s="3"/>
      <c r="AO29" s="30">
        <f t="shared" ref="AO29:AT29" si="72">AO16</f>
        <v>2018</v>
      </c>
      <c r="AP29" s="3">
        <f t="shared" si="72"/>
        <v>2019</v>
      </c>
      <c r="AQ29" s="3">
        <f t="shared" si="72"/>
        <v>2020</v>
      </c>
      <c r="AR29" s="3">
        <f t="shared" si="72"/>
        <v>2021</v>
      </c>
      <c r="AS29" s="31">
        <f t="shared" si="72"/>
        <v>2022</v>
      </c>
      <c r="AT29" s="3" t="str">
        <f t="shared" si="72"/>
        <v>Total for 
2018-2022</v>
      </c>
      <c r="AU29" s="66"/>
      <c r="AV29" s="10"/>
      <c r="AW29" s="11"/>
      <c r="AX29" s="3"/>
      <c r="AY29" s="3"/>
      <c r="AZ29" s="30">
        <f t="shared" ref="AZ29:BE29" si="73">AZ16</f>
        <v>2018</v>
      </c>
      <c r="BA29" s="3">
        <f t="shared" si="73"/>
        <v>2019</v>
      </c>
      <c r="BB29" s="3">
        <f t="shared" si="73"/>
        <v>2020</v>
      </c>
      <c r="BC29" s="3">
        <f t="shared" si="73"/>
        <v>2021</v>
      </c>
      <c r="BD29" s="31">
        <f t="shared" si="73"/>
        <v>2022</v>
      </c>
      <c r="BE29" s="3" t="str">
        <f t="shared" si="73"/>
        <v>Total for 
2018-2022</v>
      </c>
      <c r="BF29" s="32"/>
    </row>
    <row r="30" spans="1:58" s="67" customFormat="1" ht="18" customHeight="1" x14ac:dyDescent="0.2">
      <c r="A30" s="66"/>
      <c r="B30" s="29" t="str">
        <f>'Capex Model Category Index'!B18</f>
        <v>11</v>
      </c>
      <c r="C30" s="29" t="str">
        <f>'Capex Model Category Index'!C18</f>
        <v>Service Renewal - Non AMRP</v>
      </c>
      <c r="D30" s="15"/>
      <c r="E30" s="15"/>
      <c r="F30" s="627" t="s">
        <v>445</v>
      </c>
      <c r="G30" s="628" t="s">
        <v>445</v>
      </c>
      <c r="H30" s="628" t="s">
        <v>445</v>
      </c>
      <c r="I30" s="628" t="s">
        <v>445</v>
      </c>
      <c r="J30" s="629" t="s">
        <v>445</v>
      </c>
      <c r="K30" s="61">
        <v>3554.8</v>
      </c>
      <c r="L30" s="409" t="s">
        <v>399</v>
      </c>
      <c r="M30" s="32"/>
      <c r="N30" s="510" t="str">
        <f>B30</f>
        <v>11</v>
      </c>
      <c r="O30" s="510" t="str">
        <f>C30</f>
        <v>Service Renewal - Non AMRP</v>
      </c>
      <c r="P30" s="511"/>
      <c r="Q30" s="511"/>
      <c r="R30" s="636" t="s">
        <v>445</v>
      </c>
      <c r="S30" s="637" t="s">
        <v>445</v>
      </c>
      <c r="T30" s="637" t="s">
        <v>445</v>
      </c>
      <c r="U30" s="637" t="s">
        <v>445</v>
      </c>
      <c r="V30" s="637" t="s">
        <v>445</v>
      </c>
      <c r="W30" s="511"/>
      <c r="X30" s="512" t="s">
        <v>373</v>
      </c>
      <c r="Y30" s="32"/>
      <c r="Z30" s="29" t="str">
        <f>N30</f>
        <v>11</v>
      </c>
      <c r="AA30" s="29" t="str">
        <f>O30</f>
        <v>Service Renewal - Non AMRP</v>
      </c>
      <c r="AB30" s="212"/>
      <c r="AC30" s="212"/>
      <c r="AD30" s="215">
        <v>0.72848043754461511</v>
      </c>
      <c r="AE30" s="216">
        <v>0.72848043754461511</v>
      </c>
      <c r="AF30" s="216">
        <v>0.72848043754461511</v>
      </c>
      <c r="AG30" s="216">
        <v>0.72848043754461511</v>
      </c>
      <c r="AH30" s="217">
        <v>0.72848043754461511</v>
      </c>
      <c r="AI30" s="212">
        <f>SUM(AD30:AH30)</f>
        <v>3.6424021877230754</v>
      </c>
      <c r="AJ30" s="32"/>
      <c r="AK30" s="29" t="str">
        <f>Z30</f>
        <v>11</v>
      </c>
      <c r="AL30" s="29" t="str">
        <f>AA30</f>
        <v>Service Renewal - Non AMRP</v>
      </c>
      <c r="AM30" s="212"/>
      <c r="AN30" s="212"/>
      <c r="AO30" s="215">
        <f>AD30*(1+'Real Cost Escalation'!E$18)</f>
        <v>0.73338451012296435</v>
      </c>
      <c r="AP30" s="216">
        <f>AE30*(1+'Real Cost Escalation'!F$18)</f>
        <v>0.73757628727539126</v>
      </c>
      <c r="AQ30" s="216">
        <f>AF30*(1+'Real Cost Escalation'!G$18)</f>
        <v>0.74278565662922158</v>
      </c>
      <c r="AR30" s="216">
        <f>AG30*(1+'Real Cost Escalation'!H$18)</f>
        <v>0.74922714298932391</v>
      </c>
      <c r="AS30" s="217">
        <f>AH30*(1+'Real Cost Escalation'!I$18)</f>
        <v>0.75650420314421918</v>
      </c>
      <c r="AT30" s="212">
        <f>SUM(AO30:AS30)</f>
        <v>3.7194778001611204</v>
      </c>
      <c r="AU30" s="66"/>
      <c r="AV30" s="29" t="str">
        <f>AK30</f>
        <v>11</v>
      </c>
      <c r="AW30" s="29" t="str">
        <f>AL30</f>
        <v>Service Renewal - Non AMRP</v>
      </c>
      <c r="AX30" s="360"/>
      <c r="AY30" s="360"/>
      <c r="AZ30" s="215">
        <f t="shared" ref="AZ30" si="74">AO30-AD30</f>
        <v>4.9040725783492389E-3</v>
      </c>
      <c r="BA30" s="216">
        <f t="shared" ref="BA30" si="75">AP30-AE30</f>
        <v>9.095849730776151E-3</v>
      </c>
      <c r="BB30" s="216">
        <f t="shared" ref="BB30" si="76">AQ30-AF30</f>
        <v>1.4305219084606469E-2</v>
      </c>
      <c r="BC30" s="216">
        <f t="shared" ref="BC30" si="77">AR30-AG30</f>
        <v>2.0746705444708802E-2</v>
      </c>
      <c r="BD30" s="217">
        <f t="shared" ref="BD30" si="78">AS30-AH30</f>
        <v>2.8023765599604067E-2</v>
      </c>
      <c r="BE30" s="212">
        <f>SUM(AZ30:BD30)</f>
        <v>7.7075612438044727E-2</v>
      </c>
      <c r="BF30" s="32"/>
    </row>
    <row r="31" spans="1:58" s="67" customFormat="1" ht="18" customHeight="1" thickBot="1" x14ac:dyDescent="0.25">
      <c r="A31" s="66"/>
      <c r="B31" s="24"/>
      <c r="C31" s="24" t="s">
        <v>170</v>
      </c>
      <c r="D31" s="22"/>
      <c r="E31" s="22"/>
      <c r="F31" s="21">
        <v>710.96</v>
      </c>
      <c r="G31" s="22">
        <v>710.96</v>
      </c>
      <c r="H31" s="22">
        <v>710.96</v>
      </c>
      <c r="I31" s="22">
        <v>710.96</v>
      </c>
      <c r="J31" s="23">
        <v>710.96</v>
      </c>
      <c r="K31" s="58">
        <v>3554.8</v>
      </c>
      <c r="L31" s="26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/>
      <c r="AA31" s="24" t="s">
        <v>170</v>
      </c>
      <c r="AB31" s="210"/>
      <c r="AC31" s="210"/>
      <c r="AD31" s="209">
        <f t="shared" ref="AD31:AI31" si="79">SUM(AD30:AD30)</f>
        <v>0.72848043754461511</v>
      </c>
      <c r="AE31" s="210">
        <f t="shared" si="79"/>
        <v>0.72848043754461511</v>
      </c>
      <c r="AF31" s="210">
        <f t="shared" si="79"/>
        <v>0.72848043754461511</v>
      </c>
      <c r="AG31" s="210">
        <f t="shared" si="79"/>
        <v>0.72848043754461511</v>
      </c>
      <c r="AH31" s="211">
        <f t="shared" si="79"/>
        <v>0.72848043754461511</v>
      </c>
      <c r="AI31" s="210">
        <f t="shared" si="79"/>
        <v>3.6424021877230754</v>
      </c>
      <c r="AJ31" s="32"/>
      <c r="AK31" s="24"/>
      <c r="AL31" s="24" t="s">
        <v>170</v>
      </c>
      <c r="AM31" s="210"/>
      <c r="AN31" s="210"/>
      <c r="AO31" s="209">
        <f t="shared" ref="AO31:AT31" si="80">SUM(AO30:AO30)</f>
        <v>0.73338451012296435</v>
      </c>
      <c r="AP31" s="210">
        <f t="shared" si="80"/>
        <v>0.73757628727539126</v>
      </c>
      <c r="AQ31" s="210">
        <f t="shared" si="80"/>
        <v>0.74278565662922158</v>
      </c>
      <c r="AR31" s="210">
        <f t="shared" si="80"/>
        <v>0.74922714298932391</v>
      </c>
      <c r="AS31" s="211">
        <f t="shared" si="80"/>
        <v>0.75650420314421918</v>
      </c>
      <c r="AT31" s="210">
        <f t="shared" si="80"/>
        <v>3.7194778001611204</v>
      </c>
      <c r="AU31" s="66"/>
      <c r="AV31" s="24"/>
      <c r="AW31" s="24" t="s">
        <v>170</v>
      </c>
      <c r="AX31" s="266"/>
      <c r="AY31" s="266"/>
      <c r="AZ31" s="209">
        <f t="shared" ref="AZ31:BE31" si="81">SUM(AZ30:AZ30)</f>
        <v>4.9040725783492389E-3</v>
      </c>
      <c r="BA31" s="210">
        <f t="shared" si="81"/>
        <v>9.095849730776151E-3</v>
      </c>
      <c r="BB31" s="210">
        <f t="shared" si="81"/>
        <v>1.4305219084606469E-2</v>
      </c>
      <c r="BC31" s="210">
        <f t="shared" si="81"/>
        <v>2.0746705444708802E-2</v>
      </c>
      <c r="BD31" s="211">
        <f t="shared" si="81"/>
        <v>2.8023765599604067E-2</v>
      </c>
      <c r="BE31" s="210">
        <f t="shared" si="81"/>
        <v>7.7075612438044727E-2</v>
      </c>
      <c r="BF31" s="32"/>
    </row>
    <row r="32" spans="1:58" s="67" customFormat="1" ht="18" customHeight="1" x14ac:dyDescent="0.2">
      <c r="A32" s="66"/>
      <c r="B32" s="72"/>
      <c r="C32" s="73"/>
      <c r="D32" s="12"/>
      <c r="E32" s="12"/>
      <c r="F32" s="12"/>
      <c r="G32" s="12"/>
      <c r="H32" s="12"/>
      <c r="I32" s="12"/>
      <c r="J32" s="12"/>
      <c r="K32" s="12"/>
      <c r="L32" s="12"/>
      <c r="M32" s="32"/>
      <c r="N32" s="72"/>
      <c r="O32" s="73"/>
      <c r="P32" s="12"/>
      <c r="Q32" s="12"/>
      <c r="R32" s="12"/>
      <c r="S32" s="12"/>
      <c r="T32" s="12"/>
      <c r="U32" s="12"/>
      <c r="V32" s="12"/>
      <c r="W32" s="12"/>
      <c r="X32" s="12"/>
      <c r="Y32" s="66"/>
      <c r="Z32" s="72"/>
      <c r="AA32" s="73"/>
      <c r="AB32" s="12"/>
      <c r="AC32" s="12"/>
      <c r="AD32" s="12"/>
      <c r="AE32" s="12"/>
      <c r="AF32" s="12"/>
      <c r="AG32" s="12"/>
      <c r="AH32" s="12"/>
      <c r="AI32" s="12"/>
      <c r="AJ32" s="32"/>
      <c r="AK32" s="72"/>
      <c r="AL32" s="73"/>
      <c r="AM32" s="12"/>
      <c r="AN32" s="12"/>
      <c r="AO32" s="12"/>
      <c r="AP32" s="12"/>
      <c r="AQ32" s="12"/>
      <c r="AR32" s="12"/>
      <c r="AS32" s="12"/>
      <c r="AT32" s="12"/>
      <c r="AU32" s="66"/>
      <c r="AV32" s="72"/>
      <c r="AW32" s="73"/>
      <c r="AX32" s="12"/>
      <c r="AY32" s="12"/>
      <c r="AZ32" s="12"/>
      <c r="BA32" s="12"/>
      <c r="BB32" s="12"/>
      <c r="BC32" s="12"/>
      <c r="BD32" s="12"/>
      <c r="BE32" s="12"/>
      <c r="BF32" s="32"/>
    </row>
    <row r="33" spans="1:58" s="71" customFormat="1" ht="24" customHeight="1" x14ac:dyDescent="0.2">
      <c r="A33" s="69"/>
      <c r="B33" s="354" t="s">
        <v>188</v>
      </c>
      <c r="C33" s="354"/>
      <c r="D33" s="355"/>
      <c r="E33" s="355"/>
      <c r="F33" s="355"/>
      <c r="G33" s="355"/>
      <c r="H33" s="355"/>
      <c r="I33" s="355"/>
      <c r="J33" s="355"/>
      <c r="K33" s="355"/>
      <c r="L33" s="355"/>
      <c r="M33" s="32"/>
      <c r="N33" s="354" t="s">
        <v>417</v>
      </c>
      <c r="O33" s="354"/>
      <c r="P33" s="355"/>
      <c r="Q33" s="355"/>
      <c r="R33" s="355"/>
      <c r="S33" s="355"/>
      <c r="T33" s="355"/>
      <c r="U33" s="355"/>
      <c r="V33" s="355"/>
      <c r="W33" s="355"/>
      <c r="X33" s="355"/>
      <c r="Y33" s="70"/>
      <c r="Z33" s="354" t="s">
        <v>417</v>
      </c>
      <c r="AA33" s="354"/>
      <c r="AB33" s="355"/>
      <c r="AC33" s="355"/>
      <c r="AD33" s="355"/>
      <c r="AE33" s="355"/>
      <c r="AF33" s="355"/>
      <c r="AG33" s="355"/>
      <c r="AH33" s="355"/>
      <c r="AI33" s="355"/>
      <c r="AJ33" s="32"/>
      <c r="AK33" s="354" t="s">
        <v>429</v>
      </c>
      <c r="AL33" s="354"/>
      <c r="AM33" s="355"/>
      <c r="AN33" s="355"/>
      <c r="AO33" s="355"/>
      <c r="AP33" s="355"/>
      <c r="AQ33" s="355"/>
      <c r="AR33" s="355"/>
      <c r="AS33" s="355"/>
      <c r="AT33" s="355"/>
      <c r="AU33" s="66"/>
      <c r="AV33" s="354" t="s">
        <v>436</v>
      </c>
      <c r="AW33" s="354"/>
      <c r="AX33" s="355"/>
      <c r="AY33" s="355"/>
      <c r="AZ33" s="355"/>
      <c r="BA33" s="355"/>
      <c r="BB33" s="355"/>
      <c r="BC33" s="355"/>
      <c r="BD33" s="355"/>
      <c r="BE33" s="355"/>
      <c r="BF33" s="32"/>
    </row>
    <row r="34" spans="1:58" x14ac:dyDescent="0.2">
      <c r="A34" s="66"/>
      <c r="B34" s="72"/>
      <c r="C34" s="73"/>
      <c r="D34" s="12"/>
      <c r="E34" s="12"/>
      <c r="F34" s="12"/>
      <c r="G34" s="12"/>
      <c r="H34" s="12"/>
      <c r="I34" s="12"/>
      <c r="J34" s="12"/>
      <c r="K34" s="12"/>
      <c r="L34" s="12"/>
      <c r="M34" s="32"/>
      <c r="N34" s="72"/>
      <c r="O34" s="73"/>
      <c r="P34" s="12"/>
      <c r="Q34" s="12"/>
      <c r="R34" s="12"/>
      <c r="S34" s="12"/>
      <c r="T34" s="12"/>
      <c r="U34" s="12"/>
      <c r="V34" s="12"/>
      <c r="W34" s="12"/>
      <c r="X34" s="12"/>
      <c r="Y34" s="32"/>
      <c r="Z34" s="72"/>
      <c r="AA34" s="73"/>
      <c r="AB34" s="12"/>
      <c r="AC34" s="12"/>
      <c r="AD34" s="12"/>
      <c r="AE34" s="12"/>
      <c r="AF34" s="12"/>
      <c r="AG34" s="12"/>
      <c r="AH34" s="12"/>
      <c r="AI34" s="12"/>
      <c r="AJ34" s="32"/>
      <c r="AK34" s="72"/>
      <c r="AL34" s="73"/>
      <c r="AM34" s="12"/>
      <c r="AN34" s="12"/>
      <c r="AO34" s="12"/>
      <c r="AP34" s="12"/>
      <c r="AQ34" s="12"/>
      <c r="AR34" s="12"/>
      <c r="AS34" s="12"/>
      <c r="AT34" s="12"/>
      <c r="AU34" s="66"/>
      <c r="AV34" s="72"/>
      <c r="AW34" s="73"/>
      <c r="AX34" s="12"/>
      <c r="AY34" s="12"/>
      <c r="AZ34" s="12"/>
      <c r="BA34" s="12"/>
      <c r="BB34" s="12"/>
      <c r="BC34" s="12"/>
      <c r="BD34" s="12"/>
      <c r="BE34" s="12"/>
      <c r="BF34" s="32"/>
    </row>
    <row r="35" spans="1:58" ht="22.5" x14ac:dyDescent="0.2">
      <c r="A35" s="66"/>
      <c r="B35" s="10" t="s">
        <v>176</v>
      </c>
      <c r="C35" s="11"/>
      <c r="D35" s="3"/>
      <c r="E35" s="4"/>
      <c r="F35" s="7">
        <v>2018</v>
      </c>
      <c r="G35" s="8">
        <v>2019</v>
      </c>
      <c r="H35" s="8">
        <v>2020</v>
      </c>
      <c r="I35" s="8">
        <v>2021</v>
      </c>
      <c r="J35" s="9">
        <v>2022</v>
      </c>
      <c r="K35" s="30" t="s">
        <v>73</v>
      </c>
      <c r="L35" s="30" t="s">
        <v>100</v>
      </c>
      <c r="M35" s="32"/>
      <c r="N35" s="10" t="s">
        <v>175</v>
      </c>
      <c r="O35" s="11"/>
      <c r="P35" s="3"/>
      <c r="Q35" s="4"/>
      <c r="R35" s="5">
        <v>2018</v>
      </c>
      <c r="S35" s="4">
        <v>2019</v>
      </c>
      <c r="T35" s="4">
        <v>2020</v>
      </c>
      <c r="U35" s="4">
        <v>2021</v>
      </c>
      <c r="V35" s="6">
        <v>2022</v>
      </c>
      <c r="W35" s="30" t="str">
        <f t="shared" ref="W35" si="82">K35</f>
        <v>Total for 
2018-2022</v>
      </c>
      <c r="X35" s="30" t="s">
        <v>100</v>
      </c>
      <c r="Y35" s="32"/>
      <c r="Z35" s="10"/>
      <c r="AA35" s="11"/>
      <c r="AB35" s="3"/>
      <c r="AC35" s="4"/>
      <c r="AD35" s="5">
        <f t="shared" ref="AD35" si="83">R35</f>
        <v>2018</v>
      </c>
      <c r="AE35" s="4">
        <f t="shared" ref="AE35" si="84">S35</f>
        <v>2019</v>
      </c>
      <c r="AF35" s="4">
        <f t="shared" ref="AF35" si="85">T35</f>
        <v>2020</v>
      </c>
      <c r="AG35" s="4">
        <f t="shared" ref="AG35" si="86">U35</f>
        <v>2021</v>
      </c>
      <c r="AH35" s="6">
        <f t="shared" ref="AH35:AI35" si="87">V35</f>
        <v>2022</v>
      </c>
      <c r="AI35" s="3" t="str">
        <f t="shared" si="87"/>
        <v>Total for 
2018-2022</v>
      </c>
      <c r="AJ35" s="32"/>
      <c r="AK35" s="10"/>
      <c r="AL35" s="11"/>
      <c r="AM35" s="3"/>
      <c r="AN35" s="4"/>
      <c r="AO35" s="5">
        <f t="shared" ref="AO35:AT35" si="88">AD35</f>
        <v>2018</v>
      </c>
      <c r="AP35" s="4">
        <f t="shared" si="88"/>
        <v>2019</v>
      </c>
      <c r="AQ35" s="4">
        <f t="shared" si="88"/>
        <v>2020</v>
      </c>
      <c r="AR35" s="4">
        <f t="shared" si="88"/>
        <v>2021</v>
      </c>
      <c r="AS35" s="6">
        <f t="shared" si="88"/>
        <v>2022</v>
      </c>
      <c r="AT35" s="3" t="str">
        <f t="shared" si="88"/>
        <v>Total for 
2018-2022</v>
      </c>
      <c r="AU35" s="66"/>
      <c r="AV35" s="10"/>
      <c r="AW35" s="11"/>
      <c r="AX35" s="3"/>
      <c r="AY35" s="4"/>
      <c r="AZ35" s="5">
        <f t="shared" ref="AZ35:BE35" si="89">AO35</f>
        <v>2018</v>
      </c>
      <c r="BA35" s="4">
        <f t="shared" si="89"/>
        <v>2019</v>
      </c>
      <c r="BB35" s="4">
        <f t="shared" si="89"/>
        <v>2020</v>
      </c>
      <c r="BC35" s="4">
        <f t="shared" si="89"/>
        <v>2021</v>
      </c>
      <c r="BD35" s="6">
        <f t="shared" si="89"/>
        <v>2022</v>
      </c>
      <c r="BE35" s="3" t="str">
        <f t="shared" si="89"/>
        <v>Total for 
2018-2022</v>
      </c>
      <c r="BF35" s="32"/>
    </row>
    <row r="36" spans="1:58" ht="18" customHeight="1" x14ac:dyDescent="0.2">
      <c r="A36" s="66"/>
      <c r="B36" s="29" t="str">
        <f>'Capex Model Category Index'!B19</f>
        <v>12</v>
      </c>
      <c r="C36" s="29" t="str">
        <f>'Capex Model Category Index'!C19</f>
        <v>New Main - Estate</v>
      </c>
      <c r="D36" s="15"/>
      <c r="E36" s="15"/>
      <c r="F36" s="624" t="s">
        <v>445</v>
      </c>
      <c r="G36" s="625" t="s">
        <v>445</v>
      </c>
      <c r="H36" s="625" t="s">
        <v>445</v>
      </c>
      <c r="I36" s="625" t="s">
        <v>445</v>
      </c>
      <c r="J36" s="625" t="s">
        <v>445</v>
      </c>
      <c r="K36" s="16">
        <v>634602.88861465175</v>
      </c>
      <c r="L36" s="409" t="s">
        <v>311</v>
      </c>
      <c r="M36" s="32"/>
      <c r="N36" s="29" t="str">
        <f t="shared" ref="N36:O38" si="90">B36</f>
        <v>12</v>
      </c>
      <c r="O36" s="29" t="str">
        <f t="shared" si="90"/>
        <v>New Main - Estate</v>
      </c>
      <c r="P36" s="41"/>
      <c r="Q36" s="41"/>
      <c r="R36" s="633" t="s">
        <v>445</v>
      </c>
      <c r="S36" s="634" t="s">
        <v>445</v>
      </c>
      <c r="T36" s="634" t="s">
        <v>445</v>
      </c>
      <c r="U36" s="634" t="s">
        <v>445</v>
      </c>
      <c r="V36" s="634" t="s">
        <v>445</v>
      </c>
      <c r="W36" s="42"/>
      <c r="X36" s="409" t="s">
        <v>373</v>
      </c>
      <c r="Y36" s="32"/>
      <c r="Z36" s="29" t="str">
        <f>B36</f>
        <v>12</v>
      </c>
      <c r="AA36" s="29" t="str">
        <f>C36</f>
        <v>New Main - Estate</v>
      </c>
      <c r="AB36" s="212"/>
      <c r="AC36" s="212"/>
      <c r="AD36" s="207">
        <v>6.5968803282294282</v>
      </c>
      <c r="AE36" s="208">
        <v>6.2208706436749539</v>
      </c>
      <c r="AF36" s="208">
        <v>6.2082949905360012</v>
      </c>
      <c r="AG36" s="208">
        <v>6.3451718928681222</v>
      </c>
      <c r="AH36" s="56">
        <v>6.4526038883800965</v>
      </c>
      <c r="AI36" s="212">
        <v>31.823821743688601</v>
      </c>
      <c r="AJ36" s="32"/>
      <c r="AK36" s="29" t="str">
        <f t="shared" ref="AK36:AL38" si="91">N36</f>
        <v>12</v>
      </c>
      <c r="AL36" s="29" t="str">
        <f t="shared" si="91"/>
        <v>New Main - Estate</v>
      </c>
      <c r="AM36" s="212"/>
      <c r="AN36" s="212"/>
      <c r="AO36" s="207">
        <f>AD36*(1+'Real Cost Escalation'!E$18)</f>
        <v>6.6412900038404361</v>
      </c>
      <c r="AP36" s="208">
        <f>AE36*(1+'Real Cost Escalation'!F$18)</f>
        <v>6.2985448016251437</v>
      </c>
      <c r="AQ36" s="208">
        <f>AF36*(1+'Real Cost Escalation'!G$18)</f>
        <v>6.3302076945762424</v>
      </c>
      <c r="AR36" s="208">
        <f>AG36*(1+'Real Cost Escalation'!H$18)</f>
        <v>6.525878752617281</v>
      </c>
      <c r="AS36" s="56">
        <f>AH36*(1+'Real Cost Escalation'!I$18)</f>
        <v>6.7008277933136906</v>
      </c>
      <c r="AT36" s="212">
        <f>SUM(AO36:AS36)</f>
        <v>32.496749045972791</v>
      </c>
      <c r="AU36" s="66"/>
      <c r="AV36" s="29" t="str">
        <f t="shared" ref="AV36:AW38" si="92">Z36</f>
        <v>12</v>
      </c>
      <c r="AW36" s="29" t="str">
        <f t="shared" si="92"/>
        <v>New Main - Estate</v>
      </c>
      <c r="AX36" s="360"/>
      <c r="AY36" s="360"/>
      <c r="AZ36" s="207">
        <f t="shared" ref="AZ36:BD38" si="93">AO36-AD36</f>
        <v>4.4409675611007948E-2</v>
      </c>
      <c r="BA36" s="208">
        <f t="shared" si="93"/>
        <v>7.7674157950189837E-2</v>
      </c>
      <c r="BB36" s="208">
        <f t="shared" si="93"/>
        <v>0.12191270404024124</v>
      </c>
      <c r="BC36" s="208">
        <f t="shared" si="93"/>
        <v>0.18070685974915879</v>
      </c>
      <c r="BD36" s="56">
        <f t="shared" si="93"/>
        <v>0.24822390493359414</v>
      </c>
      <c r="BE36" s="212">
        <f t="shared" ref="BE36:BE38" si="94">SUM(AZ36:BD36)</f>
        <v>0.67292730228419195</v>
      </c>
      <c r="BF36" s="32"/>
    </row>
    <row r="37" spans="1:58" ht="18" customHeight="1" x14ac:dyDescent="0.2">
      <c r="A37" s="66"/>
      <c r="B37" s="29" t="str">
        <f>'Capex Model Category Index'!B20</f>
        <v>13</v>
      </c>
      <c r="C37" s="29" t="str">
        <f>'Capex Model Category Index'!C20</f>
        <v>New Main - Existing Domestic</v>
      </c>
      <c r="D37" s="15"/>
      <c r="E37" s="15"/>
      <c r="F37" s="627" t="s">
        <v>445</v>
      </c>
      <c r="G37" s="628" t="s">
        <v>445</v>
      </c>
      <c r="H37" s="628" t="s">
        <v>445</v>
      </c>
      <c r="I37" s="628" t="s">
        <v>445</v>
      </c>
      <c r="J37" s="628" t="s">
        <v>445</v>
      </c>
      <c r="K37" s="16">
        <v>40649.710648778491</v>
      </c>
      <c r="L37" s="409" t="s">
        <v>311</v>
      </c>
      <c r="M37" s="32"/>
      <c r="N37" s="29" t="str">
        <f t="shared" si="90"/>
        <v>13</v>
      </c>
      <c r="O37" s="29" t="str">
        <f t="shared" si="90"/>
        <v>New Main - Existing Domestic</v>
      </c>
      <c r="P37" s="41"/>
      <c r="Q37" s="41"/>
      <c r="R37" s="633" t="s">
        <v>445</v>
      </c>
      <c r="S37" s="634" t="s">
        <v>445</v>
      </c>
      <c r="T37" s="634" t="s">
        <v>445</v>
      </c>
      <c r="U37" s="634" t="s">
        <v>445</v>
      </c>
      <c r="V37" s="634" t="s">
        <v>445</v>
      </c>
      <c r="W37" s="42"/>
      <c r="X37" s="409" t="s">
        <v>373</v>
      </c>
      <c r="Y37" s="32"/>
      <c r="Z37" s="29" t="str">
        <f t="shared" ref="Z37:Z38" si="95">B37</f>
        <v>13</v>
      </c>
      <c r="AA37" s="29" t="str">
        <f t="shared" ref="AA37:AA38" si="96">C37</f>
        <v>New Main - Existing Domestic</v>
      </c>
      <c r="AB37" s="212"/>
      <c r="AC37" s="212"/>
      <c r="AD37" s="207">
        <v>0.90382159641230486</v>
      </c>
      <c r="AE37" s="208">
        <v>0.85230547720877126</v>
      </c>
      <c r="AF37" s="208">
        <v>0.85058251933619378</v>
      </c>
      <c r="AG37" s="208">
        <v>0.86933567146605706</v>
      </c>
      <c r="AH37" s="56">
        <v>0.88405465269024008</v>
      </c>
      <c r="AI37" s="212">
        <v>4.3600999171135673</v>
      </c>
      <c r="AJ37" s="32"/>
      <c r="AK37" s="29" t="str">
        <f t="shared" si="91"/>
        <v>13</v>
      </c>
      <c r="AL37" s="29" t="str">
        <f t="shared" si="91"/>
        <v>New Main - Existing Domestic</v>
      </c>
      <c r="AM37" s="212"/>
      <c r="AN37" s="212"/>
      <c r="AO37" s="207">
        <f>AD37*(1+'Real Cost Escalation'!E$18)</f>
        <v>0.90990605177753758</v>
      </c>
      <c r="AP37" s="208">
        <f>AE37*(1+'Real Cost Escalation'!F$18)</f>
        <v>0.86294741369170336</v>
      </c>
      <c r="AQ37" s="208">
        <f>AF37*(1+'Real Cost Escalation'!G$18)</f>
        <v>0.86728546516910165</v>
      </c>
      <c r="AR37" s="208">
        <f>AG37*(1+'Real Cost Escalation'!H$18)</f>
        <v>0.89409385326332724</v>
      </c>
      <c r="AS37" s="56">
        <f>AH37*(1+'Real Cost Escalation'!I$18)</f>
        <v>0.91806317109017765</v>
      </c>
      <c r="AT37" s="212">
        <f>SUM(AO37:AS37)</f>
        <v>4.4522959549918477</v>
      </c>
      <c r="AU37" s="66"/>
      <c r="AV37" s="29" t="str">
        <f t="shared" si="92"/>
        <v>13</v>
      </c>
      <c r="AW37" s="29" t="str">
        <f t="shared" si="92"/>
        <v>New Main - Existing Domestic</v>
      </c>
      <c r="AX37" s="360"/>
      <c r="AY37" s="360"/>
      <c r="AZ37" s="207">
        <f t="shared" si="93"/>
        <v>6.0844553652327216E-3</v>
      </c>
      <c r="BA37" s="208">
        <f t="shared" si="93"/>
        <v>1.0641936482932102E-2</v>
      </c>
      <c r="BB37" s="208">
        <f t="shared" si="93"/>
        <v>1.6702945832907878E-2</v>
      </c>
      <c r="BC37" s="208">
        <f t="shared" si="93"/>
        <v>2.4758181797270185E-2</v>
      </c>
      <c r="BD37" s="56">
        <f t="shared" si="93"/>
        <v>3.4008518399937571E-2</v>
      </c>
      <c r="BE37" s="212">
        <f t="shared" si="94"/>
        <v>9.2196037878280457E-2</v>
      </c>
      <c r="BF37" s="32"/>
    </row>
    <row r="38" spans="1:58" ht="18" customHeight="1" x14ac:dyDescent="0.2">
      <c r="A38" s="66"/>
      <c r="B38" s="29" t="str">
        <f>'Capex Model Category Index'!B21</f>
        <v>14</v>
      </c>
      <c r="C38" s="29" t="str">
        <f>'Capex Model Category Index'!C21</f>
        <v>New Main - I&amp;C&lt;10TJ</v>
      </c>
      <c r="D38" s="15"/>
      <c r="E38" s="15"/>
      <c r="F38" s="627" t="s">
        <v>445</v>
      </c>
      <c r="G38" s="628" t="s">
        <v>445</v>
      </c>
      <c r="H38" s="628" t="s">
        <v>445</v>
      </c>
      <c r="I38" s="628" t="s">
        <v>445</v>
      </c>
      <c r="J38" s="629" t="s">
        <v>445</v>
      </c>
      <c r="K38" s="16">
        <v>27299.822057166755</v>
      </c>
      <c r="L38" s="409" t="s">
        <v>311</v>
      </c>
      <c r="M38" s="32"/>
      <c r="N38" s="359" t="str">
        <f t="shared" si="90"/>
        <v>14</v>
      </c>
      <c r="O38" s="359" t="str">
        <f t="shared" si="90"/>
        <v>New Main - I&amp;C&lt;10TJ</v>
      </c>
      <c r="P38" s="507"/>
      <c r="Q38" s="507"/>
      <c r="R38" s="635" t="s">
        <v>445</v>
      </c>
      <c r="S38" s="634" t="s">
        <v>445</v>
      </c>
      <c r="T38" s="634" t="s">
        <v>445</v>
      </c>
      <c r="U38" s="634" t="s">
        <v>445</v>
      </c>
      <c r="V38" s="634" t="s">
        <v>445</v>
      </c>
      <c r="W38" s="508"/>
      <c r="X38" s="509" t="s">
        <v>373</v>
      </c>
      <c r="Y38" s="32"/>
      <c r="Z38" s="29" t="str">
        <f t="shared" si="95"/>
        <v>14</v>
      </c>
      <c r="AA38" s="29" t="str">
        <f t="shared" si="96"/>
        <v>New Main - I&amp;C&lt;10TJ</v>
      </c>
      <c r="AB38" s="212"/>
      <c r="AC38" s="212"/>
      <c r="AD38" s="207">
        <v>2.0815432437525372</v>
      </c>
      <c r="AE38" s="208">
        <v>2.0938486631949043</v>
      </c>
      <c r="AF38" s="208">
        <v>2.1062387563858218</v>
      </c>
      <c r="AG38" s="208">
        <v>2.1187143759932816</v>
      </c>
      <c r="AH38" s="56">
        <v>2.1312763870133491</v>
      </c>
      <c r="AI38" s="212">
        <v>10.531621426339894</v>
      </c>
      <c r="AJ38" s="32"/>
      <c r="AK38" s="29" t="str">
        <f t="shared" si="91"/>
        <v>14</v>
      </c>
      <c r="AL38" s="29" t="str">
        <f t="shared" si="91"/>
        <v>New Main - I&amp;C&lt;10TJ</v>
      </c>
      <c r="AM38" s="212"/>
      <c r="AN38" s="212"/>
      <c r="AO38" s="207">
        <f>AD38*(1+'Real Cost Escalation'!E$18)</f>
        <v>2.095556027921103</v>
      </c>
      <c r="AP38" s="208">
        <f>AE38*(1+'Real Cost Escalation'!F$18)</f>
        <v>2.1199925811614602</v>
      </c>
      <c r="AQ38" s="208">
        <f>AF38*(1+'Real Cost Escalation'!G$18)</f>
        <v>2.1475991077442518</v>
      </c>
      <c r="AR38" s="208">
        <f>AG38*(1+'Real Cost Escalation'!H$18)</f>
        <v>2.1790541474061698</v>
      </c>
      <c r="AS38" s="56">
        <f>AH38*(1+'Real Cost Escalation'!I$18)</f>
        <v>2.2132640243189496</v>
      </c>
      <c r="AT38" s="212">
        <f>SUM(AO38:AS38)</f>
        <v>10.755465888551933</v>
      </c>
      <c r="AU38" s="66"/>
      <c r="AV38" s="29" t="str">
        <f t="shared" si="92"/>
        <v>14</v>
      </c>
      <c r="AW38" s="29" t="str">
        <f t="shared" si="92"/>
        <v>New Main - I&amp;C&lt;10TJ</v>
      </c>
      <c r="AX38" s="360"/>
      <c r="AY38" s="360"/>
      <c r="AZ38" s="207">
        <f t="shared" si="93"/>
        <v>1.4012784168565773E-2</v>
      </c>
      <c r="BA38" s="208">
        <f t="shared" si="93"/>
        <v>2.6143917966555907E-2</v>
      </c>
      <c r="BB38" s="208">
        <f t="shared" si="93"/>
        <v>4.136035135842997E-2</v>
      </c>
      <c r="BC38" s="208">
        <f t="shared" si="93"/>
        <v>6.0339771412888155E-2</v>
      </c>
      <c r="BD38" s="56">
        <f t="shared" si="93"/>
        <v>8.1987637305600547E-2</v>
      </c>
      <c r="BE38" s="212">
        <f t="shared" si="94"/>
        <v>0.22384446221204035</v>
      </c>
      <c r="BF38" s="32"/>
    </row>
    <row r="39" spans="1:58" ht="18" customHeight="1" thickBot="1" x14ac:dyDescent="0.25">
      <c r="A39" s="66"/>
      <c r="B39" s="24"/>
      <c r="C39" s="24" t="s">
        <v>77</v>
      </c>
      <c r="D39" s="22"/>
      <c r="E39" s="22"/>
      <c r="F39" s="26">
        <v>145371.39186202449</v>
      </c>
      <c r="G39" s="27">
        <v>137424.94192420336</v>
      </c>
      <c r="H39" s="27">
        <v>137190.22319639352</v>
      </c>
      <c r="I39" s="27">
        <v>140126.87975747557</v>
      </c>
      <c r="J39" s="28">
        <v>142438.98458050005</v>
      </c>
      <c r="K39" s="26">
        <v>702552.42132059694</v>
      </c>
      <c r="L39" s="2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/>
      <c r="AA39" s="24" t="s">
        <v>77</v>
      </c>
      <c r="AB39" s="210"/>
      <c r="AC39" s="210"/>
      <c r="AD39" s="209">
        <v>9.5822451683942695</v>
      </c>
      <c r="AE39" s="210">
        <v>9.1670247840786292</v>
      </c>
      <c r="AF39" s="210">
        <v>9.1651162662580177</v>
      </c>
      <c r="AG39" s="210">
        <v>9.3332219403274621</v>
      </c>
      <c r="AH39" s="211">
        <v>9.467934928083686</v>
      </c>
      <c r="AI39" s="209">
        <v>46.715543087142066</v>
      </c>
      <c r="AJ39" s="32"/>
      <c r="AK39" s="24"/>
      <c r="AL39" s="24" t="s">
        <v>77</v>
      </c>
      <c r="AM39" s="210"/>
      <c r="AN39" s="210"/>
      <c r="AO39" s="209">
        <f>SUM(AO36:AO38)</f>
        <v>9.6467520835390772</v>
      </c>
      <c r="AP39" s="210">
        <f t="shared" ref="AP39:AT39" si="97">SUM(AP36:AP38)</f>
        <v>9.2814847964783063</v>
      </c>
      <c r="AQ39" s="210">
        <f t="shared" si="97"/>
        <v>9.345092267489596</v>
      </c>
      <c r="AR39" s="210">
        <f t="shared" si="97"/>
        <v>9.599026753286779</v>
      </c>
      <c r="AS39" s="211">
        <f t="shared" si="97"/>
        <v>9.8321549887228183</v>
      </c>
      <c r="AT39" s="209">
        <f t="shared" si="97"/>
        <v>47.70451088951657</v>
      </c>
      <c r="AU39" s="66"/>
      <c r="AV39" s="24"/>
      <c r="AW39" s="24" t="s">
        <v>77</v>
      </c>
      <c r="AX39" s="266"/>
      <c r="AY39" s="266"/>
      <c r="AZ39" s="209">
        <f>SUM(AZ36:AZ38)</f>
        <v>6.4506915144806443E-2</v>
      </c>
      <c r="BA39" s="210">
        <f t="shared" ref="BA39:BE39" si="98">SUM(BA36:BA38)</f>
        <v>0.11446001239967785</v>
      </c>
      <c r="BB39" s="210">
        <f t="shared" si="98"/>
        <v>0.17997600123157909</v>
      </c>
      <c r="BC39" s="210">
        <f t="shared" si="98"/>
        <v>0.26580481295931713</v>
      </c>
      <c r="BD39" s="211">
        <f t="shared" si="98"/>
        <v>0.36422006063913226</v>
      </c>
      <c r="BE39" s="209">
        <f t="shared" si="98"/>
        <v>0.98896780237451276</v>
      </c>
      <c r="BF39" s="32"/>
    </row>
    <row r="40" spans="1:58" x14ac:dyDescent="0.2">
      <c r="A40" s="6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7"/>
      <c r="AE40" s="37"/>
      <c r="AF40" s="37"/>
      <c r="AG40" s="37"/>
      <c r="AH40" s="37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66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  <row r="41" spans="1:58" s="71" customFormat="1" ht="24" customHeight="1" x14ac:dyDescent="0.2">
      <c r="A41" s="69"/>
      <c r="B41" s="354" t="s">
        <v>187</v>
      </c>
      <c r="C41" s="354"/>
      <c r="D41" s="355"/>
      <c r="E41" s="355"/>
      <c r="F41" s="355"/>
      <c r="G41" s="355"/>
      <c r="H41" s="355"/>
      <c r="I41" s="355"/>
      <c r="J41" s="355"/>
      <c r="K41" s="355"/>
      <c r="L41" s="355"/>
      <c r="M41" s="32"/>
      <c r="N41" s="354" t="s">
        <v>418</v>
      </c>
      <c r="O41" s="354"/>
      <c r="P41" s="355"/>
      <c r="Q41" s="355"/>
      <c r="R41" s="355"/>
      <c r="S41" s="355"/>
      <c r="T41" s="355"/>
      <c r="U41" s="355"/>
      <c r="V41" s="355"/>
      <c r="W41" s="355"/>
      <c r="X41" s="355"/>
      <c r="Y41" s="70"/>
      <c r="Z41" s="354" t="s">
        <v>420</v>
      </c>
      <c r="AA41" s="354"/>
      <c r="AB41" s="355"/>
      <c r="AC41" s="355"/>
      <c r="AD41" s="355"/>
      <c r="AE41" s="355"/>
      <c r="AF41" s="355"/>
      <c r="AG41" s="355"/>
      <c r="AH41" s="355"/>
      <c r="AI41" s="355"/>
      <c r="AJ41" s="32"/>
      <c r="AK41" s="354" t="s">
        <v>430</v>
      </c>
      <c r="AL41" s="354"/>
      <c r="AM41" s="355"/>
      <c r="AN41" s="355"/>
      <c r="AO41" s="355"/>
      <c r="AP41" s="355"/>
      <c r="AQ41" s="355"/>
      <c r="AR41" s="355"/>
      <c r="AS41" s="355"/>
      <c r="AT41" s="355"/>
      <c r="AU41" s="66"/>
      <c r="AV41" s="354" t="s">
        <v>437</v>
      </c>
      <c r="AW41" s="354"/>
      <c r="AX41" s="355"/>
      <c r="AY41" s="355"/>
      <c r="AZ41" s="355"/>
      <c r="BA41" s="355"/>
      <c r="BB41" s="355"/>
      <c r="BC41" s="355"/>
      <c r="BD41" s="355"/>
      <c r="BE41" s="355"/>
      <c r="BF41" s="32"/>
    </row>
    <row r="42" spans="1:58" x14ac:dyDescent="0.2">
      <c r="A42" s="66"/>
      <c r="B42" s="72"/>
      <c r="C42" s="73"/>
      <c r="D42" s="12"/>
      <c r="E42" s="12"/>
      <c r="F42" s="12"/>
      <c r="G42" s="12"/>
      <c r="H42" s="12"/>
      <c r="I42" s="12"/>
      <c r="J42" s="12"/>
      <c r="K42" s="12"/>
      <c r="L42" s="12"/>
      <c r="M42" s="32"/>
      <c r="N42" s="72"/>
      <c r="O42" s="73"/>
      <c r="P42" s="12"/>
      <c r="Q42" s="12"/>
      <c r="R42" s="12"/>
      <c r="S42" s="12"/>
      <c r="T42" s="12"/>
      <c r="U42" s="12"/>
      <c r="V42" s="12"/>
      <c r="W42" s="12"/>
      <c r="X42" s="12"/>
      <c r="Y42" s="32"/>
      <c r="Z42" s="72"/>
      <c r="AA42" s="73"/>
      <c r="AB42" s="12"/>
      <c r="AC42" s="12"/>
      <c r="AD42" s="12"/>
      <c r="AE42" s="12"/>
      <c r="AF42" s="12"/>
      <c r="AG42" s="12"/>
      <c r="AH42" s="12"/>
      <c r="AI42" s="12"/>
      <c r="AJ42" s="32"/>
      <c r="AK42" s="72"/>
      <c r="AL42" s="73"/>
      <c r="AM42" s="12"/>
      <c r="AN42" s="12"/>
      <c r="AO42" s="12"/>
      <c r="AP42" s="12"/>
      <c r="AQ42" s="12"/>
      <c r="AR42" s="12"/>
      <c r="AS42" s="12"/>
      <c r="AT42" s="12"/>
      <c r="AU42" s="66"/>
      <c r="AV42" s="72"/>
      <c r="AW42" s="73"/>
      <c r="AX42" s="12"/>
      <c r="AY42" s="12"/>
      <c r="AZ42" s="12"/>
      <c r="BA42" s="12"/>
      <c r="BB42" s="12"/>
      <c r="BC42" s="12"/>
      <c r="BD42" s="12"/>
      <c r="BE42" s="12"/>
      <c r="BF42" s="32"/>
    </row>
    <row r="43" spans="1:58" ht="22.5" x14ac:dyDescent="0.2">
      <c r="A43" s="66"/>
      <c r="B43" s="10" t="s">
        <v>79</v>
      </c>
      <c r="C43" s="11"/>
      <c r="D43" s="3"/>
      <c r="E43" s="4"/>
      <c r="F43" s="7">
        <v>2018</v>
      </c>
      <c r="G43" s="8">
        <v>2019</v>
      </c>
      <c r="H43" s="8">
        <v>2020</v>
      </c>
      <c r="I43" s="8">
        <v>2021</v>
      </c>
      <c r="J43" s="9">
        <v>2022</v>
      </c>
      <c r="K43" s="3" t="s">
        <v>73</v>
      </c>
      <c r="L43" s="30" t="s">
        <v>100</v>
      </c>
      <c r="M43" s="32"/>
      <c r="N43" s="10" t="s">
        <v>178</v>
      </c>
      <c r="O43" s="11"/>
      <c r="P43" s="3"/>
      <c r="Q43" s="4"/>
      <c r="R43" s="5">
        <v>2018</v>
      </c>
      <c r="S43" s="4">
        <v>2019</v>
      </c>
      <c r="T43" s="4">
        <v>2020</v>
      </c>
      <c r="U43" s="4">
        <v>2021</v>
      </c>
      <c r="V43" s="6">
        <v>2022</v>
      </c>
      <c r="W43" s="3" t="str">
        <f t="shared" ref="W43" si="99">K43</f>
        <v>Total for 
2018-2022</v>
      </c>
      <c r="X43" s="30" t="s">
        <v>100</v>
      </c>
      <c r="Y43" s="32"/>
      <c r="Z43" s="10"/>
      <c r="AA43" s="11"/>
      <c r="AB43" s="3"/>
      <c r="AC43" s="4"/>
      <c r="AD43" s="5">
        <f t="shared" ref="AD43" si="100">R43</f>
        <v>2018</v>
      </c>
      <c r="AE43" s="4">
        <f t="shared" ref="AE43" si="101">S43</f>
        <v>2019</v>
      </c>
      <c r="AF43" s="4">
        <f t="shared" ref="AF43" si="102">T43</f>
        <v>2020</v>
      </c>
      <c r="AG43" s="4">
        <f t="shared" ref="AG43" si="103">U43</f>
        <v>2021</v>
      </c>
      <c r="AH43" s="6">
        <f t="shared" ref="AH43" si="104">V43</f>
        <v>2022</v>
      </c>
      <c r="AI43" s="3" t="str">
        <f t="shared" ref="AI43" si="105">W43</f>
        <v>Total for 
2018-2022</v>
      </c>
      <c r="AJ43" s="32"/>
      <c r="AK43" s="10"/>
      <c r="AL43" s="11"/>
      <c r="AM43" s="3"/>
      <c r="AN43" s="4"/>
      <c r="AO43" s="5">
        <f t="shared" ref="AO43:AT43" si="106">AD43</f>
        <v>2018</v>
      </c>
      <c r="AP43" s="4">
        <f t="shared" si="106"/>
        <v>2019</v>
      </c>
      <c r="AQ43" s="4">
        <f t="shared" si="106"/>
        <v>2020</v>
      </c>
      <c r="AR43" s="4">
        <f t="shared" si="106"/>
        <v>2021</v>
      </c>
      <c r="AS43" s="6">
        <f t="shared" si="106"/>
        <v>2022</v>
      </c>
      <c r="AT43" s="3" t="str">
        <f t="shared" si="106"/>
        <v>Total for 
2018-2022</v>
      </c>
      <c r="AU43" s="66"/>
      <c r="AV43" s="10"/>
      <c r="AW43" s="11"/>
      <c r="AX43" s="3"/>
      <c r="AY43" s="4"/>
      <c r="AZ43" s="5">
        <f t="shared" ref="AZ43:BE43" si="107">AO43</f>
        <v>2018</v>
      </c>
      <c r="BA43" s="4">
        <f t="shared" si="107"/>
        <v>2019</v>
      </c>
      <c r="BB43" s="4">
        <f t="shared" si="107"/>
        <v>2020</v>
      </c>
      <c r="BC43" s="4">
        <f t="shared" si="107"/>
        <v>2021</v>
      </c>
      <c r="BD43" s="6">
        <f t="shared" si="107"/>
        <v>2022</v>
      </c>
      <c r="BE43" s="3" t="str">
        <f t="shared" si="107"/>
        <v>Total for 
2018-2022</v>
      </c>
      <c r="BF43" s="32"/>
    </row>
    <row r="44" spans="1:58" x14ac:dyDescent="0.2">
      <c r="A44" s="66"/>
      <c r="B44" s="29" t="str">
        <f>'Capex Model Category Index'!B22</f>
        <v>15</v>
      </c>
      <c r="C44" s="29" t="str">
        <f>'Capex Model Category Index'!C22</f>
        <v>New Meter - Domestic</v>
      </c>
      <c r="D44" s="15"/>
      <c r="E44" s="15"/>
      <c r="F44" s="624" t="s">
        <v>445</v>
      </c>
      <c r="G44" s="625" t="s">
        <v>445</v>
      </c>
      <c r="H44" s="625" t="s">
        <v>445</v>
      </c>
      <c r="I44" s="625" t="s">
        <v>445</v>
      </c>
      <c r="J44" s="626" t="s">
        <v>445</v>
      </c>
      <c r="K44" s="14">
        <v>77221.890132357628</v>
      </c>
      <c r="L44" s="409" t="s">
        <v>311</v>
      </c>
      <c r="M44" s="32"/>
      <c r="N44" s="29" t="str">
        <f>B44</f>
        <v>15</v>
      </c>
      <c r="O44" s="29" t="str">
        <f>C44</f>
        <v>New Meter - Domestic</v>
      </c>
      <c r="P44" s="41"/>
      <c r="Q44" s="41"/>
      <c r="R44" s="633" t="s">
        <v>445</v>
      </c>
      <c r="S44" s="634" t="s">
        <v>445</v>
      </c>
      <c r="T44" s="634" t="s">
        <v>445</v>
      </c>
      <c r="U44" s="634" t="s">
        <v>445</v>
      </c>
      <c r="V44" s="634" t="s">
        <v>445</v>
      </c>
      <c r="W44" s="62"/>
      <c r="X44" s="409" t="s">
        <v>373</v>
      </c>
      <c r="Y44" s="32"/>
      <c r="Z44" s="29" t="str">
        <f>B44</f>
        <v>15</v>
      </c>
      <c r="AA44" s="29" t="str">
        <f>C44</f>
        <v>New Meter - Domestic</v>
      </c>
      <c r="AB44" s="212"/>
      <c r="AC44" s="212"/>
      <c r="AD44" s="207">
        <v>3.7785352591000061</v>
      </c>
      <c r="AE44" s="208">
        <v>3.5631659056842104</v>
      </c>
      <c r="AF44" s="208">
        <v>3.5559628723673251</v>
      </c>
      <c r="AG44" s="208">
        <v>3.6343626880203583</v>
      </c>
      <c r="AH44" s="56">
        <v>3.6958971653490411</v>
      </c>
      <c r="AI44" s="212">
        <v>18.227923890520941</v>
      </c>
      <c r="AJ44" s="32"/>
      <c r="AK44" s="29" t="str">
        <f>N44</f>
        <v>15</v>
      </c>
      <c r="AL44" s="29" t="str">
        <f>O44</f>
        <v>New Meter - Domestic</v>
      </c>
      <c r="AM44" s="360"/>
      <c r="AN44" s="360"/>
      <c r="AO44" s="207">
        <f>AD44*(1-'Real Cost Escalation'!E$25)</f>
        <v>3.7785352591000061</v>
      </c>
      <c r="AP44" s="208">
        <f>AE44*(1-'Real Cost Escalation'!F$25)</f>
        <v>3.5503919559123327</v>
      </c>
      <c r="AQ44" s="208">
        <f>AF44*(1-'Real Cost Escalation'!G$25)</f>
        <v>3.5431690434349612</v>
      </c>
      <c r="AR44" s="208">
        <f>AG44*(1+'Real Cost Escalation'!H$18)</f>
        <v>3.7378672548989726</v>
      </c>
      <c r="AS44" s="56">
        <f>AH44*(1+'Real Cost Escalation'!I$18)</f>
        <v>3.8380738807473036</v>
      </c>
      <c r="AT44" s="212">
        <f t="shared" ref="AT44:AT45" si="108">SUM(AO44:AS44)</f>
        <v>18.448037394093575</v>
      </c>
      <c r="AU44" s="66"/>
      <c r="AV44" s="29" t="str">
        <f>Z44</f>
        <v>15</v>
      </c>
      <c r="AW44" s="29" t="str">
        <f>AA44</f>
        <v>New Meter - Domestic</v>
      </c>
      <c r="AX44" s="360"/>
      <c r="AY44" s="360"/>
      <c r="AZ44" s="207">
        <f t="shared" ref="AZ44:BD45" si="109">AO44-AD44</f>
        <v>0</v>
      </c>
      <c r="BA44" s="208">
        <f t="shared" si="109"/>
        <v>-1.2773949771877735E-2</v>
      </c>
      <c r="BB44" s="208">
        <f t="shared" si="109"/>
        <v>-1.2793828932363915E-2</v>
      </c>
      <c r="BC44" s="208">
        <f t="shared" si="109"/>
        <v>0.10350456687861431</v>
      </c>
      <c r="BD44" s="56">
        <f t="shared" si="109"/>
        <v>0.14217671539826249</v>
      </c>
      <c r="BE44" s="212">
        <f t="shared" ref="BE44:BE45" si="110">SUM(AZ44:BD44)</f>
        <v>0.22011350357263515</v>
      </c>
      <c r="BF44" s="32"/>
    </row>
    <row r="45" spans="1:58" x14ac:dyDescent="0.2">
      <c r="A45" s="66"/>
      <c r="B45" s="29" t="str">
        <f>'Capex Model Category Index'!B23</f>
        <v>16</v>
      </c>
      <c r="C45" s="29" t="str">
        <f>'Capex Model Category Index'!C23</f>
        <v>New Meter - I&amp;C&lt;10TJ</v>
      </c>
      <c r="D45" s="15"/>
      <c r="E45" s="15"/>
      <c r="F45" s="630" t="s">
        <v>445</v>
      </c>
      <c r="G45" s="631" t="s">
        <v>445</v>
      </c>
      <c r="H45" s="631" t="s">
        <v>445</v>
      </c>
      <c r="I45" s="631" t="s">
        <v>445</v>
      </c>
      <c r="J45" s="632" t="s">
        <v>445</v>
      </c>
      <c r="K45" s="17">
        <v>1677.5882991216392</v>
      </c>
      <c r="L45" s="409" t="s">
        <v>311</v>
      </c>
      <c r="M45" s="32"/>
      <c r="N45" s="359" t="str">
        <f>B45</f>
        <v>16</v>
      </c>
      <c r="O45" s="359" t="str">
        <f>C45</f>
        <v>New Meter - I&amp;C&lt;10TJ</v>
      </c>
      <c r="P45" s="507"/>
      <c r="Q45" s="507"/>
      <c r="R45" s="635" t="s">
        <v>445</v>
      </c>
      <c r="S45" s="634" t="s">
        <v>445</v>
      </c>
      <c r="T45" s="634" t="s">
        <v>445</v>
      </c>
      <c r="U45" s="634" t="s">
        <v>445</v>
      </c>
      <c r="V45" s="634" t="s">
        <v>445</v>
      </c>
      <c r="W45" s="507"/>
      <c r="X45" s="509" t="s">
        <v>373</v>
      </c>
      <c r="Y45" s="32"/>
      <c r="Z45" s="29" t="str">
        <f t="shared" ref="Z45" si="111">B45</f>
        <v>16</v>
      </c>
      <c r="AA45" s="29" t="str">
        <f t="shared" ref="AA45" si="112">C45</f>
        <v>New Meter - I&amp;C&lt;10TJ</v>
      </c>
      <c r="AB45" s="212"/>
      <c r="AC45" s="212"/>
      <c r="AD45" s="207">
        <v>2.4515472378414427</v>
      </c>
      <c r="AE45" s="208">
        <v>2.4660400028296112</v>
      </c>
      <c r="AF45" s="208">
        <v>2.4806324927190038</v>
      </c>
      <c r="AG45" s="208">
        <v>2.4953257117433139</v>
      </c>
      <c r="AH45" s="56">
        <v>2.5101206786556811</v>
      </c>
      <c r="AI45" s="212">
        <v>12.403666123789053</v>
      </c>
      <c r="AJ45" s="32"/>
      <c r="AK45" s="29" t="str">
        <f>N45</f>
        <v>16</v>
      </c>
      <c r="AL45" s="29" t="str">
        <f>O45</f>
        <v>New Meter - I&amp;C&lt;10TJ</v>
      </c>
      <c r="AM45" s="360"/>
      <c r="AN45" s="360"/>
      <c r="AO45" s="207">
        <f>AD45*(1+'Real Cost Escalation'!E$18)</f>
        <v>2.4680508595778736</v>
      </c>
      <c r="AP45" s="208">
        <f>AE45*(1+'Real Cost Escalation'!F$18)</f>
        <v>2.4968311238258387</v>
      </c>
      <c r="AQ45" s="208">
        <f>AF45*(1+'Real Cost Escalation'!G$18)</f>
        <v>2.5293448389233113</v>
      </c>
      <c r="AR45" s="208">
        <f>AG45*(1+'Real Cost Escalation'!H$18)</f>
        <v>2.5663911582014785</v>
      </c>
      <c r="AS45" s="56">
        <f>AH45*(1+'Real Cost Escalation'!I$18)</f>
        <v>2.606681999866256</v>
      </c>
      <c r="AT45" s="212">
        <f t="shared" si="108"/>
        <v>12.667299980394757</v>
      </c>
      <c r="AU45" s="66"/>
      <c r="AV45" s="29" t="str">
        <f>Z45</f>
        <v>16</v>
      </c>
      <c r="AW45" s="29" t="str">
        <f>AA45</f>
        <v>New Meter - I&amp;C&lt;10TJ</v>
      </c>
      <c r="AX45" s="360"/>
      <c r="AY45" s="360"/>
      <c r="AZ45" s="207">
        <f t="shared" si="109"/>
        <v>1.650362173643094E-2</v>
      </c>
      <c r="BA45" s="208">
        <f t="shared" si="109"/>
        <v>3.0791120996227495E-2</v>
      </c>
      <c r="BB45" s="208">
        <f t="shared" si="109"/>
        <v>4.8712346204307533E-2</v>
      </c>
      <c r="BC45" s="208">
        <f t="shared" si="109"/>
        <v>7.1065446458164594E-2</v>
      </c>
      <c r="BD45" s="56">
        <f t="shared" si="109"/>
        <v>9.6561321210574924E-2</v>
      </c>
      <c r="BE45" s="212">
        <f t="shared" si="110"/>
        <v>0.26363385660570549</v>
      </c>
      <c r="BF45" s="32"/>
    </row>
    <row r="46" spans="1:58" ht="15" thickBot="1" x14ac:dyDescent="0.25">
      <c r="A46" s="66"/>
      <c r="B46" s="24"/>
      <c r="C46" s="24" t="s">
        <v>81</v>
      </c>
      <c r="D46" s="22"/>
      <c r="E46" s="22"/>
      <c r="F46" s="26">
        <v>16339.187837629916</v>
      </c>
      <c r="G46" s="27">
        <v>15428.744091697652</v>
      </c>
      <c r="H46" s="27">
        <v>15400.202346774484</v>
      </c>
      <c r="I46" s="27">
        <v>15734.327363408249</v>
      </c>
      <c r="J46" s="28">
        <v>15997.016791968956</v>
      </c>
      <c r="K46" s="27">
        <v>78899.478431479263</v>
      </c>
      <c r="L46" s="2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24"/>
      <c r="AA46" s="24" t="s">
        <v>81</v>
      </c>
      <c r="AB46" s="210"/>
      <c r="AC46" s="210"/>
      <c r="AD46" s="209">
        <v>6.2300824969414492</v>
      </c>
      <c r="AE46" s="210">
        <v>6.0292059085138217</v>
      </c>
      <c r="AF46" s="210">
        <v>6.0365953650863293</v>
      </c>
      <c r="AG46" s="210">
        <v>6.1296883997636726</v>
      </c>
      <c r="AH46" s="211">
        <v>6.2060178440047222</v>
      </c>
      <c r="AI46" s="210">
        <v>30.631590014309992</v>
      </c>
      <c r="AJ46" s="32"/>
      <c r="AK46" s="24"/>
      <c r="AL46" s="24" t="s">
        <v>81</v>
      </c>
      <c r="AM46" s="266"/>
      <c r="AN46" s="266"/>
      <c r="AO46" s="209">
        <f>SUM(AO44:AO45)</f>
        <v>6.2465861186778797</v>
      </c>
      <c r="AP46" s="210">
        <f t="shared" ref="AP46:AT46" si="113">SUM(AP44:AP45)</f>
        <v>6.0472230797381714</v>
      </c>
      <c r="AQ46" s="210">
        <f t="shared" si="113"/>
        <v>6.0725138823582725</v>
      </c>
      <c r="AR46" s="210">
        <f t="shared" si="113"/>
        <v>6.3042584131004507</v>
      </c>
      <c r="AS46" s="211">
        <f t="shared" si="113"/>
        <v>6.4447558806135596</v>
      </c>
      <c r="AT46" s="210">
        <f t="shared" si="113"/>
        <v>31.115337374488334</v>
      </c>
      <c r="AU46" s="66"/>
      <c r="AV46" s="24"/>
      <c r="AW46" s="24" t="s">
        <v>81</v>
      </c>
      <c r="AX46" s="210"/>
      <c r="AY46" s="210"/>
      <c r="AZ46" s="209">
        <f>SUM(AZ44:AZ45)</f>
        <v>1.650362173643094E-2</v>
      </c>
      <c r="BA46" s="210">
        <f t="shared" ref="BA46:BE46" si="114">SUM(BA44:BA45)</f>
        <v>1.8017171224349759E-2</v>
      </c>
      <c r="BB46" s="210">
        <f t="shared" si="114"/>
        <v>3.5918517271943617E-2</v>
      </c>
      <c r="BC46" s="210">
        <f t="shared" si="114"/>
        <v>0.17457001333677891</v>
      </c>
      <c r="BD46" s="211">
        <f t="shared" si="114"/>
        <v>0.23873803660883741</v>
      </c>
      <c r="BE46" s="210">
        <f t="shared" si="114"/>
        <v>0.48374736017834064</v>
      </c>
      <c r="BF46" s="32"/>
    </row>
    <row r="47" spans="1:58" x14ac:dyDescent="0.2">
      <c r="A47" s="6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66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</row>
    <row r="48" spans="1:58" s="71" customFormat="1" ht="24" customHeight="1" x14ac:dyDescent="0.2">
      <c r="A48" s="69"/>
      <c r="B48" s="354" t="s">
        <v>186</v>
      </c>
      <c r="C48" s="354"/>
      <c r="D48" s="355"/>
      <c r="E48" s="355"/>
      <c r="F48" s="355"/>
      <c r="G48" s="355"/>
      <c r="H48" s="355"/>
      <c r="I48" s="355"/>
      <c r="J48" s="355"/>
      <c r="K48" s="355"/>
      <c r="L48" s="355"/>
      <c r="M48" s="32"/>
      <c r="N48" s="354" t="s">
        <v>421</v>
      </c>
      <c r="O48" s="354"/>
      <c r="P48" s="355"/>
      <c r="Q48" s="355"/>
      <c r="R48" s="355"/>
      <c r="S48" s="355"/>
      <c r="T48" s="355"/>
      <c r="U48" s="355"/>
      <c r="V48" s="355"/>
      <c r="W48" s="355"/>
      <c r="X48" s="355"/>
      <c r="Y48" s="70"/>
      <c r="Z48" s="354" t="s">
        <v>419</v>
      </c>
      <c r="AA48" s="354"/>
      <c r="AB48" s="355"/>
      <c r="AC48" s="355"/>
      <c r="AD48" s="355"/>
      <c r="AE48" s="355"/>
      <c r="AF48" s="355"/>
      <c r="AG48" s="355"/>
      <c r="AH48" s="355"/>
      <c r="AI48" s="355"/>
      <c r="AJ48" s="32"/>
      <c r="AK48" s="354" t="s">
        <v>431</v>
      </c>
      <c r="AL48" s="354"/>
      <c r="AM48" s="355"/>
      <c r="AN48" s="355"/>
      <c r="AO48" s="355"/>
      <c r="AP48" s="355"/>
      <c r="AQ48" s="355"/>
      <c r="AR48" s="355"/>
      <c r="AS48" s="355"/>
      <c r="AT48" s="355"/>
      <c r="AU48" s="66"/>
      <c r="AV48" s="354" t="s">
        <v>438</v>
      </c>
      <c r="AW48" s="354"/>
      <c r="AX48" s="355"/>
      <c r="AY48" s="355"/>
      <c r="AZ48" s="355"/>
      <c r="BA48" s="355"/>
      <c r="BB48" s="355"/>
      <c r="BC48" s="355"/>
      <c r="BD48" s="355"/>
      <c r="BE48" s="355"/>
      <c r="BF48" s="32"/>
    </row>
    <row r="49" spans="1:58" x14ac:dyDescent="0.2">
      <c r="A49" s="66"/>
      <c r="B49" s="72"/>
      <c r="C49" s="73"/>
      <c r="D49" s="12"/>
      <c r="E49" s="12"/>
      <c r="F49" s="12"/>
      <c r="G49" s="12"/>
      <c r="H49" s="12"/>
      <c r="I49" s="12"/>
      <c r="J49" s="12"/>
      <c r="K49" s="12"/>
      <c r="L49" s="12"/>
      <c r="M49" s="32"/>
      <c r="N49" s="72"/>
      <c r="O49" s="73"/>
      <c r="P49" s="12"/>
      <c r="Q49" s="12"/>
      <c r="R49" s="12"/>
      <c r="S49" s="12"/>
      <c r="T49" s="12"/>
      <c r="U49" s="12"/>
      <c r="V49" s="12"/>
      <c r="W49" s="12"/>
      <c r="X49" s="12"/>
      <c r="Y49" s="32"/>
      <c r="Z49" s="72"/>
      <c r="AA49" s="73"/>
      <c r="AB49" s="12"/>
      <c r="AC49" s="12"/>
      <c r="AD49" s="12"/>
      <c r="AE49" s="12"/>
      <c r="AF49" s="12"/>
      <c r="AG49" s="12"/>
      <c r="AH49" s="12"/>
      <c r="AI49" s="12"/>
      <c r="AJ49" s="32"/>
      <c r="AK49" s="72"/>
      <c r="AL49" s="73"/>
      <c r="AM49" s="12"/>
      <c r="AN49" s="12"/>
      <c r="AO49" s="12"/>
      <c r="AP49" s="12"/>
      <c r="AQ49" s="12"/>
      <c r="AR49" s="12"/>
      <c r="AS49" s="12"/>
      <c r="AT49" s="12"/>
      <c r="AU49" s="66"/>
      <c r="AV49" s="72"/>
      <c r="AW49" s="73"/>
      <c r="AX49" s="12"/>
      <c r="AY49" s="12"/>
      <c r="AZ49" s="12"/>
      <c r="BA49" s="12"/>
      <c r="BB49" s="12"/>
      <c r="BC49" s="12"/>
      <c r="BD49" s="12"/>
      <c r="BE49" s="12"/>
      <c r="BF49" s="32"/>
    </row>
    <row r="50" spans="1:58" ht="22.5" x14ac:dyDescent="0.2">
      <c r="A50" s="66"/>
      <c r="B50" s="10" t="s">
        <v>80</v>
      </c>
      <c r="C50" s="11"/>
      <c r="D50" s="3"/>
      <c r="E50" s="4"/>
      <c r="F50" s="7">
        <v>2018</v>
      </c>
      <c r="G50" s="8">
        <v>2019</v>
      </c>
      <c r="H50" s="8">
        <v>2020</v>
      </c>
      <c r="I50" s="8">
        <v>2021</v>
      </c>
      <c r="J50" s="9">
        <v>2022</v>
      </c>
      <c r="K50" s="3" t="s">
        <v>73</v>
      </c>
      <c r="L50" s="30" t="s">
        <v>100</v>
      </c>
      <c r="M50" s="32"/>
      <c r="N50" s="10" t="s">
        <v>177</v>
      </c>
      <c r="O50" s="11"/>
      <c r="P50" s="329"/>
      <c r="Q50" s="330"/>
      <c r="R50" s="331">
        <v>2018</v>
      </c>
      <c r="S50" s="330">
        <v>2019</v>
      </c>
      <c r="T50" s="330">
        <v>2020</v>
      </c>
      <c r="U50" s="330">
        <v>2021</v>
      </c>
      <c r="V50" s="332">
        <v>2022</v>
      </c>
      <c r="W50" s="3" t="str">
        <f t="shared" ref="W50" si="115">K50</f>
        <v>Total for 
2018-2022</v>
      </c>
      <c r="X50" s="30" t="s">
        <v>100</v>
      </c>
      <c r="Y50" s="32"/>
      <c r="Z50" s="10"/>
      <c r="AA50" s="11"/>
      <c r="AB50" s="3"/>
      <c r="AC50" s="4"/>
      <c r="AD50" s="5">
        <f t="shared" ref="AD50" si="116">R50</f>
        <v>2018</v>
      </c>
      <c r="AE50" s="4">
        <f t="shared" ref="AE50" si="117">S50</f>
        <v>2019</v>
      </c>
      <c r="AF50" s="4">
        <f t="shared" ref="AF50" si="118">T50</f>
        <v>2020</v>
      </c>
      <c r="AG50" s="4">
        <f t="shared" ref="AG50" si="119">U50</f>
        <v>2021</v>
      </c>
      <c r="AH50" s="6">
        <f t="shared" ref="AH50" si="120">V50</f>
        <v>2022</v>
      </c>
      <c r="AI50" s="3" t="str">
        <f t="shared" ref="AI50" si="121">W50</f>
        <v>Total for 
2018-2022</v>
      </c>
      <c r="AJ50" s="32"/>
      <c r="AK50" s="10"/>
      <c r="AL50" s="11"/>
      <c r="AM50" s="3"/>
      <c r="AN50" s="4"/>
      <c r="AO50" s="5">
        <f t="shared" ref="AO50:AT50" si="122">AD50</f>
        <v>2018</v>
      </c>
      <c r="AP50" s="4">
        <f t="shared" si="122"/>
        <v>2019</v>
      </c>
      <c r="AQ50" s="4">
        <f t="shared" si="122"/>
        <v>2020</v>
      </c>
      <c r="AR50" s="4">
        <f t="shared" si="122"/>
        <v>2021</v>
      </c>
      <c r="AS50" s="6">
        <f t="shared" si="122"/>
        <v>2022</v>
      </c>
      <c r="AT50" s="3" t="str">
        <f t="shared" si="122"/>
        <v>Total for 
2018-2022</v>
      </c>
      <c r="AU50" s="66"/>
      <c r="AV50" s="10"/>
      <c r="AW50" s="11"/>
      <c r="AX50" s="3"/>
      <c r="AY50" s="4"/>
      <c r="AZ50" s="5">
        <f t="shared" ref="AZ50:BE50" si="123">AO50</f>
        <v>2018</v>
      </c>
      <c r="BA50" s="4">
        <f t="shared" si="123"/>
        <v>2019</v>
      </c>
      <c r="BB50" s="4">
        <f t="shared" si="123"/>
        <v>2020</v>
      </c>
      <c r="BC50" s="4">
        <f t="shared" si="123"/>
        <v>2021</v>
      </c>
      <c r="BD50" s="6">
        <f t="shared" si="123"/>
        <v>2022</v>
      </c>
      <c r="BE50" s="3" t="str">
        <f t="shared" si="123"/>
        <v>Total for 
2018-2022</v>
      </c>
      <c r="BF50" s="32"/>
    </row>
    <row r="51" spans="1:58" ht="18" customHeight="1" x14ac:dyDescent="0.2">
      <c r="A51" s="66"/>
      <c r="B51" s="29" t="str">
        <f>'Capex Model Category Index'!B24</f>
        <v>17</v>
      </c>
      <c r="C51" s="29" t="str">
        <f>'Capex Model Category Index'!C24</f>
        <v>New Service - New Home</v>
      </c>
      <c r="D51" s="15"/>
      <c r="E51" s="15"/>
      <c r="F51" s="624" t="s">
        <v>445</v>
      </c>
      <c r="G51" s="625" t="s">
        <v>445</v>
      </c>
      <c r="H51" s="625" t="s">
        <v>445</v>
      </c>
      <c r="I51" s="625" t="s">
        <v>445</v>
      </c>
      <c r="J51" s="626" t="s">
        <v>445</v>
      </c>
      <c r="K51" s="16">
        <v>59816.137196997704</v>
      </c>
      <c r="L51" s="409" t="s">
        <v>311</v>
      </c>
      <c r="M51" s="32"/>
      <c r="N51" s="29" t="str">
        <f t="shared" ref="N51:O54" si="124">B51</f>
        <v>17</v>
      </c>
      <c r="O51" s="29" t="str">
        <f t="shared" si="124"/>
        <v>New Service - New Home</v>
      </c>
      <c r="P51" s="41"/>
      <c r="Q51" s="41"/>
      <c r="R51" s="633" t="s">
        <v>445</v>
      </c>
      <c r="S51" s="634" t="s">
        <v>445</v>
      </c>
      <c r="T51" s="634" t="s">
        <v>445</v>
      </c>
      <c r="U51" s="634" t="s">
        <v>445</v>
      </c>
      <c r="V51" s="634" t="s">
        <v>445</v>
      </c>
      <c r="W51" s="42"/>
      <c r="X51" s="409" t="s">
        <v>373</v>
      </c>
      <c r="Y51" s="32"/>
      <c r="Z51" s="29" t="str">
        <f>B51</f>
        <v>17</v>
      </c>
      <c r="AA51" s="29" t="str">
        <f>C51</f>
        <v>New Service - New Home</v>
      </c>
      <c r="AB51" s="212"/>
      <c r="AC51" s="212"/>
      <c r="AD51" s="207">
        <v>12.571498715857839</v>
      </c>
      <c r="AE51" s="208">
        <v>11.854947098830797</v>
      </c>
      <c r="AF51" s="208">
        <v>11.830982012392759</v>
      </c>
      <c r="AG51" s="208">
        <v>12.091824670783184</v>
      </c>
      <c r="AH51" s="56">
        <v>12.296554956376118</v>
      </c>
      <c r="AI51" s="212">
        <v>60.645807454240696</v>
      </c>
      <c r="AJ51" s="32"/>
      <c r="AK51" s="29" t="str">
        <f t="shared" ref="AK51:AL54" si="125">N51</f>
        <v>17</v>
      </c>
      <c r="AL51" s="29" t="str">
        <f t="shared" si="125"/>
        <v>New Service - New Home</v>
      </c>
      <c r="AM51" s="360"/>
      <c r="AN51" s="360"/>
      <c r="AO51" s="207">
        <f>AD51*(1+'Real Cost Escalation'!E$18)</f>
        <v>12.656129049005825</v>
      </c>
      <c r="AP51" s="208">
        <f>AE51*(1+'Real Cost Escalation'!F$18)</f>
        <v>12.002968667866632</v>
      </c>
      <c r="AQ51" s="208">
        <f>AF51*(1+'Real Cost Escalation'!G$18)</f>
        <v>12.063307797617364</v>
      </c>
      <c r="AR51" s="208">
        <f>AG51*(1+'Real Cost Escalation'!H$18)</f>
        <v>12.436192908836849</v>
      </c>
      <c r="AS51" s="56">
        <f>AH51*(1+'Real Cost Escalation'!I$18)</f>
        <v>12.769588624845808</v>
      </c>
      <c r="AT51" s="212">
        <f>SUM(AO51:AS51)</f>
        <v>61.928187048172482</v>
      </c>
      <c r="AU51" s="66"/>
      <c r="AV51" s="29" t="str">
        <f t="shared" ref="AV51:AW54" si="126">Z51</f>
        <v>17</v>
      </c>
      <c r="AW51" s="29" t="str">
        <f t="shared" si="126"/>
        <v>New Service - New Home</v>
      </c>
      <c r="AX51" s="360"/>
      <c r="AY51" s="360"/>
      <c r="AZ51" s="207">
        <f t="shared" ref="AZ51:BD54" si="127">AO51-AD51</f>
        <v>8.4630333147986292E-2</v>
      </c>
      <c r="BA51" s="208">
        <f t="shared" si="127"/>
        <v>0.1480215690358353</v>
      </c>
      <c r="BB51" s="208">
        <f t="shared" si="127"/>
        <v>0.23232578522460479</v>
      </c>
      <c r="BC51" s="208">
        <f t="shared" si="127"/>
        <v>0.34436823805366501</v>
      </c>
      <c r="BD51" s="56">
        <f t="shared" si="127"/>
        <v>0.47303366846968942</v>
      </c>
      <c r="BE51" s="212">
        <f t="shared" ref="BE51:BE54" si="128">SUM(AZ51:BD51)</f>
        <v>1.2823795939317808</v>
      </c>
      <c r="BF51" s="32"/>
    </row>
    <row r="52" spans="1:58" ht="18" customHeight="1" x14ac:dyDescent="0.2">
      <c r="A52" s="66"/>
      <c r="B52" s="29" t="str">
        <f>'Capex Model Category Index'!B25</f>
        <v>18</v>
      </c>
      <c r="C52" s="29" t="str">
        <f>'Capex Model Category Index'!C25</f>
        <v>New Service - Exist Home</v>
      </c>
      <c r="D52" s="15"/>
      <c r="E52" s="15"/>
      <c r="F52" s="627" t="s">
        <v>445</v>
      </c>
      <c r="G52" s="628" t="s">
        <v>445</v>
      </c>
      <c r="H52" s="628" t="s">
        <v>445</v>
      </c>
      <c r="I52" s="628" t="s">
        <v>445</v>
      </c>
      <c r="J52" s="628" t="s">
        <v>445</v>
      </c>
      <c r="K52" s="16">
        <v>4064.2389609812881</v>
      </c>
      <c r="L52" s="409" t="s">
        <v>311</v>
      </c>
      <c r="M52" s="32"/>
      <c r="N52" s="29" t="str">
        <f t="shared" si="124"/>
        <v>18</v>
      </c>
      <c r="O52" s="29" t="str">
        <f t="shared" si="124"/>
        <v>New Service - Exist Home</v>
      </c>
      <c r="P52" s="41"/>
      <c r="Q52" s="41"/>
      <c r="R52" s="633" t="s">
        <v>445</v>
      </c>
      <c r="S52" s="634" t="s">
        <v>445</v>
      </c>
      <c r="T52" s="634" t="s">
        <v>445</v>
      </c>
      <c r="U52" s="634" t="s">
        <v>445</v>
      </c>
      <c r="V52" s="634" t="s">
        <v>445</v>
      </c>
      <c r="W52" s="42"/>
      <c r="X52" s="409" t="s">
        <v>373</v>
      </c>
      <c r="Y52" s="32"/>
      <c r="Z52" s="29" t="str">
        <f t="shared" ref="Z52:Z54" si="129">B52</f>
        <v>18</v>
      </c>
      <c r="AA52" s="29" t="str">
        <f t="shared" ref="AA52:AA54" si="130">C52</f>
        <v>New Service - Exist Home</v>
      </c>
      <c r="AB52" s="212"/>
      <c r="AC52" s="212"/>
      <c r="AD52" s="207">
        <v>1.2923145479264722</v>
      </c>
      <c r="AE52" s="208">
        <v>1.2186550662724507</v>
      </c>
      <c r="AF52" s="208">
        <v>1.2161915230986264</v>
      </c>
      <c r="AG52" s="208">
        <v>1.2430054113848774</v>
      </c>
      <c r="AH52" s="56">
        <v>1.2640511062899051</v>
      </c>
      <c r="AI52" s="212">
        <v>6.2342176549723316</v>
      </c>
      <c r="AJ52" s="32"/>
      <c r="AK52" s="29" t="str">
        <f t="shared" si="125"/>
        <v>18</v>
      </c>
      <c r="AL52" s="29" t="str">
        <f t="shared" si="125"/>
        <v>New Service - Exist Home</v>
      </c>
      <c r="AM52" s="360"/>
      <c r="AN52" s="360"/>
      <c r="AO52" s="207">
        <f>AD52*(1+'Real Cost Escalation'!E$18)</f>
        <v>1.3010143070558309</v>
      </c>
      <c r="AP52" s="208">
        <f>AE52*(1+'Real Cost Escalation'!F$18)</f>
        <v>1.2338712653427029</v>
      </c>
      <c r="AQ52" s="208">
        <f>AF52*(1+'Real Cost Escalation'!G$18)</f>
        <v>1.2400739573962551</v>
      </c>
      <c r="AR52" s="208">
        <f>AG52*(1+'Real Cost Escalation'!H$18)</f>
        <v>1.2784054932636744</v>
      </c>
      <c r="AS52" s="56">
        <f>AH52*(1+'Real Cost Escalation'!I$18)</f>
        <v>1.3126776308785204</v>
      </c>
      <c r="AT52" s="212">
        <f>SUM(AO52:AS52)</f>
        <v>6.3660426539369848</v>
      </c>
      <c r="AU52" s="66"/>
      <c r="AV52" s="29" t="str">
        <f t="shared" si="126"/>
        <v>18</v>
      </c>
      <c r="AW52" s="29" t="str">
        <f t="shared" si="126"/>
        <v>New Service - Exist Home</v>
      </c>
      <c r="AX52" s="360"/>
      <c r="AY52" s="360"/>
      <c r="AZ52" s="207">
        <f t="shared" si="127"/>
        <v>8.6997591293587195E-3</v>
      </c>
      <c r="BA52" s="208">
        <f t="shared" si="127"/>
        <v>1.5216199070252179E-2</v>
      </c>
      <c r="BB52" s="208">
        <f t="shared" si="127"/>
        <v>2.3882434297628707E-2</v>
      </c>
      <c r="BC52" s="208">
        <f t="shared" si="127"/>
        <v>3.5400081878796952E-2</v>
      </c>
      <c r="BD52" s="56">
        <f t="shared" si="127"/>
        <v>4.8626524588615272E-2</v>
      </c>
      <c r="BE52" s="212">
        <f t="shared" si="128"/>
        <v>0.13182499896465183</v>
      </c>
      <c r="BF52" s="32"/>
    </row>
    <row r="53" spans="1:58" ht="18" customHeight="1" x14ac:dyDescent="0.2">
      <c r="A53" s="66"/>
      <c r="B53" s="29" t="str">
        <f>'Capex Model Category Index'!B26</f>
        <v>19</v>
      </c>
      <c r="C53" s="29" t="str">
        <f>'Capex Model Category Index'!C26</f>
        <v>New Service - Multi User</v>
      </c>
      <c r="D53" s="15"/>
      <c r="E53" s="15"/>
      <c r="F53" s="627" t="s">
        <v>445</v>
      </c>
      <c r="G53" s="628" t="s">
        <v>445</v>
      </c>
      <c r="H53" s="628" t="s">
        <v>445</v>
      </c>
      <c r="I53" s="628" t="s">
        <v>445</v>
      </c>
      <c r="J53" s="628" t="s">
        <v>445</v>
      </c>
      <c r="K53" s="16">
        <v>3335.3784935946578</v>
      </c>
      <c r="L53" s="409" t="s">
        <v>311</v>
      </c>
      <c r="M53" s="32"/>
      <c r="N53" s="29" t="str">
        <f t="shared" si="124"/>
        <v>19</v>
      </c>
      <c r="O53" s="29" t="str">
        <f t="shared" si="124"/>
        <v>New Service - Multi User</v>
      </c>
      <c r="P53" s="41"/>
      <c r="Q53" s="41"/>
      <c r="R53" s="633" t="s">
        <v>445</v>
      </c>
      <c r="S53" s="634" t="s">
        <v>445</v>
      </c>
      <c r="T53" s="634" t="s">
        <v>445</v>
      </c>
      <c r="U53" s="634" t="s">
        <v>445</v>
      </c>
      <c r="V53" s="634" t="s">
        <v>445</v>
      </c>
      <c r="W53" s="42"/>
      <c r="X53" s="409" t="s">
        <v>373</v>
      </c>
      <c r="Y53" s="32"/>
      <c r="Z53" s="29" t="str">
        <f t="shared" si="129"/>
        <v>19</v>
      </c>
      <c r="AA53" s="29" t="str">
        <f t="shared" si="130"/>
        <v>New Service - Multi User</v>
      </c>
      <c r="AB53" s="212"/>
      <c r="AC53" s="212"/>
      <c r="AD53" s="207">
        <v>3.4857495586923162</v>
      </c>
      <c r="AE53" s="208">
        <v>3.287068435678588</v>
      </c>
      <c r="AF53" s="208">
        <v>3.2804235406375506</v>
      </c>
      <c r="AG53" s="208">
        <v>3.3527484242431647</v>
      </c>
      <c r="AH53" s="56">
        <v>3.4095148065804057</v>
      </c>
      <c r="AI53" s="212">
        <v>16.815504765832024</v>
      </c>
      <c r="AJ53" s="32"/>
      <c r="AK53" s="29" t="str">
        <f t="shared" si="125"/>
        <v>19</v>
      </c>
      <c r="AL53" s="29" t="str">
        <f t="shared" si="125"/>
        <v>New Service - Multi User</v>
      </c>
      <c r="AM53" s="360"/>
      <c r="AN53" s="360"/>
      <c r="AO53" s="207">
        <f>AD53*(1+'Real Cost Escalation'!E$18)</f>
        <v>3.5092153484991</v>
      </c>
      <c r="AP53" s="208">
        <f>AE53*(1+'Real Cost Escalation'!F$18)</f>
        <v>3.3281109661362143</v>
      </c>
      <c r="AQ53" s="208">
        <f>AF53*(1+'Real Cost Escalation'!G$18)</f>
        <v>3.3448414371527835</v>
      </c>
      <c r="AR53" s="208">
        <f>AG53*(1+'Real Cost Escalation'!H$18)</f>
        <v>3.4482327782533226</v>
      </c>
      <c r="AS53" s="56">
        <f>AH53*(1+'Real Cost Escalation'!I$18)</f>
        <v>3.5406747373398875</v>
      </c>
      <c r="AT53" s="212">
        <f>SUM(AO53:AS53)</f>
        <v>17.171075267381308</v>
      </c>
      <c r="AU53" s="66"/>
      <c r="AV53" s="29" t="str">
        <f t="shared" si="126"/>
        <v>19</v>
      </c>
      <c r="AW53" s="29" t="str">
        <f t="shared" si="126"/>
        <v>New Service - Multi User</v>
      </c>
      <c r="AX53" s="360"/>
      <c r="AY53" s="360"/>
      <c r="AZ53" s="207">
        <f t="shared" si="127"/>
        <v>2.3465789806783821E-2</v>
      </c>
      <c r="BA53" s="208">
        <f t="shared" si="127"/>
        <v>4.1042530457626292E-2</v>
      </c>
      <c r="BB53" s="208">
        <f t="shared" si="127"/>
        <v>6.4417896515232886E-2</v>
      </c>
      <c r="BC53" s="208">
        <f t="shared" si="127"/>
        <v>9.5484354010157979E-2</v>
      </c>
      <c r="BD53" s="56">
        <f t="shared" si="127"/>
        <v>0.13115993075948174</v>
      </c>
      <c r="BE53" s="212">
        <f t="shared" si="128"/>
        <v>0.35557050154928271</v>
      </c>
      <c r="BF53" s="32"/>
    </row>
    <row r="54" spans="1:58" ht="18" customHeight="1" x14ac:dyDescent="0.2">
      <c r="A54" s="66"/>
      <c r="B54" s="29" t="str">
        <f>'Capex Model Category Index'!B27</f>
        <v>20</v>
      </c>
      <c r="C54" s="29" t="str">
        <f>'Capex Model Category Index'!C27</f>
        <v>New Service - I&amp;C &lt; 10 Tj</v>
      </c>
      <c r="D54" s="15"/>
      <c r="E54" s="15"/>
      <c r="F54" s="630" t="s">
        <v>445</v>
      </c>
      <c r="G54" s="631" t="s">
        <v>445</v>
      </c>
      <c r="H54" s="631" t="s">
        <v>445</v>
      </c>
      <c r="I54" s="631" t="s">
        <v>445</v>
      </c>
      <c r="J54" s="632" t="s">
        <v>445</v>
      </c>
      <c r="K54" s="16">
        <v>1677.5882991216392</v>
      </c>
      <c r="L54" s="409" t="s">
        <v>311</v>
      </c>
      <c r="M54" s="32"/>
      <c r="N54" s="359" t="str">
        <f t="shared" si="124"/>
        <v>20</v>
      </c>
      <c r="O54" s="359" t="str">
        <f t="shared" si="124"/>
        <v>New Service - I&amp;C &lt; 10 Tj</v>
      </c>
      <c r="P54" s="507"/>
      <c r="Q54" s="507"/>
      <c r="R54" s="635" t="s">
        <v>445</v>
      </c>
      <c r="S54" s="634" t="s">
        <v>445</v>
      </c>
      <c r="T54" s="634" t="s">
        <v>445</v>
      </c>
      <c r="U54" s="634" t="s">
        <v>445</v>
      </c>
      <c r="V54" s="634" t="s">
        <v>445</v>
      </c>
      <c r="W54" s="508"/>
      <c r="X54" s="509" t="s">
        <v>373</v>
      </c>
      <c r="Y54" s="32"/>
      <c r="Z54" s="29" t="str">
        <f t="shared" si="129"/>
        <v>20</v>
      </c>
      <c r="AA54" s="29" t="str">
        <f t="shared" si="130"/>
        <v>New Service - I&amp;C &lt; 10 Tj</v>
      </c>
      <c r="AB54" s="212"/>
      <c r="AC54" s="212"/>
      <c r="AD54" s="207">
        <v>1.6791789677849407</v>
      </c>
      <c r="AE54" s="208">
        <v>1.6891057380211161</v>
      </c>
      <c r="AF54" s="208">
        <v>1.6991008144902351</v>
      </c>
      <c r="AG54" s="208">
        <v>1.7091648850387602</v>
      </c>
      <c r="AH54" s="56">
        <v>1.719298647458201</v>
      </c>
      <c r="AI54" s="212">
        <v>8.495849052793254</v>
      </c>
      <c r="AJ54" s="32"/>
      <c r="AK54" s="29" t="str">
        <f t="shared" si="125"/>
        <v>20</v>
      </c>
      <c r="AL54" s="29" t="str">
        <f t="shared" si="125"/>
        <v>New Service - I&amp;C &lt; 10 Tj</v>
      </c>
      <c r="AM54" s="360"/>
      <c r="AN54" s="360"/>
      <c r="AO54" s="207">
        <f>AD54*(1+'Real Cost Escalation'!E$18)</f>
        <v>1.6904830675323694</v>
      </c>
      <c r="AP54" s="208">
        <f>AE54*(1+'Real Cost Escalation'!F$18)</f>
        <v>1.7101960119400925</v>
      </c>
      <c r="AQ54" s="208">
        <f>AF54*(1+'Real Cost Escalation'!G$18)</f>
        <v>1.7324661708476972</v>
      </c>
      <c r="AR54" s="208">
        <f>AG54*(1+'Real Cost Escalation'!H$18)</f>
        <v>1.7578409216195876</v>
      </c>
      <c r="AS54" s="56">
        <f>AH54*(1+'Real Cost Escalation'!I$18)</f>
        <v>1.785437996998571</v>
      </c>
      <c r="AT54" s="212">
        <f>SUM(AO54:AS54)</f>
        <v>8.6764241689383184</v>
      </c>
      <c r="AU54" s="66"/>
      <c r="AV54" s="29" t="str">
        <f t="shared" si="126"/>
        <v>20</v>
      </c>
      <c r="AW54" s="29" t="str">
        <f t="shared" si="126"/>
        <v>New Service - I&amp;C &lt; 10 Tj</v>
      </c>
      <c r="AX54" s="360"/>
      <c r="AY54" s="360"/>
      <c r="AZ54" s="207">
        <f t="shared" si="127"/>
        <v>1.1304099747428742E-2</v>
      </c>
      <c r="BA54" s="208">
        <f t="shared" si="127"/>
        <v>2.1090273918976443E-2</v>
      </c>
      <c r="BB54" s="208">
        <f t="shared" si="127"/>
        <v>3.3365356357462073E-2</v>
      </c>
      <c r="BC54" s="208">
        <f t="shared" si="127"/>
        <v>4.867603658082742E-2</v>
      </c>
      <c r="BD54" s="56">
        <f t="shared" si="127"/>
        <v>6.6139349540369929E-2</v>
      </c>
      <c r="BE54" s="212">
        <f t="shared" si="128"/>
        <v>0.18057511614506461</v>
      </c>
      <c r="BF54" s="32"/>
    </row>
    <row r="55" spans="1:58" ht="18" customHeight="1" thickBot="1" x14ac:dyDescent="0.25">
      <c r="A55" s="66"/>
      <c r="B55" s="24"/>
      <c r="C55" s="24" t="s">
        <v>78</v>
      </c>
      <c r="D55" s="27"/>
      <c r="E55" s="27"/>
      <c r="F55" s="26">
        <v>14264.978182786261</v>
      </c>
      <c r="G55" s="27">
        <v>13472.760458732881</v>
      </c>
      <c r="H55" s="27">
        <v>13448.17278601641</v>
      </c>
      <c r="I55" s="27">
        <v>13739.260582295054</v>
      </c>
      <c r="J55" s="28">
        <v>13968.170940864678</v>
      </c>
      <c r="K55" s="27">
        <v>68893.342950695282</v>
      </c>
      <c r="L55" s="2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24"/>
      <c r="AA55" s="24" t="s">
        <v>78</v>
      </c>
      <c r="AB55" s="210"/>
      <c r="AC55" s="210"/>
      <c r="AD55" s="209">
        <v>19.02874179026157</v>
      </c>
      <c r="AE55" s="210">
        <v>18.049776338802953</v>
      </c>
      <c r="AF55" s="210">
        <v>18.026697890619172</v>
      </c>
      <c r="AG55" s="210">
        <v>18.396743391449984</v>
      </c>
      <c r="AH55" s="211">
        <v>18.689419516704632</v>
      </c>
      <c r="AI55" s="210">
        <v>92.191378927838315</v>
      </c>
      <c r="AJ55" s="32"/>
      <c r="AK55" s="24"/>
      <c r="AL55" s="24" t="s">
        <v>78</v>
      </c>
      <c r="AM55" s="266"/>
      <c r="AN55" s="266"/>
      <c r="AO55" s="209">
        <f>SUM(AO51:AO54)</f>
        <v>19.156841772093127</v>
      </c>
      <c r="AP55" s="210">
        <f t="shared" ref="AP55:AT55" si="131">SUM(AP51:AP54)</f>
        <v>18.275146911285642</v>
      </c>
      <c r="AQ55" s="210">
        <f t="shared" si="131"/>
        <v>18.380689363014099</v>
      </c>
      <c r="AR55" s="210">
        <f t="shared" si="131"/>
        <v>18.920672101973437</v>
      </c>
      <c r="AS55" s="211">
        <f t="shared" si="131"/>
        <v>19.408378990062786</v>
      </c>
      <c r="AT55" s="210">
        <f t="shared" si="131"/>
        <v>94.141729138429099</v>
      </c>
      <c r="AU55" s="66"/>
      <c r="AV55" s="24"/>
      <c r="AW55" s="24" t="s">
        <v>78</v>
      </c>
      <c r="AX55" s="210"/>
      <c r="AY55" s="210"/>
      <c r="AZ55" s="209">
        <f>SUM(AZ51:AZ54)</f>
        <v>0.12809998183155757</v>
      </c>
      <c r="BA55" s="210">
        <f t="shared" ref="BA55:BE55" si="132">SUM(BA51:BA54)</f>
        <v>0.22537057248269021</v>
      </c>
      <c r="BB55" s="210">
        <f t="shared" si="132"/>
        <v>0.35399147239492845</v>
      </c>
      <c r="BC55" s="210">
        <f t="shared" si="132"/>
        <v>0.52392871052344736</v>
      </c>
      <c r="BD55" s="211">
        <f t="shared" si="132"/>
        <v>0.71895947335815635</v>
      </c>
      <c r="BE55" s="210">
        <f t="shared" si="132"/>
        <v>1.95035021059078</v>
      </c>
      <c r="BF55" s="32"/>
    </row>
    <row r="56" spans="1:58" x14ac:dyDescent="0.2">
      <c r="A56" s="6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</row>
    <row r="57" spans="1:58" ht="24" customHeight="1" x14ac:dyDescent="0.2">
      <c r="A57" s="66"/>
      <c r="B57" s="315" t="s">
        <v>233</v>
      </c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5"/>
      <c r="BE57" s="315"/>
      <c r="BF57" s="32"/>
    </row>
    <row r="58" spans="1:58" x14ac:dyDescent="0.2">
      <c r="A58" s="6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</row>
    <row r="59" spans="1:58" s="71" customFormat="1" ht="24" customHeight="1" x14ac:dyDescent="0.2">
      <c r="A59" s="69"/>
      <c r="B59" s="354" t="s">
        <v>235</v>
      </c>
      <c r="C59" s="354"/>
      <c r="D59" s="355"/>
      <c r="E59" s="355"/>
      <c r="F59" s="355"/>
      <c r="G59" s="355"/>
      <c r="H59" s="355"/>
      <c r="I59" s="355"/>
      <c r="J59" s="355"/>
      <c r="K59" s="355"/>
      <c r="L59" s="355"/>
      <c r="M59" s="32"/>
      <c r="N59" s="354" t="s">
        <v>236</v>
      </c>
      <c r="O59" s="354"/>
      <c r="P59" s="355"/>
      <c r="Q59" s="355"/>
      <c r="R59" s="355"/>
      <c r="S59" s="355"/>
      <c r="T59" s="355"/>
      <c r="U59" s="355"/>
      <c r="V59" s="355"/>
      <c r="W59" s="355"/>
      <c r="X59" s="355"/>
      <c r="Y59" s="70"/>
      <c r="Z59" s="354" t="s">
        <v>425</v>
      </c>
      <c r="AA59" s="354"/>
      <c r="AB59" s="355"/>
      <c r="AC59" s="355"/>
      <c r="AD59" s="355"/>
      <c r="AE59" s="355"/>
      <c r="AF59" s="355"/>
      <c r="AG59" s="355"/>
      <c r="AH59" s="355"/>
      <c r="AI59" s="355"/>
      <c r="AJ59" s="32"/>
      <c r="AK59" s="354" t="s">
        <v>432</v>
      </c>
      <c r="AL59" s="354"/>
      <c r="AM59" s="355"/>
      <c r="AN59" s="355"/>
      <c r="AO59" s="355"/>
      <c r="AP59" s="355"/>
      <c r="AQ59" s="355"/>
      <c r="AR59" s="355"/>
      <c r="AS59" s="355"/>
      <c r="AT59" s="355"/>
      <c r="AU59" s="66"/>
      <c r="AV59" s="354" t="s">
        <v>439</v>
      </c>
      <c r="AW59" s="354"/>
      <c r="AX59" s="355"/>
      <c r="AY59" s="355"/>
      <c r="AZ59" s="355"/>
      <c r="BA59" s="355"/>
      <c r="BB59" s="355"/>
      <c r="BC59" s="355"/>
      <c r="BD59" s="355"/>
      <c r="BE59" s="355"/>
      <c r="BF59" s="32"/>
    </row>
    <row r="60" spans="1:58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</row>
    <row r="61" spans="1:58" ht="22.5" x14ac:dyDescent="0.2">
      <c r="A61" s="32"/>
      <c r="B61" s="66" t="s">
        <v>257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66" t="s">
        <v>257</v>
      </c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10"/>
      <c r="AA61" s="11"/>
      <c r="AB61" s="3"/>
      <c r="AC61" s="4"/>
      <c r="AD61" s="5">
        <v>2018</v>
      </c>
      <c r="AE61" s="4">
        <v>2019</v>
      </c>
      <c r="AF61" s="4">
        <v>2020</v>
      </c>
      <c r="AG61" s="4">
        <v>2021</v>
      </c>
      <c r="AH61" s="6">
        <v>2022</v>
      </c>
      <c r="AI61" s="3" t="s">
        <v>73</v>
      </c>
      <c r="AJ61" s="32"/>
      <c r="AK61" s="10"/>
      <c r="AL61" s="11"/>
      <c r="AM61" s="3"/>
      <c r="AN61" s="4"/>
      <c r="AO61" s="5">
        <v>2018</v>
      </c>
      <c r="AP61" s="4">
        <v>2019</v>
      </c>
      <c r="AQ61" s="4">
        <v>2020</v>
      </c>
      <c r="AR61" s="4">
        <v>2021</v>
      </c>
      <c r="AS61" s="6">
        <v>2022</v>
      </c>
      <c r="AT61" s="3" t="s">
        <v>73</v>
      </c>
      <c r="AU61" s="32"/>
      <c r="AV61" s="10"/>
      <c r="AW61" s="11"/>
      <c r="AX61" s="3"/>
      <c r="AY61" s="4"/>
      <c r="AZ61" s="5">
        <v>2018</v>
      </c>
      <c r="BA61" s="4">
        <v>2019</v>
      </c>
      <c r="BB61" s="4">
        <v>2020</v>
      </c>
      <c r="BC61" s="4">
        <v>2021</v>
      </c>
      <c r="BD61" s="6">
        <v>2022</v>
      </c>
      <c r="BE61" s="3" t="s">
        <v>73</v>
      </c>
      <c r="BF61" s="32"/>
    </row>
    <row r="62" spans="1:58" ht="18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29">
        <f>'Capex Model Category Index'!B32</f>
        <v>21</v>
      </c>
      <c r="AA62" s="29" t="str">
        <f>'Capex Model Category Index'!C32</f>
        <v>Telemetry</v>
      </c>
      <c r="AB62" s="360"/>
      <c r="AC62" s="360"/>
      <c r="AD62" s="595">
        <f>'Business Cases'!D59/1000*$S$6</f>
        <v>0.27193106640000003</v>
      </c>
      <c r="AE62" s="595">
        <f>'Business Cases'!E59/1000*$S$6</f>
        <v>0.26010602640000002</v>
      </c>
      <c r="AF62" s="595">
        <f>'Business Cases'!F59/1000*$S$6</f>
        <v>0.25346157720000001</v>
      </c>
      <c r="AG62" s="595">
        <f>'Business Cases'!G59/1000*$S$6</f>
        <v>0.16524474</v>
      </c>
      <c r="AH62" s="595">
        <f>'Business Cases'!H59/1000*$S$6</f>
        <v>0.14169660000000003</v>
      </c>
      <c r="AI62" s="212">
        <f>SUM(AD62:AH62)</f>
        <v>1.09244001</v>
      </c>
      <c r="AJ62" s="32"/>
      <c r="AK62" s="29">
        <f t="shared" ref="AK62:AK69" si="133">$Z62</f>
        <v>21</v>
      </c>
      <c r="AL62" s="29" t="str">
        <f t="shared" ref="AL62:AL69" si="134">$AA62</f>
        <v>Telemetry</v>
      </c>
      <c r="AM62" s="578"/>
      <c r="AN62" s="578"/>
      <c r="AO62" s="207">
        <f>AD62*(1+'Real Cost Escalation'!E$18)</f>
        <v>0.27376168479028706</v>
      </c>
      <c r="AP62" s="208">
        <f>AE62*(1+'Real Cost Escalation'!F$18)</f>
        <v>0.26335372559447401</v>
      </c>
      <c r="AQ62" s="208">
        <f>AF62*(1+'Real Cost Escalation'!G$18)</f>
        <v>0.25843881914708228</v>
      </c>
      <c r="AR62" s="208">
        <f>AG62*(1+'Real Cost Escalation'!H$18)</f>
        <v>0.169950815510583</v>
      </c>
      <c r="AS62" s="56">
        <f>AH62*(1+'Real Cost Escalation'!I$18)</f>
        <v>0.14714749764942067</v>
      </c>
      <c r="AT62" s="212">
        <f>SUM(AO62:AS62)</f>
        <v>1.112652542691847</v>
      </c>
      <c r="AU62" s="32"/>
      <c r="AV62" s="29">
        <f t="shared" ref="AV62:AV69" si="135">$Z62</f>
        <v>21</v>
      </c>
      <c r="AW62" s="29" t="str">
        <f t="shared" ref="AW62:AW69" si="136">$AA62</f>
        <v>Telemetry</v>
      </c>
      <c r="AX62" s="15"/>
      <c r="AY62" s="15"/>
      <c r="AZ62" s="207">
        <f t="shared" ref="AZ62:BD69" si="137">AO62-AD62</f>
        <v>1.830618390287031E-3</v>
      </c>
      <c r="BA62" s="208">
        <f t="shared" si="137"/>
        <v>3.2476991944739853E-3</v>
      </c>
      <c r="BB62" s="208">
        <f t="shared" si="137"/>
        <v>4.9772419470822671E-3</v>
      </c>
      <c r="BC62" s="208">
        <f t="shared" si="137"/>
        <v>4.7060755105829966E-3</v>
      </c>
      <c r="BD62" s="56">
        <f t="shared" si="137"/>
        <v>5.4508976494206385E-3</v>
      </c>
      <c r="BE62" s="212">
        <f>SUM(AZ62:BD62)</f>
        <v>2.0212532691846918E-2</v>
      </c>
      <c r="BF62" s="32"/>
    </row>
    <row r="63" spans="1:58" ht="18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29">
        <f>'Capex Model Category Index'!B33</f>
        <v>22</v>
      </c>
      <c r="AA63" s="29" t="str">
        <f>'Capex Model Category Index'!C33</f>
        <v>Regulators</v>
      </c>
      <c r="AB63" s="360"/>
      <c r="AC63" s="360"/>
      <c r="AD63" s="595">
        <f>'Business Cases'!D53/1000*$S$6</f>
        <v>2.4269141231999996</v>
      </c>
      <c r="AE63" s="595">
        <f>'Business Cases'!E53/1000*$S$6</f>
        <v>4.3881204534000009</v>
      </c>
      <c r="AF63" s="595">
        <f>'Business Cases'!F53/1000*$S$6</f>
        <v>9.8184041087999994</v>
      </c>
      <c r="AG63" s="595">
        <f>'Business Cases'!G53/1000*$S$6</f>
        <v>5.5392361080000017</v>
      </c>
      <c r="AH63" s="595">
        <f>'Business Cases'!H53/1000*$S$6</f>
        <v>2.7010042788000002</v>
      </c>
      <c r="AI63" s="212">
        <f t="shared" ref="AI63:AI69" si="138">SUM(AD63:AH63)</f>
        <v>24.873679072200002</v>
      </c>
      <c r="AJ63" s="32"/>
      <c r="AK63" s="29">
        <f t="shared" si="133"/>
        <v>22</v>
      </c>
      <c r="AL63" s="29" t="str">
        <f t="shared" si="134"/>
        <v>Regulators</v>
      </c>
      <c r="AM63" s="578"/>
      <c r="AN63" s="578"/>
      <c r="AO63" s="207">
        <f>AD63*(1+'Real Cost Escalation'!E$18)</f>
        <v>2.4432519167606737</v>
      </c>
      <c r="AP63" s="208">
        <f>AE63*(1+'Real Cost Escalation'!F$18)</f>
        <v>4.4429107843239208</v>
      </c>
      <c r="AQ63" s="208">
        <f>AF63*(1+'Real Cost Escalation'!G$18)</f>
        <v>10.011208767098022</v>
      </c>
      <c r="AR63" s="208">
        <f>AG63*(1+'Real Cost Escalation'!H$18)</f>
        <v>5.6969903783943021</v>
      </c>
      <c r="AS63" s="56">
        <f>AH63*(1+'Real Cost Escalation'!I$18)</f>
        <v>2.8049086623518003</v>
      </c>
      <c r="AT63" s="212">
        <f t="shared" ref="AT63:AT69" si="139">SUM(AO63:AS63)</f>
        <v>25.399270508928716</v>
      </c>
      <c r="AU63" s="32"/>
      <c r="AV63" s="29">
        <f t="shared" si="135"/>
        <v>22</v>
      </c>
      <c r="AW63" s="29" t="str">
        <f t="shared" si="136"/>
        <v>Regulators</v>
      </c>
      <c r="AX63" s="15"/>
      <c r="AY63" s="15"/>
      <c r="AZ63" s="207">
        <f t="shared" si="137"/>
        <v>1.6337793560674108E-2</v>
      </c>
      <c r="BA63" s="208">
        <f t="shared" si="137"/>
        <v>5.4790330923919939E-2</v>
      </c>
      <c r="BB63" s="208">
        <f t="shared" si="137"/>
        <v>0.19280465829802296</v>
      </c>
      <c r="BC63" s="208">
        <f t="shared" si="137"/>
        <v>0.15775427039430046</v>
      </c>
      <c r="BD63" s="56">
        <f t="shared" si="137"/>
        <v>0.10390438355180009</v>
      </c>
      <c r="BE63" s="212">
        <f t="shared" ref="BE63:BE69" si="140">SUM(AZ63:BD63)</f>
        <v>0.52559143672871755</v>
      </c>
      <c r="BF63" s="32"/>
    </row>
    <row r="64" spans="1:58" ht="18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29">
        <f>'Capex Model Category Index'!B34</f>
        <v>23</v>
      </c>
      <c r="AA64" s="29" t="str">
        <f>'Capex Model Category Index'!C34</f>
        <v>Information Technology</v>
      </c>
      <c r="AB64" s="360"/>
      <c r="AC64" s="360"/>
      <c r="AD64" s="595">
        <f>'Business Cases'!D28/1000*$S$6</f>
        <v>11.136838238946279</v>
      </c>
      <c r="AE64" s="595">
        <f>'Business Cases'!E28/1000*$S$6</f>
        <v>23.386691028286787</v>
      </c>
      <c r="AF64" s="595">
        <f>'Business Cases'!F28/1000*$S$6</f>
        <v>15.902343710792943</v>
      </c>
      <c r="AG64" s="595">
        <f>'Business Cases'!G28/1000*$S$6</f>
        <v>5.0595712189581263</v>
      </c>
      <c r="AH64" s="595">
        <f>'Business Cases'!H28/1000*$S$6</f>
        <v>5.9041477981432378</v>
      </c>
      <c r="AI64" s="212">
        <f t="shared" si="138"/>
        <v>61.389591995127368</v>
      </c>
      <c r="AJ64" s="32"/>
      <c r="AK64" s="29">
        <f t="shared" si="133"/>
        <v>23</v>
      </c>
      <c r="AL64" s="29" t="str">
        <f t="shared" si="134"/>
        <v>Information Technology</v>
      </c>
      <c r="AM64" s="578"/>
      <c r="AN64" s="578"/>
      <c r="AO64" s="207">
        <f>AD64*(1+'Real Cost Escalation'!E$18)</f>
        <v>11.21181055145094</v>
      </c>
      <c r="AP64" s="208">
        <f>AE64*(1+'Real Cost Escalation'!F$18)</f>
        <v>23.678698632513441</v>
      </c>
      <c r="AQ64" s="208">
        <f>AF64*(1+'Real Cost Escalation'!G$18)</f>
        <v>16.214619098047489</v>
      </c>
      <c r="AR64" s="208">
        <f>AG64*(1+'Real Cost Escalation'!H$18)</f>
        <v>5.2036649081586992</v>
      </c>
      <c r="AS64" s="56">
        <f>AH64*(1+'Real Cost Escalation'!I$18)</f>
        <v>6.1312732574325288</v>
      </c>
      <c r="AT64" s="212">
        <f t="shared" si="139"/>
        <v>62.440066447603101</v>
      </c>
      <c r="AU64" s="32"/>
      <c r="AV64" s="29">
        <f t="shared" si="135"/>
        <v>23</v>
      </c>
      <c r="AW64" s="29" t="str">
        <f t="shared" si="136"/>
        <v>Information Technology</v>
      </c>
      <c r="AX64" s="15"/>
      <c r="AY64" s="15"/>
      <c r="AZ64" s="207">
        <f t="shared" si="137"/>
        <v>7.4972312504661076E-2</v>
      </c>
      <c r="BA64" s="208">
        <f t="shared" si="137"/>
        <v>0.29200760422665439</v>
      </c>
      <c r="BB64" s="208">
        <f t="shared" si="137"/>
        <v>0.31227538725454629</v>
      </c>
      <c r="BC64" s="208">
        <f t="shared" si="137"/>
        <v>0.14409368920057286</v>
      </c>
      <c r="BD64" s="56">
        <f t="shared" si="137"/>
        <v>0.22712545928929107</v>
      </c>
      <c r="BE64" s="212">
        <f t="shared" si="140"/>
        <v>1.0504744524757257</v>
      </c>
      <c r="BF64" s="32"/>
    </row>
    <row r="65" spans="1:58" ht="18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29">
        <f>'Capex Model Category Index'!B35</f>
        <v>24</v>
      </c>
      <c r="AA65" s="29" t="str">
        <f>'Capex Model Category Index'!C35</f>
        <v>Other Distribution System</v>
      </c>
      <c r="AB65" s="360"/>
      <c r="AC65" s="577"/>
      <c r="AD65" s="595">
        <f>'Business Cases'!D35/1000*$S$6</f>
        <v>0.59267916000000009</v>
      </c>
      <c r="AE65" s="595">
        <f>'Business Cases'!E35/1000*$S$6</f>
        <v>0.33069335999999999</v>
      </c>
      <c r="AF65" s="595">
        <f>'Business Cases'!F35/1000*$S$6</f>
        <v>0.34496495999999999</v>
      </c>
      <c r="AG65" s="595">
        <f>'Business Cases'!G35/1000*$S$6</f>
        <v>0.33884856000000002</v>
      </c>
      <c r="AH65" s="595">
        <f>'Business Cases'!H35/1000*$S$6</f>
        <v>0.33813498000000003</v>
      </c>
      <c r="AI65" s="207">
        <f t="shared" si="138"/>
        <v>1.94532102</v>
      </c>
      <c r="AJ65" s="32"/>
      <c r="AK65" s="29">
        <f t="shared" si="133"/>
        <v>24</v>
      </c>
      <c r="AL65" s="29" t="str">
        <f t="shared" si="134"/>
        <v>Other Distribution System</v>
      </c>
      <c r="AM65" s="578"/>
      <c r="AN65" s="578"/>
      <c r="AO65" s="207">
        <f>AD65*(1+'Real Cost Escalation'!E$18)</f>
        <v>0.59666902913926168</v>
      </c>
      <c r="AP65" s="208">
        <f>AE65*(1+'Real Cost Escalation'!F$18)</f>
        <v>0.33482241680715857</v>
      </c>
      <c r="AQ65" s="208">
        <f>AF65*(1+'Real Cost Escalation'!G$18)</f>
        <v>0.35173905999635063</v>
      </c>
      <c r="AR65" s="208">
        <f>AG65*(1+'Real Cost Escalation'!H$18)</f>
        <v>0.34849877282984448</v>
      </c>
      <c r="AS65" s="56">
        <f>AH65*(1+'Real Cost Escalation'!I$18)</f>
        <v>0.35114262568570381</v>
      </c>
      <c r="AT65" s="207">
        <f t="shared" si="139"/>
        <v>1.9828719044583192</v>
      </c>
      <c r="AU65" s="32"/>
      <c r="AV65" s="29">
        <f t="shared" si="135"/>
        <v>24</v>
      </c>
      <c r="AW65" s="29" t="str">
        <f t="shared" si="136"/>
        <v>Other Distribution System</v>
      </c>
      <c r="AX65" s="32"/>
      <c r="AY65" s="32"/>
      <c r="AZ65" s="207">
        <f t="shared" si="137"/>
        <v>3.9898691392615815E-3</v>
      </c>
      <c r="BA65" s="208">
        <f t="shared" si="137"/>
        <v>4.129056807158582E-3</v>
      </c>
      <c r="BB65" s="208">
        <f t="shared" si="137"/>
        <v>6.7740999963506465E-3</v>
      </c>
      <c r="BC65" s="208">
        <f t="shared" si="137"/>
        <v>9.6502128298444623E-3</v>
      </c>
      <c r="BD65" s="56">
        <f t="shared" si="137"/>
        <v>1.3007645685703784E-2</v>
      </c>
      <c r="BE65" s="207">
        <f t="shared" si="140"/>
        <v>3.7550884458319056E-2</v>
      </c>
      <c r="BF65" s="32"/>
    </row>
    <row r="66" spans="1:58" ht="18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29">
        <f>'Capex Model Category Index'!B36</f>
        <v>25</v>
      </c>
      <c r="AA66" s="29" t="str">
        <f>'Capex Model Category Index'!C36</f>
        <v>Other Non-Distribution System</v>
      </c>
      <c r="AB66" s="360"/>
      <c r="AC66" s="360"/>
      <c r="AD66" s="595">
        <f>'Business Cases'!D40/1000*$S$6</f>
        <v>1.6310400000000003</v>
      </c>
      <c r="AE66" s="595">
        <f>'Business Cases'!E40/1000*$S$6</f>
        <v>1.6320594000000002</v>
      </c>
      <c r="AF66" s="595">
        <f>'Business Cases'!F40/1000*$S$6</f>
        <v>1.2141054000000002</v>
      </c>
      <c r="AG66" s="595">
        <f>'Business Cases'!G40/1000*$S$6</f>
        <v>2.1539922000000002</v>
      </c>
      <c r="AH66" s="595">
        <f>'Business Cases'!H40/1000*$S$6</f>
        <v>0.94090620000000014</v>
      </c>
      <c r="AI66" s="207">
        <f t="shared" si="138"/>
        <v>7.5721032000000008</v>
      </c>
      <c r="AJ66" s="32"/>
      <c r="AK66" s="29">
        <f t="shared" si="133"/>
        <v>25</v>
      </c>
      <c r="AL66" s="29" t="str">
        <f t="shared" si="134"/>
        <v>Other Non-Distribution System</v>
      </c>
      <c r="AM66" s="578"/>
      <c r="AN66" s="578"/>
      <c r="AO66" s="207">
        <f>AD66*(1+'Real Cost Escalation'!E$18)</f>
        <v>1.6420200320309919</v>
      </c>
      <c r="AP66" s="208">
        <f>AE66*(1+'Real Cost Escalation'!F$18)</f>
        <v>1.6524373899761435</v>
      </c>
      <c r="AQ66" s="208">
        <f>AF66*(1+'Real Cost Escalation'!G$18)</f>
        <v>1.2379468689587876</v>
      </c>
      <c r="AR66" s="208">
        <f>AG66*(1+'Real Cost Escalation'!H$18)</f>
        <v>2.2153366636265388</v>
      </c>
      <c r="AS66" s="56">
        <f>AH66*(1+'Real Cost Escalation'!I$18)</f>
        <v>0.97710172899579328</v>
      </c>
      <c r="AT66" s="207">
        <f t="shared" si="139"/>
        <v>7.7248426835882551</v>
      </c>
      <c r="AU66" s="32"/>
      <c r="AV66" s="29">
        <f t="shared" si="135"/>
        <v>25</v>
      </c>
      <c r="AW66" s="29" t="str">
        <f t="shared" si="136"/>
        <v>Other Non-Distribution System</v>
      </c>
      <c r="AX66" s="32"/>
      <c r="AY66" s="32"/>
      <c r="AZ66" s="207">
        <f t="shared" si="137"/>
        <v>1.0980032030991627E-2</v>
      </c>
      <c r="BA66" s="208">
        <f t="shared" si="137"/>
        <v>2.0377989976143374E-2</v>
      </c>
      <c r="BB66" s="208">
        <f t="shared" si="137"/>
        <v>2.384146895878736E-2</v>
      </c>
      <c r="BC66" s="208">
        <f t="shared" si="137"/>
        <v>6.1344463626538559E-2</v>
      </c>
      <c r="BD66" s="56">
        <f t="shared" si="137"/>
        <v>3.6195528995793147E-2</v>
      </c>
      <c r="BE66" s="207">
        <f t="shared" si="140"/>
        <v>0.15273948358825407</v>
      </c>
      <c r="BF66" s="32"/>
    </row>
    <row r="67" spans="1:58" ht="18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29">
        <f>'Capex Model Category Index'!B37</f>
        <v>26</v>
      </c>
      <c r="AA67" s="29" t="str">
        <f>'Capex Model Category Index'!C37</f>
        <v>Large Consumers</v>
      </c>
      <c r="AB67" s="360"/>
      <c r="AC67" s="577"/>
      <c r="AD67" s="595">
        <f>0*$S$6</f>
        <v>0</v>
      </c>
      <c r="AE67" s="595">
        <f t="shared" ref="AE67:AH67" si="141">0*$S$6</f>
        <v>0</v>
      </c>
      <c r="AF67" s="595">
        <f t="shared" si="141"/>
        <v>0</v>
      </c>
      <c r="AG67" s="595">
        <f t="shared" si="141"/>
        <v>0</v>
      </c>
      <c r="AH67" s="595">
        <f t="shared" si="141"/>
        <v>0</v>
      </c>
      <c r="AI67" s="207">
        <f t="shared" si="138"/>
        <v>0</v>
      </c>
      <c r="AJ67" s="32"/>
      <c r="AK67" s="29">
        <f t="shared" si="133"/>
        <v>26</v>
      </c>
      <c r="AL67" s="29" t="str">
        <f t="shared" si="134"/>
        <v>Large Consumers</v>
      </c>
      <c r="AM67" s="578"/>
      <c r="AN67" s="578"/>
      <c r="AO67" s="207">
        <f>AD67*(1+'Real Cost Escalation'!E$18)</f>
        <v>0</v>
      </c>
      <c r="AP67" s="208">
        <f>AE67*(1+'Real Cost Escalation'!F$18)</f>
        <v>0</v>
      </c>
      <c r="AQ67" s="208">
        <f>AF67*(1+'Real Cost Escalation'!G$18)</f>
        <v>0</v>
      </c>
      <c r="AR67" s="208">
        <f>AG67*(1+'Real Cost Escalation'!H$18)</f>
        <v>0</v>
      </c>
      <c r="AS67" s="56">
        <f>AH67*(1+'Real Cost Escalation'!I$18)</f>
        <v>0</v>
      </c>
      <c r="AT67" s="207">
        <f t="shared" si="139"/>
        <v>0</v>
      </c>
      <c r="AU67" s="32"/>
      <c r="AV67" s="29">
        <f t="shared" si="135"/>
        <v>26</v>
      </c>
      <c r="AW67" s="29" t="str">
        <f t="shared" si="136"/>
        <v>Large Consumers</v>
      </c>
      <c r="AX67" s="32"/>
      <c r="AY67" s="32"/>
      <c r="AZ67" s="207">
        <f t="shared" si="137"/>
        <v>0</v>
      </c>
      <c r="BA67" s="208">
        <f t="shared" si="137"/>
        <v>0</v>
      </c>
      <c r="BB67" s="208">
        <f t="shared" si="137"/>
        <v>0</v>
      </c>
      <c r="BC67" s="208">
        <f t="shared" si="137"/>
        <v>0</v>
      </c>
      <c r="BD67" s="56">
        <f t="shared" si="137"/>
        <v>0</v>
      </c>
      <c r="BE67" s="207">
        <f t="shared" si="140"/>
        <v>0</v>
      </c>
      <c r="BF67" s="32"/>
    </row>
    <row r="68" spans="1:58" ht="18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29">
        <f>'Capex Model Category Index'!B38</f>
        <v>27</v>
      </c>
      <c r="AA68" s="29" t="str">
        <f>'Capex Model Category Index'!C38</f>
        <v>Mains Augmentation</v>
      </c>
      <c r="AB68" s="360"/>
      <c r="AC68" s="360"/>
      <c r="AD68" s="595">
        <f>'Business Cases'!D19/1000*$S$6</f>
        <v>9.2684663520000008</v>
      </c>
      <c r="AE68" s="595">
        <f>'Business Cases'!E19/1000*$S$6</f>
        <v>11.966736600000003</v>
      </c>
      <c r="AF68" s="595">
        <f>'Business Cases'!F19/1000*$S$6</f>
        <v>7.3804560000000006</v>
      </c>
      <c r="AG68" s="595">
        <f>'Business Cases'!G19/1000*$S$6</f>
        <v>3.4527078000000002</v>
      </c>
      <c r="AH68" s="595">
        <f>'Business Cases'!H19/1000*$S$6</f>
        <v>2.1397206000000004</v>
      </c>
      <c r="AI68" s="207">
        <f t="shared" si="138"/>
        <v>34.208087352000007</v>
      </c>
      <c r="AJ68" s="32"/>
      <c r="AK68" s="29">
        <f t="shared" si="133"/>
        <v>27</v>
      </c>
      <c r="AL68" s="29" t="str">
        <f t="shared" si="134"/>
        <v>Mains Augmentation</v>
      </c>
      <c r="AM68" s="578"/>
      <c r="AN68" s="578"/>
      <c r="AO68" s="207">
        <f>AD68*(1+'Real Cost Escalation'!E$18)</f>
        <v>9.3308609330177124</v>
      </c>
      <c r="AP68" s="208">
        <f>AE68*(1+'Real Cost Escalation'!F$18)</f>
        <v>12.116153979344128</v>
      </c>
      <c r="AQ68" s="208">
        <f>AF68*(1+'Real Cost Escalation'!G$18)</f>
        <v>7.5253865081961555</v>
      </c>
      <c r="AR68" s="208">
        <f>AG68*(1+'Real Cost Escalation'!H$18)</f>
        <v>3.5510389397553648</v>
      </c>
      <c r="AS68" s="56">
        <f>AH68*(1+'Real Cost Escalation'!I$18)</f>
        <v>2.2220330760153524</v>
      </c>
      <c r="AT68" s="207">
        <f t="shared" si="139"/>
        <v>34.745473436328709</v>
      </c>
      <c r="AU68" s="32"/>
      <c r="AV68" s="29">
        <f t="shared" si="135"/>
        <v>27</v>
      </c>
      <c r="AW68" s="29" t="str">
        <f t="shared" si="136"/>
        <v>Mains Augmentation</v>
      </c>
      <c r="AX68" s="32"/>
      <c r="AY68" s="32"/>
      <c r="AZ68" s="207">
        <f t="shared" si="137"/>
        <v>6.2394581017711559E-2</v>
      </c>
      <c r="BA68" s="208">
        <f t="shared" si="137"/>
        <v>0.14941737934412558</v>
      </c>
      <c r="BB68" s="208">
        <f t="shared" si="137"/>
        <v>0.14493050819615494</v>
      </c>
      <c r="BC68" s="208">
        <f t="shared" si="137"/>
        <v>9.8331139755364561E-2</v>
      </c>
      <c r="BD68" s="56">
        <f t="shared" si="137"/>
        <v>8.2312476015351965E-2</v>
      </c>
      <c r="BE68" s="207">
        <f t="shared" si="140"/>
        <v>0.5373860843287086</v>
      </c>
      <c r="BF68" s="32"/>
    </row>
    <row r="69" spans="1:58" ht="18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29">
        <f>'Capex Model Category Index'!B39</f>
        <v>28</v>
      </c>
      <c r="AA69" s="29" t="str">
        <f>'Capex Model Category Index'!C39</f>
        <v>Growth New Areas</v>
      </c>
      <c r="AB69" s="360"/>
      <c r="AC69" s="360"/>
      <c r="AD69" s="595">
        <f>0*$S$6</f>
        <v>0</v>
      </c>
      <c r="AE69" s="595">
        <f t="shared" ref="AE69:AH69" si="142">0*$S$6</f>
        <v>0</v>
      </c>
      <c r="AF69" s="595">
        <f t="shared" si="142"/>
        <v>0</v>
      </c>
      <c r="AG69" s="595">
        <f t="shared" si="142"/>
        <v>0</v>
      </c>
      <c r="AH69" s="595">
        <f t="shared" si="142"/>
        <v>0</v>
      </c>
      <c r="AI69" s="215">
        <f t="shared" si="138"/>
        <v>0</v>
      </c>
      <c r="AJ69" s="32"/>
      <c r="AK69" s="29">
        <f t="shared" si="133"/>
        <v>28</v>
      </c>
      <c r="AL69" s="29" t="str">
        <f t="shared" si="134"/>
        <v>Growth New Areas</v>
      </c>
      <c r="AM69" s="578"/>
      <c r="AN69" s="578"/>
      <c r="AO69" s="207">
        <f>AD69*(1+'Real Cost Escalation'!E$18)</f>
        <v>0</v>
      </c>
      <c r="AP69" s="208">
        <f>AE69*(1+'Real Cost Escalation'!F$18)</f>
        <v>0</v>
      </c>
      <c r="AQ69" s="208">
        <f>AF69*(1+'Real Cost Escalation'!G$18)</f>
        <v>0</v>
      </c>
      <c r="AR69" s="208">
        <f>AG69*(1+'Real Cost Escalation'!H$18)</f>
        <v>0</v>
      </c>
      <c r="AS69" s="56">
        <f>AH69*(1+'Real Cost Escalation'!I$18)</f>
        <v>0</v>
      </c>
      <c r="AT69" s="215">
        <f t="shared" si="139"/>
        <v>0</v>
      </c>
      <c r="AU69" s="32"/>
      <c r="AV69" s="29">
        <f t="shared" si="135"/>
        <v>28</v>
      </c>
      <c r="AW69" s="29" t="str">
        <f t="shared" si="136"/>
        <v>Growth New Areas</v>
      </c>
      <c r="AX69" s="32"/>
      <c r="AY69" s="32"/>
      <c r="AZ69" s="207">
        <f t="shared" si="137"/>
        <v>0</v>
      </c>
      <c r="BA69" s="208">
        <f t="shared" si="137"/>
        <v>0</v>
      </c>
      <c r="BB69" s="208">
        <f t="shared" si="137"/>
        <v>0</v>
      </c>
      <c r="BC69" s="208">
        <f t="shared" si="137"/>
        <v>0</v>
      </c>
      <c r="BD69" s="56">
        <f t="shared" si="137"/>
        <v>0</v>
      </c>
      <c r="BE69" s="215">
        <f t="shared" si="140"/>
        <v>0</v>
      </c>
      <c r="BF69" s="32"/>
    </row>
    <row r="70" spans="1:58" ht="18" customHeight="1" thickBo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24"/>
      <c r="AA70" s="24" t="s">
        <v>92</v>
      </c>
      <c r="AB70" s="266"/>
      <c r="AC70" s="266"/>
      <c r="AD70" s="209">
        <f>SUM(AD62:AD69)</f>
        <v>25.327868940546278</v>
      </c>
      <c r="AE70" s="210">
        <f t="shared" ref="AE70:AH70" si="143">SUM(AE62:AE69)</f>
        <v>41.96440686808679</v>
      </c>
      <c r="AF70" s="210">
        <f t="shared" si="143"/>
        <v>34.913735756792946</v>
      </c>
      <c r="AG70" s="210">
        <f t="shared" si="143"/>
        <v>16.709600626958128</v>
      </c>
      <c r="AH70" s="211">
        <f t="shared" si="143"/>
        <v>12.165610456943238</v>
      </c>
      <c r="AI70" s="325">
        <f>SUM(AI62:AI69)</f>
        <v>131.08122264932737</v>
      </c>
      <c r="AJ70" s="32"/>
      <c r="AK70" s="24"/>
      <c r="AL70" s="24" t="s">
        <v>92</v>
      </c>
      <c r="AM70" s="266"/>
      <c r="AN70" s="266"/>
      <c r="AO70" s="209">
        <f>SUM(AO62:AO69)</f>
        <v>25.498374147189871</v>
      </c>
      <c r="AP70" s="210">
        <f t="shared" ref="AP70:AT70" si="144">SUM(AP62:AP69)</f>
        <v>42.488376928559269</v>
      </c>
      <c r="AQ70" s="210">
        <f t="shared" si="144"/>
        <v>35.599339121443883</v>
      </c>
      <c r="AR70" s="210">
        <f t="shared" si="144"/>
        <v>17.185480478275331</v>
      </c>
      <c r="AS70" s="211">
        <f t="shared" si="144"/>
        <v>12.633606848130597</v>
      </c>
      <c r="AT70" s="325">
        <f t="shared" si="144"/>
        <v>133.40517752359892</v>
      </c>
      <c r="AU70" s="32"/>
      <c r="AV70" s="24"/>
      <c r="AW70" s="24" t="str">
        <f>AL70</f>
        <v>Total</v>
      </c>
      <c r="AX70" s="22"/>
      <c r="AY70" s="22"/>
      <c r="AZ70" s="209">
        <f>SUM(AZ62:AZ69)</f>
        <v>0.17050520664358698</v>
      </c>
      <c r="BA70" s="210">
        <f t="shared" ref="BA70:BD70" si="145">SUM(BA62:BA69)</f>
        <v>0.52397006047247585</v>
      </c>
      <c r="BB70" s="210">
        <f t="shared" si="145"/>
        <v>0.68560336465094451</v>
      </c>
      <c r="BC70" s="210">
        <f t="shared" si="145"/>
        <v>0.47587985131720389</v>
      </c>
      <c r="BD70" s="211">
        <f t="shared" si="145"/>
        <v>0.46799639118736069</v>
      </c>
      <c r="BE70" s="325">
        <f>SUM(BE62:BE69)</f>
        <v>2.3239548742715721</v>
      </c>
      <c r="BF70" s="32"/>
    </row>
    <row r="71" spans="1:58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488"/>
      <c r="AB71" s="513"/>
      <c r="AC71" s="513"/>
      <c r="AD71" s="514"/>
      <c r="AE71" s="514"/>
      <c r="AF71" s="514"/>
      <c r="AG71" s="514"/>
      <c r="AH71" s="514"/>
      <c r="AI71" s="514"/>
      <c r="AJ71" s="32"/>
      <c r="AK71" s="32"/>
      <c r="AL71" s="488"/>
      <c r="AM71" s="513"/>
      <c r="AN71" s="513"/>
      <c r="AO71" s="514"/>
      <c r="AP71" s="514"/>
      <c r="AQ71" s="514"/>
      <c r="AR71" s="514"/>
      <c r="AS71" s="514"/>
      <c r="AT71" s="514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</row>
    <row r="72" spans="1:58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66"/>
      <c r="AA72" s="32"/>
      <c r="AB72" s="32"/>
      <c r="AC72" s="32"/>
      <c r="AD72" s="334"/>
      <c r="AE72" s="334"/>
      <c r="AF72" s="334"/>
      <c r="AG72" s="334"/>
      <c r="AH72" s="334"/>
      <c r="AI72" s="334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pans="1:58" ht="24" customHeight="1" x14ac:dyDescent="0.2">
      <c r="A73" s="66"/>
      <c r="B73" s="315" t="s">
        <v>258</v>
      </c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5"/>
      <c r="BE73" s="315"/>
      <c r="BF73" s="32"/>
    </row>
    <row r="74" spans="1:58" x14ac:dyDescent="0.2">
      <c r="A74" s="6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</row>
    <row r="75" spans="1:58" ht="22.5" x14ac:dyDescent="0.2">
      <c r="A75" s="66"/>
      <c r="B75" s="66" t="s">
        <v>257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66" t="s">
        <v>257</v>
      </c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32"/>
      <c r="Z75" s="10" t="s">
        <v>422</v>
      </c>
      <c r="AA75" s="11"/>
      <c r="AB75" s="3"/>
      <c r="AC75" s="4"/>
      <c r="AD75" s="5">
        <v>2018</v>
      </c>
      <c r="AE75" s="4">
        <v>2019</v>
      </c>
      <c r="AF75" s="4">
        <v>2020</v>
      </c>
      <c r="AG75" s="4">
        <v>2021</v>
      </c>
      <c r="AH75" s="6">
        <v>2022</v>
      </c>
      <c r="AI75" s="301" t="s">
        <v>73</v>
      </c>
      <c r="AJ75" s="32"/>
      <c r="AK75" s="10" t="s">
        <v>244</v>
      </c>
      <c r="AL75" s="11"/>
      <c r="AM75" s="3"/>
      <c r="AN75" s="4"/>
      <c r="AO75" s="5">
        <v>2018</v>
      </c>
      <c r="AP75" s="4">
        <v>2019</v>
      </c>
      <c r="AQ75" s="4">
        <v>2020</v>
      </c>
      <c r="AR75" s="4">
        <v>2021</v>
      </c>
      <c r="AS75" s="6">
        <v>2022</v>
      </c>
      <c r="AT75" s="301" t="s">
        <v>73</v>
      </c>
      <c r="AU75" s="32"/>
      <c r="AV75" s="10" t="s">
        <v>64</v>
      </c>
      <c r="AW75" s="11"/>
      <c r="AX75" s="3"/>
      <c r="AY75" s="4"/>
      <c r="AZ75" s="5">
        <v>2018</v>
      </c>
      <c r="BA75" s="4">
        <v>2019</v>
      </c>
      <c r="BB75" s="4">
        <v>2020</v>
      </c>
      <c r="BC75" s="4">
        <v>2021</v>
      </c>
      <c r="BD75" s="6">
        <v>2022</v>
      </c>
      <c r="BE75" s="301" t="s">
        <v>73</v>
      </c>
      <c r="BF75" s="32"/>
    </row>
    <row r="76" spans="1:58" ht="18" customHeight="1" thickBot="1" x14ac:dyDescent="0.25">
      <c r="A76" s="6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4"/>
      <c r="AA76" s="324"/>
      <c r="AB76" s="266"/>
      <c r="AC76" s="266"/>
      <c r="AD76" s="209">
        <f t="shared" ref="AD76:AH76" si="146">AD12+AD25+AD31+AD39+AD46+AD55+AD70</f>
        <v>101.10017500625365</v>
      </c>
      <c r="AE76" s="210">
        <f t="shared" si="146"/>
        <v>118.10811200989627</v>
      </c>
      <c r="AF76" s="210">
        <f t="shared" si="146"/>
        <v>111.03984338917053</v>
      </c>
      <c r="AG76" s="210">
        <f t="shared" si="146"/>
        <v>88.804924430801123</v>
      </c>
      <c r="AH76" s="210">
        <f t="shared" si="146"/>
        <v>59.91140861432234</v>
      </c>
      <c r="AI76" s="209">
        <f>SUM(AD76:AH76)</f>
        <v>478.96446345044393</v>
      </c>
      <c r="AJ76" s="32"/>
      <c r="AK76" s="324"/>
      <c r="AL76" s="324"/>
      <c r="AM76" s="266"/>
      <c r="AN76" s="266"/>
      <c r="AO76" s="209">
        <f t="shared" ref="AO76:AS76" si="147">AO12+AO25+AO31+AO39+AO46+AO55+AO70</f>
        <v>101.72320129194134</v>
      </c>
      <c r="AP76" s="210">
        <f t="shared" si="147"/>
        <v>119.44883672465403</v>
      </c>
      <c r="AQ76" s="210">
        <f t="shared" si="147"/>
        <v>113.02680424753646</v>
      </c>
      <c r="AR76" s="210">
        <f t="shared" si="147"/>
        <v>91.334037793701327</v>
      </c>
      <c r="AS76" s="211">
        <f t="shared" si="147"/>
        <v>62.21612839157379</v>
      </c>
      <c r="AT76" s="209">
        <f>SUM(AO76:AS76)</f>
        <v>487.74900844940692</v>
      </c>
      <c r="AU76" s="32"/>
      <c r="AV76" s="324"/>
      <c r="AW76" s="324"/>
      <c r="AX76" s="324"/>
      <c r="AY76" s="324"/>
      <c r="AZ76" s="209">
        <f>AO76-AD76</f>
        <v>0.62302628568768625</v>
      </c>
      <c r="BA76" s="210">
        <f>AP76-AE76</f>
        <v>1.340724714757755</v>
      </c>
      <c r="BB76" s="210">
        <f>AQ76-AF76</f>
        <v>1.9869608583659328</v>
      </c>
      <c r="BC76" s="210">
        <f>AR76-AG76</f>
        <v>2.5291133629002047</v>
      </c>
      <c r="BD76" s="211">
        <f>AS76-AH76</f>
        <v>2.3047197772514494</v>
      </c>
      <c r="BE76" s="209">
        <f>SUM(AZ76:BD76)</f>
        <v>8.7845449989630282</v>
      </c>
      <c r="BF76" s="32"/>
    </row>
    <row r="77" spans="1:58" x14ac:dyDescent="0.2">
      <c r="A77" s="6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 t="s">
        <v>11</v>
      </c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pans="1:58" x14ac:dyDescent="0.2">
      <c r="A78" s="66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</row>
    <row r="79" spans="1:58" x14ac:dyDescent="0.2">
      <c r="A79" s="66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58" x14ac:dyDescent="0.2">
      <c r="A80" s="6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</sheetData>
  <hyperlinks>
    <hyperlink ref="B3" location="Contents!A1" display="Contents!A1"/>
  </hyperlinks>
  <pageMargins left="0.7" right="0.7" top="0.75" bottom="0.75" header="0.3" footer="0.3"/>
  <pageSetup paperSize="8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0"/>
  <sheetViews>
    <sheetView topLeftCell="A31" zoomScale="80" zoomScaleNormal="80" workbookViewId="0">
      <selection activeCell="S53" sqref="S53"/>
    </sheetView>
  </sheetViews>
  <sheetFormatPr defaultRowHeight="14.25" x14ac:dyDescent="0.2"/>
  <cols>
    <col min="1" max="1" width="2.28515625" style="44" customWidth="1"/>
    <col min="2" max="2" width="4.42578125" style="44" customWidth="1"/>
    <col min="3" max="3" width="41.85546875" style="44" bestFit="1" customWidth="1"/>
    <col min="4" max="4" width="11" style="44" customWidth="1"/>
    <col min="5" max="5" width="9.7109375" style="44" customWidth="1"/>
    <col min="6" max="10" width="8.85546875" style="44" customWidth="1"/>
    <col min="11" max="11" width="13" style="44" customWidth="1"/>
    <col min="12" max="12" width="47" style="44" bestFit="1" customWidth="1"/>
    <col min="13" max="13" width="3" style="44" customWidth="1"/>
    <col min="14" max="14" width="3.42578125" style="44" customWidth="1"/>
    <col min="15" max="15" width="41.85546875" style="44" bestFit="1" customWidth="1"/>
    <col min="16" max="17" width="9.28515625" style="44" bestFit="1" customWidth="1"/>
    <col min="18" max="22" width="9.85546875" style="44" bestFit="1" customWidth="1"/>
    <col min="23" max="23" width="12.140625" style="44" customWidth="1"/>
    <col min="24" max="24" width="28.140625" style="44" bestFit="1" customWidth="1"/>
    <col min="25" max="25" width="2.5703125" style="44" customWidth="1"/>
    <col min="26" max="26" width="4.140625" style="44" customWidth="1"/>
    <col min="27" max="27" width="48.28515625" style="44" customWidth="1"/>
    <col min="28" max="29" width="9.140625" style="44"/>
    <col min="30" max="34" width="9.85546875" style="44" bestFit="1" customWidth="1"/>
    <col min="35" max="35" width="10.7109375" style="44" bestFit="1" customWidth="1"/>
    <col min="36" max="36" width="4.28515625" style="44" customWidth="1"/>
    <col min="37" max="37" width="4.5703125" style="44" customWidth="1"/>
    <col min="38" max="38" width="42.28515625" style="44" customWidth="1"/>
    <col min="39" max="45" width="9.140625" style="44"/>
    <col min="46" max="46" width="12" style="44" customWidth="1"/>
    <col min="47" max="47" width="3.7109375" style="44" customWidth="1"/>
    <col min="48" max="48" width="4" style="44" customWidth="1"/>
    <col min="49" max="49" width="47.7109375" style="44" customWidth="1"/>
    <col min="50" max="56" width="9.140625" style="44"/>
    <col min="57" max="57" width="12" style="44" customWidth="1"/>
    <col min="58" max="58" width="3.140625" style="44" customWidth="1"/>
    <col min="59" max="16384" width="9.140625" style="44"/>
  </cols>
  <sheetData>
    <row r="1" spans="1:5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 ht="27.95" customHeight="1" x14ac:dyDescent="0.25">
      <c r="A2" s="63"/>
      <c r="B2" s="340" t="s">
        <v>368</v>
      </c>
      <c r="C2" s="340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2"/>
    </row>
    <row r="3" spans="1:58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32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32"/>
    </row>
    <row r="4" spans="1:58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32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32"/>
    </row>
    <row r="5" spans="1:58" s="67" customFormat="1" ht="24" customHeight="1" x14ac:dyDescent="0.2">
      <c r="A5" s="66"/>
      <c r="B5" s="315" t="s">
        <v>232</v>
      </c>
      <c r="C5" s="315"/>
      <c r="D5" s="316"/>
      <c r="E5" s="316"/>
      <c r="F5" s="316"/>
      <c r="G5" s="316"/>
      <c r="H5" s="316"/>
      <c r="I5" s="316"/>
      <c r="J5" s="316"/>
      <c r="K5" s="316"/>
      <c r="L5" s="316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2"/>
    </row>
    <row r="6" spans="1:58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32"/>
      <c r="N6" s="66"/>
      <c r="O6" s="12" t="s">
        <v>377</v>
      </c>
      <c r="P6" s="32"/>
      <c r="Q6" s="32"/>
      <c r="R6" s="32"/>
      <c r="S6" s="594">
        <f>'Capex Category Summary (Vic)'!S6</f>
        <v>1.0194000000000001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32"/>
    </row>
    <row r="7" spans="1:58" s="67" customFormat="1" ht="24.75" customHeight="1" x14ac:dyDescent="0.2">
      <c r="A7" s="66"/>
      <c r="B7" s="354" t="s">
        <v>185</v>
      </c>
      <c r="C7" s="354"/>
      <c r="D7" s="355"/>
      <c r="E7" s="355"/>
      <c r="F7" s="355"/>
      <c r="G7" s="355"/>
      <c r="H7" s="355"/>
      <c r="I7" s="355"/>
      <c r="J7" s="355"/>
      <c r="K7" s="355"/>
      <c r="L7" s="355"/>
      <c r="M7" s="32"/>
      <c r="N7" s="354" t="s">
        <v>411</v>
      </c>
      <c r="O7" s="354"/>
      <c r="P7" s="355"/>
      <c r="Q7" s="355"/>
      <c r="R7" s="355"/>
      <c r="S7" s="355"/>
      <c r="T7" s="355"/>
      <c r="U7" s="355"/>
      <c r="V7" s="355"/>
      <c r="W7" s="355"/>
      <c r="X7" s="355"/>
      <c r="Y7" s="66"/>
      <c r="Z7" s="354" t="s">
        <v>414</v>
      </c>
      <c r="AA7" s="354"/>
      <c r="AB7" s="355"/>
      <c r="AC7" s="355"/>
      <c r="AD7" s="355"/>
      <c r="AE7" s="355"/>
      <c r="AF7" s="355"/>
      <c r="AG7" s="355"/>
      <c r="AH7" s="355"/>
      <c r="AI7" s="355"/>
      <c r="AJ7" s="32"/>
      <c r="AK7" s="354" t="s">
        <v>426</v>
      </c>
      <c r="AL7" s="354"/>
      <c r="AM7" s="355"/>
      <c r="AN7" s="355"/>
      <c r="AO7" s="355"/>
      <c r="AP7" s="355"/>
      <c r="AQ7" s="355"/>
      <c r="AR7" s="355"/>
      <c r="AS7" s="355"/>
      <c r="AT7" s="355"/>
      <c r="AU7" s="66"/>
      <c r="AV7" s="354" t="s">
        <v>433</v>
      </c>
      <c r="AW7" s="354"/>
      <c r="AX7" s="355"/>
      <c r="AY7" s="355"/>
      <c r="AZ7" s="355"/>
      <c r="BA7" s="355"/>
      <c r="BB7" s="355"/>
      <c r="BC7" s="355"/>
      <c r="BD7" s="355"/>
      <c r="BE7" s="355"/>
      <c r="BF7" s="32"/>
    </row>
    <row r="8" spans="1:58" s="67" customFormat="1" ht="18" customHeight="1" x14ac:dyDescent="0.2">
      <c r="A8" s="66"/>
      <c r="B8" s="72"/>
      <c r="C8" s="73"/>
      <c r="D8" s="12"/>
      <c r="E8" s="12"/>
      <c r="F8" s="12"/>
      <c r="G8" s="12"/>
      <c r="H8" s="12"/>
      <c r="I8" s="12"/>
      <c r="J8" s="12"/>
      <c r="K8" s="12"/>
      <c r="L8" s="12"/>
      <c r="M8" s="32"/>
      <c r="N8" s="72"/>
      <c r="O8" s="73"/>
      <c r="P8" s="12"/>
      <c r="Q8" s="12"/>
      <c r="R8" s="12"/>
      <c r="S8" s="12"/>
      <c r="T8" s="12"/>
      <c r="U8" s="12"/>
      <c r="V8" s="12"/>
      <c r="W8" s="12"/>
      <c r="X8" s="12"/>
      <c r="Y8" s="66"/>
      <c r="Z8" s="72"/>
      <c r="AA8" s="73"/>
      <c r="AB8" s="12"/>
      <c r="AC8" s="12"/>
      <c r="AD8" s="12"/>
      <c r="AE8" s="12"/>
      <c r="AF8" s="12"/>
      <c r="AG8" s="12"/>
      <c r="AH8" s="12"/>
      <c r="AI8" s="12"/>
      <c r="AJ8" s="32"/>
      <c r="AK8" s="72"/>
      <c r="AL8" s="73"/>
      <c r="AM8" s="12"/>
      <c r="AN8" s="12"/>
      <c r="AO8" s="12"/>
      <c r="AP8" s="12"/>
      <c r="AQ8" s="12"/>
      <c r="AR8" s="12"/>
      <c r="AS8" s="12"/>
      <c r="AT8" s="12"/>
      <c r="AU8" s="66"/>
      <c r="AV8" s="72"/>
      <c r="AW8" s="73"/>
      <c r="AX8" s="12"/>
      <c r="AY8" s="12"/>
      <c r="AZ8" s="12"/>
      <c r="BA8" s="12"/>
      <c r="BB8" s="12"/>
      <c r="BC8" s="12"/>
      <c r="BD8" s="12"/>
      <c r="BE8" s="12"/>
      <c r="BF8" s="32"/>
    </row>
    <row r="9" spans="1:58" s="67" customFormat="1" ht="22.5" x14ac:dyDescent="0.2">
      <c r="A9" s="66"/>
      <c r="B9" s="10" t="s">
        <v>76</v>
      </c>
      <c r="C9" s="11"/>
      <c r="D9" s="3"/>
      <c r="E9" s="4"/>
      <c r="F9" s="7">
        <v>2018</v>
      </c>
      <c r="G9" s="8">
        <v>2019</v>
      </c>
      <c r="H9" s="8">
        <v>2020</v>
      </c>
      <c r="I9" s="8">
        <v>2021</v>
      </c>
      <c r="J9" s="9">
        <v>2022</v>
      </c>
      <c r="K9" s="3" t="s">
        <v>73</v>
      </c>
      <c r="L9" s="30" t="s">
        <v>100</v>
      </c>
      <c r="M9" s="32"/>
      <c r="N9" s="10" t="s">
        <v>174</v>
      </c>
      <c r="O9" s="11"/>
      <c r="P9" s="3"/>
      <c r="Q9" s="3"/>
      <c r="R9" s="30">
        <f t="shared" ref="R9:X9" si="0">F9</f>
        <v>2018</v>
      </c>
      <c r="S9" s="3">
        <f t="shared" si="0"/>
        <v>2019</v>
      </c>
      <c r="T9" s="3">
        <f t="shared" si="0"/>
        <v>2020</v>
      </c>
      <c r="U9" s="3">
        <f t="shared" si="0"/>
        <v>2021</v>
      </c>
      <c r="V9" s="31">
        <f t="shared" si="0"/>
        <v>2022</v>
      </c>
      <c r="W9" s="3" t="str">
        <f t="shared" si="0"/>
        <v>Total for 
2018-2022</v>
      </c>
      <c r="X9" s="30" t="str">
        <f t="shared" si="0"/>
        <v>Source</v>
      </c>
      <c r="Y9" s="32"/>
      <c r="Z9" s="184"/>
      <c r="AA9" s="356"/>
      <c r="AB9" s="301"/>
      <c r="AC9" s="8"/>
      <c r="AD9" s="5">
        <f t="shared" ref="AD9:AI9" si="1">R9</f>
        <v>2018</v>
      </c>
      <c r="AE9" s="4">
        <f t="shared" si="1"/>
        <v>2019</v>
      </c>
      <c r="AF9" s="4">
        <f t="shared" si="1"/>
        <v>2020</v>
      </c>
      <c r="AG9" s="4">
        <f t="shared" si="1"/>
        <v>2021</v>
      </c>
      <c r="AH9" s="6">
        <f t="shared" si="1"/>
        <v>2022</v>
      </c>
      <c r="AI9" s="3" t="str">
        <f t="shared" si="1"/>
        <v>Total for 
2018-2022</v>
      </c>
      <c r="AJ9" s="32"/>
      <c r="AK9" s="10"/>
      <c r="AL9" s="11"/>
      <c r="AM9" s="3"/>
      <c r="AN9" s="4"/>
      <c r="AO9" s="5">
        <f t="shared" ref="AO9:AT9" si="2">AD9</f>
        <v>2018</v>
      </c>
      <c r="AP9" s="4">
        <f t="shared" si="2"/>
        <v>2019</v>
      </c>
      <c r="AQ9" s="4">
        <f t="shared" si="2"/>
        <v>2020</v>
      </c>
      <c r="AR9" s="4">
        <f t="shared" si="2"/>
        <v>2021</v>
      </c>
      <c r="AS9" s="6">
        <f t="shared" si="2"/>
        <v>2022</v>
      </c>
      <c r="AT9" s="3" t="str">
        <f t="shared" si="2"/>
        <v>Total for 
2018-2022</v>
      </c>
      <c r="AU9" s="66"/>
      <c r="AV9" s="184"/>
      <c r="AW9" s="356"/>
      <c r="AX9" s="301"/>
      <c r="AY9" s="8"/>
      <c r="AZ9" s="5">
        <f t="shared" ref="AZ9:BE9" si="3">AO9</f>
        <v>2018</v>
      </c>
      <c r="BA9" s="4">
        <f t="shared" si="3"/>
        <v>2019</v>
      </c>
      <c r="BB9" s="4">
        <f t="shared" si="3"/>
        <v>2020</v>
      </c>
      <c r="BC9" s="4">
        <f t="shared" si="3"/>
        <v>2021</v>
      </c>
      <c r="BD9" s="6">
        <f t="shared" si="3"/>
        <v>2022</v>
      </c>
      <c r="BE9" s="3" t="str">
        <f t="shared" si="3"/>
        <v>Total for 
2018-2022</v>
      </c>
      <c r="BF9" s="32"/>
    </row>
    <row r="10" spans="1:58" s="67" customFormat="1" ht="18" customHeight="1" x14ac:dyDescent="0.2">
      <c r="A10" s="66"/>
      <c r="B10" s="29" t="str">
        <f>'Capex Model Category Index'!B8</f>
        <v>01</v>
      </c>
      <c r="C10" s="29" t="str">
        <f>'Capex Model Category Index'!C8</f>
        <v>Meter Replacement - Meters &lt; 25m3</v>
      </c>
      <c r="D10" s="15"/>
      <c r="E10" s="15"/>
      <c r="F10" s="624" t="s">
        <v>445</v>
      </c>
      <c r="G10" s="625" t="s">
        <v>445</v>
      </c>
      <c r="H10" s="625" t="s">
        <v>445</v>
      </c>
      <c r="I10" s="625" t="s">
        <v>445</v>
      </c>
      <c r="J10" s="626" t="s">
        <v>445</v>
      </c>
      <c r="K10" s="14">
        <v>7665</v>
      </c>
      <c r="L10" s="409" t="s">
        <v>374</v>
      </c>
      <c r="M10" s="32"/>
      <c r="N10" s="29" t="str">
        <f>B10</f>
        <v>01</v>
      </c>
      <c r="O10" s="29" t="str">
        <f>C10</f>
        <v>Meter Replacement - Meters &lt; 25m3</v>
      </c>
      <c r="P10" s="41"/>
      <c r="Q10" s="41"/>
      <c r="R10" s="640" t="s">
        <v>445</v>
      </c>
      <c r="S10" s="634" t="s">
        <v>445</v>
      </c>
      <c r="T10" s="634" t="s">
        <v>445</v>
      </c>
      <c r="U10" s="634" t="s">
        <v>445</v>
      </c>
      <c r="V10" s="639" t="s">
        <v>445</v>
      </c>
      <c r="W10" s="62"/>
      <c r="X10" s="409" t="s">
        <v>373</v>
      </c>
      <c r="Y10" s="32"/>
      <c r="Z10" s="358" t="str">
        <f>B10</f>
        <v>01</v>
      </c>
      <c r="AA10" s="358" t="str">
        <f>C10</f>
        <v>Meter Replacement - Meters &lt; 25m3</v>
      </c>
      <c r="AB10" s="213"/>
      <c r="AC10" s="214"/>
      <c r="AD10" s="208">
        <v>0.25241727247672341</v>
      </c>
      <c r="AE10" s="208">
        <v>0.25241727247672341</v>
      </c>
      <c r="AF10" s="208">
        <v>0.25241727247672341</v>
      </c>
      <c r="AG10" s="208">
        <v>0.12926465628491493</v>
      </c>
      <c r="AH10" s="56">
        <v>0.12926465628491493</v>
      </c>
      <c r="AI10" s="212">
        <f>SUM(AD10:AH10)</f>
        <v>1.0157811300000001</v>
      </c>
      <c r="AJ10" s="32"/>
      <c r="AK10" s="29" t="str">
        <f>N10</f>
        <v>01</v>
      </c>
      <c r="AL10" s="29" t="str">
        <f>O10</f>
        <v>Meter Replacement - Meters &lt; 25m3</v>
      </c>
      <c r="AM10" s="212"/>
      <c r="AN10" s="212"/>
      <c r="AO10" s="207">
        <f>AD10*(1-'Real Cost Escalation'!E$25)</f>
        <v>0.25241727247672341</v>
      </c>
      <c r="AP10" s="208">
        <f>AE10*(1-'Real Cost Escalation'!F$25)</f>
        <v>0.25151235655489435</v>
      </c>
      <c r="AQ10" s="208">
        <f>AF10*(1-'Real Cost Escalation'!G$25)</f>
        <v>0.25150911243131463</v>
      </c>
      <c r="AR10" s="208">
        <f>AG10*(1+'Real Cost Escalation'!H$18)</f>
        <v>0.13294603962774548</v>
      </c>
      <c r="AS10" s="56">
        <f>AH10*(1+'Real Cost Escalation'!I$18)</f>
        <v>0.13423731202327852</v>
      </c>
      <c r="AT10" s="212">
        <f>SUM(AO10:AS10)</f>
        <v>1.0226220931139565</v>
      </c>
      <c r="AU10" s="66"/>
      <c r="AV10" s="358" t="str">
        <f>Z10</f>
        <v>01</v>
      </c>
      <c r="AW10" s="358" t="str">
        <f>AA10</f>
        <v>Meter Replacement - Meters &lt; 25m3</v>
      </c>
      <c r="AX10" s="213"/>
      <c r="AY10" s="214"/>
      <c r="AZ10" s="208">
        <f t="shared" ref="AZ10:BD11" si="4">AO10-AD10</f>
        <v>0</v>
      </c>
      <c r="BA10" s="208">
        <f t="shared" si="4"/>
        <v>-9.0491592182906366E-4</v>
      </c>
      <c r="BB10" s="208">
        <f t="shared" si="4"/>
        <v>-9.0816004540877904E-4</v>
      </c>
      <c r="BC10" s="208">
        <f t="shared" si="4"/>
        <v>3.681383342830552E-3</v>
      </c>
      <c r="BD10" s="56">
        <f t="shared" si="4"/>
        <v>4.972655738363585E-3</v>
      </c>
      <c r="BE10" s="212">
        <f>SUM(AZ10:BD10)</f>
        <v>6.8409631139562943E-3</v>
      </c>
      <c r="BF10" s="32"/>
    </row>
    <row r="11" spans="1:58" s="67" customFormat="1" ht="18" customHeight="1" x14ac:dyDescent="0.2">
      <c r="A11" s="66"/>
      <c r="B11" s="29" t="str">
        <f>'Capex Model Category Index'!B9</f>
        <v>02</v>
      </c>
      <c r="C11" s="29" t="str">
        <f>'Capex Model Category Index'!C9</f>
        <v>Meter Replacement - Meters &gt; 25m3</v>
      </c>
      <c r="D11" s="15"/>
      <c r="E11" s="15"/>
      <c r="F11" s="627" t="s">
        <v>445</v>
      </c>
      <c r="G11" s="628" t="s">
        <v>445</v>
      </c>
      <c r="H11" s="628" t="s">
        <v>445</v>
      </c>
      <c r="I11" s="628" t="s">
        <v>445</v>
      </c>
      <c r="J11" s="629" t="s">
        <v>445</v>
      </c>
      <c r="K11" s="17">
        <v>250</v>
      </c>
      <c r="L11" s="409" t="str">
        <f>L10</f>
        <v>Attachment 8.3 Meter Replacement Plan</v>
      </c>
      <c r="M11" s="32"/>
      <c r="N11" s="359" t="str">
        <f>B11</f>
        <v>02</v>
      </c>
      <c r="O11" s="359" t="str">
        <f>C11</f>
        <v>Meter Replacement - Meters &gt; 25m3</v>
      </c>
      <c r="P11" s="507"/>
      <c r="Q11" s="507"/>
      <c r="R11" s="641" t="s">
        <v>445</v>
      </c>
      <c r="S11" s="638" t="s">
        <v>445</v>
      </c>
      <c r="T11" s="638" t="s">
        <v>445</v>
      </c>
      <c r="U11" s="638" t="s">
        <v>445</v>
      </c>
      <c r="V11" s="642" t="s">
        <v>445</v>
      </c>
      <c r="W11" s="507"/>
      <c r="X11" s="509" t="str">
        <f>X10</f>
        <v>Attachment 8.4 Unit Rates Forecast</v>
      </c>
      <c r="Y11" s="32"/>
      <c r="Z11" s="359" t="str">
        <f>B11</f>
        <v>02</v>
      </c>
      <c r="AA11" s="359" t="str">
        <f>C11</f>
        <v>Meter Replacement - Meters &gt; 25m3</v>
      </c>
      <c r="AB11" s="216"/>
      <c r="AC11" s="217"/>
      <c r="AD11" s="208">
        <v>8.7504185546176685E-2</v>
      </c>
      <c r="AE11" s="208">
        <v>8.7504185546176685E-2</v>
      </c>
      <c r="AF11" s="208">
        <v>8.7504185546176685E-2</v>
      </c>
      <c r="AG11" s="208">
        <v>8.7504185546176685E-2</v>
      </c>
      <c r="AH11" s="56">
        <v>8.7504185546176685E-2</v>
      </c>
      <c r="AI11" s="212">
        <f>SUM(AD11:AH11)</f>
        <v>0.43752092773088341</v>
      </c>
      <c r="AJ11" s="32"/>
      <c r="AK11" s="29" t="str">
        <f>N11</f>
        <v>02</v>
      </c>
      <c r="AL11" s="29" t="str">
        <f>O11</f>
        <v>Meter Replacement - Meters &gt; 25m3</v>
      </c>
      <c r="AM11" s="212"/>
      <c r="AN11" s="212"/>
      <c r="AO11" s="207">
        <f>AD11*(1+'Real Cost Escalation'!E$18)</f>
        <v>8.8093256789152252E-2</v>
      </c>
      <c r="AP11" s="208">
        <f>AE11*(1+'Real Cost Escalation'!F$18)</f>
        <v>8.8596767970523849E-2</v>
      </c>
      <c r="AQ11" s="208">
        <f>AF11*(1+'Real Cost Escalation'!G$18)</f>
        <v>8.9222511091440818E-2</v>
      </c>
      <c r="AR11" s="208">
        <f>AG11*(1+'Real Cost Escalation'!H$18)</f>
        <v>8.9996254610961279E-2</v>
      </c>
      <c r="AS11" s="56">
        <f>AH11*(1+'Real Cost Escalation'!I$18)</f>
        <v>9.0870366240054457E-2</v>
      </c>
      <c r="AT11" s="212">
        <f>SUM(AO11:AS11)</f>
        <v>0.44677915670213264</v>
      </c>
      <c r="AU11" s="66"/>
      <c r="AV11" s="359" t="str">
        <f>Z11</f>
        <v>02</v>
      </c>
      <c r="AW11" s="359" t="str">
        <f>AA11</f>
        <v>Meter Replacement - Meters &gt; 25m3</v>
      </c>
      <c r="AX11" s="216"/>
      <c r="AY11" s="217"/>
      <c r="AZ11" s="208">
        <f t="shared" si="4"/>
        <v>5.8907124297556679E-4</v>
      </c>
      <c r="BA11" s="208">
        <f t="shared" si="4"/>
        <v>1.0925824243471632E-3</v>
      </c>
      <c r="BB11" s="208">
        <f t="shared" si="4"/>
        <v>1.7183255452641322E-3</v>
      </c>
      <c r="BC11" s="208">
        <f t="shared" si="4"/>
        <v>2.4920690647845939E-3</v>
      </c>
      <c r="BD11" s="56">
        <f t="shared" si="4"/>
        <v>3.3661806938777711E-3</v>
      </c>
      <c r="BE11" s="212">
        <f>SUM(AZ11:BD11)</f>
        <v>9.2582289712492272E-3</v>
      </c>
      <c r="BF11" s="32"/>
    </row>
    <row r="12" spans="1:58" s="67" customFormat="1" ht="18" customHeight="1" thickBot="1" x14ac:dyDescent="0.25">
      <c r="A12" s="66"/>
      <c r="B12" s="24"/>
      <c r="C12" s="24" t="s">
        <v>75</v>
      </c>
      <c r="D12" s="22"/>
      <c r="E12" s="22"/>
      <c r="F12" s="26">
        <v>1954.7197633353207</v>
      </c>
      <c r="G12" s="27">
        <v>1954.7197633353207</v>
      </c>
      <c r="H12" s="27">
        <v>1954.7197633353207</v>
      </c>
      <c r="I12" s="27">
        <v>1025.4203549970186</v>
      </c>
      <c r="J12" s="28">
        <v>1025.4203549970186</v>
      </c>
      <c r="K12" s="27">
        <v>7915</v>
      </c>
      <c r="L12" s="26"/>
      <c r="M12" s="32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32"/>
      <c r="Z12" s="357"/>
      <c r="AA12" s="357" t="s">
        <v>75</v>
      </c>
      <c r="AB12" s="325"/>
      <c r="AC12" s="325"/>
      <c r="AD12" s="209">
        <f>SUM(AD10:AD11)</f>
        <v>0.33992145802290008</v>
      </c>
      <c r="AE12" s="210">
        <f t="shared" ref="AE12:AI12" si="5">SUM(AE10:AE11)</f>
        <v>0.33992145802290008</v>
      </c>
      <c r="AF12" s="210">
        <f t="shared" si="5"/>
        <v>0.33992145802290008</v>
      </c>
      <c r="AG12" s="210">
        <f t="shared" si="5"/>
        <v>0.21676884183109163</v>
      </c>
      <c r="AH12" s="211">
        <f t="shared" si="5"/>
        <v>0.21676884183109163</v>
      </c>
      <c r="AI12" s="210">
        <f t="shared" si="5"/>
        <v>1.4533020577308835</v>
      </c>
      <c r="AJ12" s="32"/>
      <c r="AK12" s="24"/>
      <c r="AL12" s="24" t="s">
        <v>75</v>
      </c>
      <c r="AM12" s="210"/>
      <c r="AN12" s="210"/>
      <c r="AO12" s="209">
        <f>SUM(AO10:AO11)</f>
        <v>0.34051052926587566</v>
      </c>
      <c r="AP12" s="210">
        <f t="shared" ref="AP12:AT12" si="6">SUM(AP10:AP11)</f>
        <v>0.34010912452541819</v>
      </c>
      <c r="AQ12" s="210">
        <f t="shared" si="6"/>
        <v>0.34073162352275543</v>
      </c>
      <c r="AR12" s="210">
        <f t="shared" si="6"/>
        <v>0.22294229423870676</v>
      </c>
      <c r="AS12" s="211">
        <f t="shared" si="6"/>
        <v>0.22510767826333297</v>
      </c>
      <c r="AT12" s="210">
        <f t="shared" si="6"/>
        <v>1.4694012498160891</v>
      </c>
      <c r="AU12" s="66"/>
      <c r="AV12" s="357"/>
      <c r="AW12" s="357" t="s">
        <v>75</v>
      </c>
      <c r="AX12" s="325"/>
      <c r="AY12" s="325"/>
      <c r="AZ12" s="209">
        <f>SUM(AZ10:AZ11)</f>
        <v>5.8907124297556679E-4</v>
      </c>
      <c r="BA12" s="210">
        <f t="shared" ref="BA12:BE12" si="7">SUM(BA10:BA11)</f>
        <v>1.8766650251809958E-4</v>
      </c>
      <c r="BB12" s="210">
        <f t="shared" si="7"/>
        <v>8.1016549985535313E-4</v>
      </c>
      <c r="BC12" s="210">
        <f t="shared" si="7"/>
        <v>6.1734524076151459E-3</v>
      </c>
      <c r="BD12" s="211">
        <f t="shared" si="7"/>
        <v>8.3388364322413561E-3</v>
      </c>
      <c r="BE12" s="210">
        <f t="shared" si="7"/>
        <v>1.6099192085205521E-2</v>
      </c>
      <c r="BF12" s="32"/>
    </row>
    <row r="13" spans="1:58" s="67" customFormat="1" ht="18" customHeight="1" x14ac:dyDescent="0.2">
      <c r="A13" s="66"/>
      <c r="B13" s="68"/>
      <c r="C13" s="68"/>
      <c r="D13" s="12"/>
      <c r="E13" s="12"/>
      <c r="F13" s="12"/>
      <c r="G13" s="12"/>
      <c r="H13" s="12"/>
      <c r="I13" s="12"/>
      <c r="J13" s="12"/>
      <c r="K13" s="12"/>
      <c r="L13" s="12"/>
      <c r="M13" s="32"/>
      <c r="N13" s="66"/>
      <c r="O13" s="66"/>
      <c r="P13" s="580"/>
      <c r="Q13" s="580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577"/>
      <c r="AC13" s="577"/>
      <c r="AD13" s="66"/>
      <c r="AE13" s="66"/>
      <c r="AF13" s="66"/>
      <c r="AG13" s="66"/>
      <c r="AH13" s="66"/>
      <c r="AI13" s="66"/>
      <c r="AJ13" s="32"/>
      <c r="AK13" s="66"/>
      <c r="AL13" s="66"/>
      <c r="AM13" s="577"/>
      <c r="AN13" s="577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32"/>
    </row>
    <row r="14" spans="1:58" s="71" customFormat="1" ht="24" customHeight="1" x14ac:dyDescent="0.2">
      <c r="A14" s="69"/>
      <c r="B14" s="354" t="s">
        <v>173</v>
      </c>
      <c r="C14" s="354"/>
      <c r="D14" s="355"/>
      <c r="E14" s="355"/>
      <c r="F14" s="355"/>
      <c r="G14" s="355"/>
      <c r="H14" s="355"/>
      <c r="I14" s="355"/>
      <c r="J14" s="355"/>
      <c r="K14" s="355"/>
      <c r="L14" s="355"/>
      <c r="M14" s="32"/>
      <c r="N14" s="354" t="s">
        <v>412</v>
      </c>
      <c r="O14" s="354"/>
      <c r="P14" s="355"/>
      <c r="Q14" s="355"/>
      <c r="R14" s="355"/>
      <c r="S14" s="355"/>
      <c r="T14" s="355"/>
      <c r="U14" s="355"/>
      <c r="V14" s="355"/>
      <c r="W14" s="355"/>
      <c r="X14" s="355"/>
      <c r="Y14" s="70"/>
      <c r="Z14" s="354" t="s">
        <v>415</v>
      </c>
      <c r="AA14" s="354"/>
      <c r="AB14" s="355"/>
      <c r="AC14" s="355"/>
      <c r="AD14" s="355"/>
      <c r="AE14" s="355"/>
      <c r="AF14" s="355"/>
      <c r="AG14" s="355"/>
      <c r="AH14" s="355"/>
      <c r="AI14" s="355"/>
      <c r="AJ14" s="32"/>
      <c r="AK14" s="354" t="s">
        <v>427</v>
      </c>
      <c r="AL14" s="354"/>
      <c r="AM14" s="355"/>
      <c r="AN14" s="355"/>
      <c r="AO14" s="355"/>
      <c r="AP14" s="355"/>
      <c r="AQ14" s="355"/>
      <c r="AR14" s="355"/>
      <c r="AS14" s="355"/>
      <c r="AT14" s="355"/>
      <c r="AU14" s="66"/>
      <c r="AV14" s="354" t="s">
        <v>434</v>
      </c>
      <c r="AW14" s="354"/>
      <c r="AX14" s="355"/>
      <c r="AY14" s="355"/>
      <c r="AZ14" s="355"/>
      <c r="BA14" s="355"/>
      <c r="BB14" s="355"/>
      <c r="BC14" s="355"/>
      <c r="BD14" s="355"/>
      <c r="BE14" s="355"/>
      <c r="BF14" s="32"/>
    </row>
    <row r="15" spans="1:58" s="67" customFormat="1" ht="18" customHeight="1" x14ac:dyDescent="0.2">
      <c r="A15" s="6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6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66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32"/>
    </row>
    <row r="16" spans="1:58" s="67" customFormat="1" ht="27.75" customHeight="1" x14ac:dyDescent="0.2">
      <c r="A16" s="66"/>
      <c r="B16" s="10" t="s">
        <v>169</v>
      </c>
      <c r="C16" s="11"/>
      <c r="D16" s="3"/>
      <c r="E16" s="4"/>
      <c r="F16" s="5">
        <v>2018</v>
      </c>
      <c r="G16" s="4">
        <v>2019</v>
      </c>
      <c r="H16" s="4">
        <v>2020</v>
      </c>
      <c r="I16" s="4">
        <v>2021</v>
      </c>
      <c r="J16" s="6">
        <v>2022</v>
      </c>
      <c r="K16" s="3" t="s">
        <v>73</v>
      </c>
      <c r="L16" s="30" t="s">
        <v>100</v>
      </c>
      <c r="M16" s="32"/>
      <c r="N16" s="10" t="s">
        <v>171</v>
      </c>
      <c r="O16" s="11"/>
      <c r="P16" s="3"/>
      <c r="Q16" s="3"/>
      <c r="R16" s="30">
        <f t="shared" ref="R16:X16" si="8">F16</f>
        <v>2018</v>
      </c>
      <c r="S16" s="3">
        <f t="shared" si="8"/>
        <v>2019</v>
      </c>
      <c r="T16" s="3">
        <f t="shared" si="8"/>
        <v>2020</v>
      </c>
      <c r="U16" s="3">
        <f t="shared" si="8"/>
        <v>2021</v>
      </c>
      <c r="V16" s="31">
        <f t="shared" si="8"/>
        <v>2022</v>
      </c>
      <c r="W16" s="3" t="str">
        <f t="shared" si="8"/>
        <v>Total for 
2018-2022</v>
      </c>
      <c r="X16" s="30" t="str">
        <f t="shared" si="8"/>
        <v>Source</v>
      </c>
      <c r="Y16" s="66"/>
      <c r="Z16" s="10"/>
      <c r="AA16" s="11"/>
      <c r="AB16" s="3"/>
      <c r="AC16" s="4"/>
      <c r="AD16" s="5">
        <f t="shared" ref="AD16:AI16" si="9">R16</f>
        <v>2018</v>
      </c>
      <c r="AE16" s="4">
        <f t="shared" si="9"/>
        <v>2019</v>
      </c>
      <c r="AF16" s="4">
        <f t="shared" si="9"/>
        <v>2020</v>
      </c>
      <c r="AG16" s="4">
        <f t="shared" si="9"/>
        <v>2021</v>
      </c>
      <c r="AH16" s="6">
        <f t="shared" si="9"/>
        <v>2022</v>
      </c>
      <c r="AI16" s="3" t="str">
        <f t="shared" si="9"/>
        <v>Total for 
2018-2022</v>
      </c>
      <c r="AJ16" s="32"/>
      <c r="AK16" s="10"/>
      <c r="AL16" s="11"/>
      <c r="AM16" s="301"/>
      <c r="AN16" s="4"/>
      <c r="AO16" s="5">
        <f t="shared" ref="AO16:AT16" si="10">AD16</f>
        <v>2018</v>
      </c>
      <c r="AP16" s="4">
        <f t="shared" si="10"/>
        <v>2019</v>
      </c>
      <c r="AQ16" s="4">
        <f t="shared" si="10"/>
        <v>2020</v>
      </c>
      <c r="AR16" s="4">
        <f t="shared" si="10"/>
        <v>2021</v>
      </c>
      <c r="AS16" s="6">
        <f t="shared" si="10"/>
        <v>2022</v>
      </c>
      <c r="AT16" s="3" t="str">
        <f t="shared" si="10"/>
        <v>Total for 
2018-2022</v>
      </c>
      <c r="AU16" s="66"/>
      <c r="AV16" s="10"/>
      <c r="AW16" s="11"/>
      <c r="AX16" s="3"/>
      <c r="AY16" s="4"/>
      <c r="AZ16" s="5">
        <f t="shared" ref="AZ16:BE16" si="11">AO16</f>
        <v>2018</v>
      </c>
      <c r="BA16" s="4">
        <f t="shared" si="11"/>
        <v>2019</v>
      </c>
      <c r="BB16" s="4">
        <f t="shared" si="11"/>
        <v>2020</v>
      </c>
      <c r="BC16" s="4">
        <f t="shared" si="11"/>
        <v>2021</v>
      </c>
      <c r="BD16" s="6">
        <f t="shared" si="11"/>
        <v>2022</v>
      </c>
      <c r="BE16" s="3" t="str">
        <f t="shared" si="11"/>
        <v>Total for 
2018-2022</v>
      </c>
      <c r="BF16" s="32"/>
    </row>
    <row r="17" spans="1:58" s="67" customFormat="1" ht="18" customHeight="1" x14ac:dyDescent="0.2">
      <c r="A17" s="66"/>
      <c r="B17" s="29" t="str">
        <f>'Capex Model Category Index'!B10</f>
        <v>03</v>
      </c>
      <c r="C17" s="29" t="str">
        <f>'Capex Model Category Index'!C10</f>
        <v>Mains Replacement - General Trunk Replacement</v>
      </c>
      <c r="D17" s="15"/>
      <c r="E17" s="15"/>
      <c r="F17" s="624" t="s">
        <v>445</v>
      </c>
      <c r="G17" s="625" t="s">
        <v>445</v>
      </c>
      <c r="H17" s="625" t="s">
        <v>445</v>
      </c>
      <c r="I17" s="625" t="s">
        <v>445</v>
      </c>
      <c r="J17" s="626" t="s">
        <v>445</v>
      </c>
      <c r="K17" s="15">
        <f>SUM(F17:J17)</f>
        <v>0</v>
      </c>
      <c r="L17" s="409" t="s">
        <v>399</v>
      </c>
      <c r="M17" s="32"/>
      <c r="N17" s="29" t="str">
        <f>B17</f>
        <v>03</v>
      </c>
      <c r="O17" s="29" t="str">
        <f>C17</f>
        <v>Mains Replacement - General Trunk Replacement</v>
      </c>
      <c r="P17" s="41"/>
      <c r="Q17" s="41"/>
      <c r="R17" s="640" t="s">
        <v>445</v>
      </c>
      <c r="S17" s="634" t="s">
        <v>445</v>
      </c>
      <c r="T17" s="634" t="s">
        <v>445</v>
      </c>
      <c r="U17" s="634" t="s">
        <v>445</v>
      </c>
      <c r="V17" s="639" t="s">
        <v>445</v>
      </c>
      <c r="W17" s="41"/>
      <c r="X17" s="409" t="str">
        <f>$X$10</f>
        <v>Attachment 8.4 Unit Rates Forecast</v>
      </c>
      <c r="Y17" s="66"/>
      <c r="Z17" s="29" t="str">
        <f t="shared" ref="Z17:AA23" si="12">B17</f>
        <v>03</v>
      </c>
      <c r="AA17" s="29" t="str">
        <f t="shared" si="12"/>
        <v>Mains Replacement - General Trunk Replacement</v>
      </c>
      <c r="AB17" s="212"/>
      <c r="AC17" s="212"/>
      <c r="AD17" s="207">
        <v>0</v>
      </c>
      <c r="AE17" s="208">
        <v>0</v>
      </c>
      <c r="AF17" s="208">
        <v>0</v>
      </c>
      <c r="AG17" s="208">
        <v>0</v>
      </c>
      <c r="AH17" s="56">
        <v>0</v>
      </c>
      <c r="AI17" s="212">
        <f>SUM(AD17:AH17)</f>
        <v>0</v>
      </c>
      <c r="AJ17" s="32"/>
      <c r="AK17" s="29" t="str">
        <f t="shared" ref="AK17:AL23" si="13">N17</f>
        <v>03</v>
      </c>
      <c r="AL17" s="29" t="str">
        <f t="shared" si="13"/>
        <v>Mains Replacement - General Trunk Replacement</v>
      </c>
      <c r="AM17" s="62"/>
      <c r="AN17" s="208"/>
      <c r="AO17" s="207">
        <f>AD17*(1+'Real Cost Escalation'!E$18)</f>
        <v>0</v>
      </c>
      <c r="AP17" s="208">
        <f>AE17*(1+'Real Cost Escalation'!F$18)</f>
        <v>0</v>
      </c>
      <c r="AQ17" s="208">
        <f>AF17*(1+'Real Cost Escalation'!G$18)</f>
        <v>0</v>
      </c>
      <c r="AR17" s="208">
        <f>AG17*(1+'Real Cost Escalation'!H$18)</f>
        <v>0</v>
      </c>
      <c r="AS17" s="56">
        <f>AH17*(1+'Real Cost Escalation'!I$18)</f>
        <v>0</v>
      </c>
      <c r="AT17" s="212">
        <f>SUM(AO17:AS17)</f>
        <v>0</v>
      </c>
      <c r="AU17" s="66"/>
      <c r="AV17" s="29" t="str">
        <f t="shared" ref="AV17:AV23" si="14">Z17</f>
        <v>03</v>
      </c>
      <c r="AW17" s="29" t="str">
        <f t="shared" ref="AW17:AW23" si="15">AA17</f>
        <v>Mains Replacement - General Trunk Replacement</v>
      </c>
      <c r="AX17" s="212"/>
      <c r="AY17" s="212"/>
      <c r="AZ17" s="207">
        <f t="shared" ref="AZ17:AZ23" si="16">AO17-AD17</f>
        <v>0</v>
      </c>
      <c r="BA17" s="208">
        <f t="shared" ref="BA17:BA23" si="17">AP17-AE17</f>
        <v>0</v>
      </c>
      <c r="BB17" s="208">
        <f t="shared" ref="BB17:BB23" si="18">AQ17-AF17</f>
        <v>0</v>
      </c>
      <c r="BC17" s="208">
        <f t="shared" ref="BC17:BC23" si="19">AR17-AG17</f>
        <v>0</v>
      </c>
      <c r="BD17" s="56">
        <f t="shared" ref="BD17:BD23" si="20">AS17-AH17</f>
        <v>0</v>
      </c>
      <c r="BE17" s="212">
        <f>SUM(AZ17:BD17)</f>
        <v>0</v>
      </c>
      <c r="BF17" s="32"/>
    </row>
    <row r="18" spans="1:58" s="67" customFormat="1" ht="18" customHeight="1" x14ac:dyDescent="0.2">
      <c r="A18" s="66"/>
      <c r="B18" s="29" t="str">
        <f>'Capex Model Category Index'!B11</f>
        <v>04</v>
      </c>
      <c r="C18" s="29" t="str">
        <f>'Capex Model Category Index'!C11</f>
        <v>Mains Replacement - Decommissioned Trunk Replacement</v>
      </c>
      <c r="D18" s="15"/>
      <c r="E18" s="15"/>
      <c r="F18" s="627" t="s">
        <v>445</v>
      </c>
      <c r="G18" s="628" t="s">
        <v>445</v>
      </c>
      <c r="H18" s="628" t="s">
        <v>445</v>
      </c>
      <c r="I18" s="628" t="s">
        <v>445</v>
      </c>
      <c r="J18" s="628" t="s">
        <v>445</v>
      </c>
      <c r="K18" s="16">
        <f t="shared" ref="K18:K23" si="21">SUM(F18:J18)</f>
        <v>0</v>
      </c>
      <c r="L18" s="409" t="str">
        <f>$L$17</f>
        <v>Attachment 8.2 Distribution Mains and Services Integrity Plan</v>
      </c>
      <c r="M18" s="32"/>
      <c r="N18" s="29" t="str">
        <f t="shared" ref="N18:O23" si="22">B18</f>
        <v>04</v>
      </c>
      <c r="O18" s="29" t="str">
        <f t="shared" si="22"/>
        <v>Mains Replacement - Decommissioned Trunk Replacement</v>
      </c>
      <c r="P18" s="41"/>
      <c r="Q18" s="41"/>
      <c r="R18" s="640" t="s">
        <v>445</v>
      </c>
      <c r="S18" s="634" t="s">
        <v>445</v>
      </c>
      <c r="T18" s="634" t="s">
        <v>445</v>
      </c>
      <c r="U18" s="634" t="s">
        <v>445</v>
      </c>
      <c r="V18" s="639" t="s">
        <v>445</v>
      </c>
      <c r="W18" s="41"/>
      <c r="X18" s="409" t="str">
        <f t="shared" ref="X18:X24" si="23">$X$10</f>
        <v>Attachment 8.4 Unit Rates Forecast</v>
      </c>
      <c r="Y18" s="66"/>
      <c r="Z18" s="29" t="str">
        <f t="shared" si="12"/>
        <v>04</v>
      </c>
      <c r="AA18" s="29" t="str">
        <f t="shared" si="12"/>
        <v>Mains Replacement - Decommissioned Trunk Replacement</v>
      </c>
      <c r="AB18" s="212"/>
      <c r="AC18" s="212"/>
      <c r="AD18" s="207">
        <v>0</v>
      </c>
      <c r="AE18" s="208">
        <v>0</v>
      </c>
      <c r="AF18" s="208">
        <v>0</v>
      </c>
      <c r="AG18" s="208">
        <v>0</v>
      </c>
      <c r="AH18" s="56">
        <v>0</v>
      </c>
      <c r="AI18" s="212">
        <f t="shared" ref="AI18:AI23" si="24">SUM(AD18:AH18)</f>
        <v>0</v>
      </c>
      <c r="AJ18" s="32"/>
      <c r="AK18" s="29" t="str">
        <f t="shared" si="13"/>
        <v>04</v>
      </c>
      <c r="AL18" s="29" t="str">
        <f t="shared" si="13"/>
        <v>Mains Replacement - Decommissioned Trunk Replacement</v>
      </c>
      <c r="AM18" s="212"/>
      <c r="AN18" s="212"/>
      <c r="AO18" s="207">
        <f>AD18*(1+'Real Cost Escalation'!E$18)</f>
        <v>0</v>
      </c>
      <c r="AP18" s="208">
        <f>AE18*(1+'Real Cost Escalation'!F$18)</f>
        <v>0</v>
      </c>
      <c r="AQ18" s="208">
        <f>AF18*(1+'Real Cost Escalation'!G$18)</f>
        <v>0</v>
      </c>
      <c r="AR18" s="208">
        <f>AG18*(1+'Real Cost Escalation'!H$18)</f>
        <v>0</v>
      </c>
      <c r="AS18" s="56">
        <f>AH18*(1+'Real Cost Escalation'!I$18)</f>
        <v>0</v>
      </c>
      <c r="AT18" s="212">
        <f t="shared" ref="AT18:AT23" si="25">SUM(AO18:AS18)</f>
        <v>0</v>
      </c>
      <c r="AU18" s="66"/>
      <c r="AV18" s="29" t="str">
        <f t="shared" si="14"/>
        <v>04</v>
      </c>
      <c r="AW18" s="29" t="str">
        <f t="shared" si="15"/>
        <v>Mains Replacement - Decommissioned Trunk Replacement</v>
      </c>
      <c r="AX18" s="212"/>
      <c r="AY18" s="212"/>
      <c r="AZ18" s="207">
        <f t="shared" si="16"/>
        <v>0</v>
      </c>
      <c r="BA18" s="208">
        <f t="shared" si="17"/>
        <v>0</v>
      </c>
      <c r="BB18" s="208">
        <f t="shared" si="18"/>
        <v>0</v>
      </c>
      <c r="BC18" s="208">
        <f t="shared" si="19"/>
        <v>0</v>
      </c>
      <c r="BD18" s="56">
        <f t="shared" si="20"/>
        <v>0</v>
      </c>
      <c r="BE18" s="212">
        <f t="shared" ref="BE18:BE23" si="26">SUM(AZ18:BD18)</f>
        <v>0</v>
      </c>
      <c r="BF18" s="32"/>
    </row>
    <row r="19" spans="1:58" s="67" customFormat="1" ht="18" customHeight="1" x14ac:dyDescent="0.2">
      <c r="A19" s="66"/>
      <c r="B19" s="29" t="str">
        <f>'Capex Model Category Index'!B12</f>
        <v>05</v>
      </c>
      <c r="C19" s="29" t="str">
        <f>'Capex Model Category Index'!C12</f>
        <v>Mains Replacement - Piecemeal Replacement</v>
      </c>
      <c r="D19" s="15"/>
      <c r="E19" s="15"/>
      <c r="F19" s="627" t="s">
        <v>445</v>
      </c>
      <c r="G19" s="628" t="s">
        <v>445</v>
      </c>
      <c r="H19" s="628" t="s">
        <v>445</v>
      </c>
      <c r="I19" s="628" t="s">
        <v>445</v>
      </c>
      <c r="J19" s="628" t="s">
        <v>445</v>
      </c>
      <c r="K19" s="16">
        <f t="shared" si="21"/>
        <v>0</v>
      </c>
      <c r="L19" s="409" t="str">
        <f t="shared" ref="L19:L24" si="27">$L$17</f>
        <v>Attachment 8.2 Distribution Mains and Services Integrity Plan</v>
      </c>
      <c r="M19" s="32"/>
      <c r="N19" s="29" t="str">
        <f t="shared" si="22"/>
        <v>05</v>
      </c>
      <c r="O19" s="29" t="str">
        <f t="shared" si="22"/>
        <v>Mains Replacement - Piecemeal Replacement</v>
      </c>
      <c r="P19" s="43"/>
      <c r="Q19" s="43"/>
      <c r="R19" s="640" t="s">
        <v>445</v>
      </c>
      <c r="S19" s="634" t="s">
        <v>445</v>
      </c>
      <c r="T19" s="634" t="s">
        <v>445</v>
      </c>
      <c r="U19" s="634" t="s">
        <v>445</v>
      </c>
      <c r="V19" s="639" t="s">
        <v>445</v>
      </c>
      <c r="W19" s="41"/>
      <c r="X19" s="409" t="str">
        <f t="shared" si="23"/>
        <v>Attachment 8.4 Unit Rates Forecast</v>
      </c>
      <c r="Y19" s="66"/>
      <c r="Z19" s="29" t="str">
        <f t="shared" si="12"/>
        <v>05</v>
      </c>
      <c r="AA19" s="29" t="str">
        <f t="shared" si="12"/>
        <v>Mains Replacement - Piecemeal Replacement</v>
      </c>
      <c r="AB19" s="212"/>
      <c r="AC19" s="212"/>
      <c r="AD19" s="207">
        <v>0</v>
      </c>
      <c r="AE19" s="208">
        <v>0</v>
      </c>
      <c r="AF19" s="208">
        <v>0</v>
      </c>
      <c r="AG19" s="208">
        <v>0</v>
      </c>
      <c r="AH19" s="56">
        <v>0</v>
      </c>
      <c r="AI19" s="212">
        <f t="shared" si="24"/>
        <v>0</v>
      </c>
      <c r="AJ19" s="32"/>
      <c r="AK19" s="29" t="str">
        <f t="shared" si="13"/>
        <v>05</v>
      </c>
      <c r="AL19" s="29" t="str">
        <f t="shared" si="13"/>
        <v>Mains Replacement - Piecemeal Replacement</v>
      </c>
      <c r="AM19" s="212"/>
      <c r="AN19" s="212"/>
      <c r="AO19" s="207">
        <f>AD19*(1+'Real Cost Escalation'!E$18)</f>
        <v>0</v>
      </c>
      <c r="AP19" s="208">
        <f>AE19*(1+'Real Cost Escalation'!F$18)</f>
        <v>0</v>
      </c>
      <c r="AQ19" s="208">
        <f>AF19*(1+'Real Cost Escalation'!G$18)</f>
        <v>0</v>
      </c>
      <c r="AR19" s="208">
        <f>AG19*(1+'Real Cost Escalation'!H$18)</f>
        <v>0</v>
      </c>
      <c r="AS19" s="56">
        <f>AH19*(1+'Real Cost Escalation'!I$18)</f>
        <v>0</v>
      </c>
      <c r="AT19" s="212">
        <f>SUM(AO19:AS19)</f>
        <v>0</v>
      </c>
      <c r="AU19" s="66"/>
      <c r="AV19" s="29" t="str">
        <f t="shared" si="14"/>
        <v>05</v>
      </c>
      <c r="AW19" s="29" t="str">
        <f t="shared" si="15"/>
        <v>Mains Replacement - Piecemeal Replacement</v>
      </c>
      <c r="AX19" s="212"/>
      <c r="AY19" s="212"/>
      <c r="AZ19" s="207">
        <f t="shared" si="16"/>
        <v>0</v>
      </c>
      <c r="BA19" s="208">
        <f t="shared" si="17"/>
        <v>0</v>
      </c>
      <c r="BB19" s="208">
        <f t="shared" si="18"/>
        <v>0</v>
      </c>
      <c r="BC19" s="208">
        <f t="shared" si="19"/>
        <v>0</v>
      </c>
      <c r="BD19" s="56">
        <f t="shared" si="20"/>
        <v>0</v>
      </c>
      <c r="BE19" s="212">
        <f t="shared" si="26"/>
        <v>0</v>
      </c>
      <c r="BF19" s="32"/>
    </row>
    <row r="20" spans="1:58" s="67" customFormat="1" ht="18" customHeight="1" x14ac:dyDescent="0.2">
      <c r="A20" s="66"/>
      <c r="B20" s="29" t="str">
        <f>'Capex Model Category Index'!B13</f>
        <v>06</v>
      </c>
      <c r="C20" s="29" t="str">
        <f>'Capex Model Category Index'!C13</f>
        <v>Mains Replacement - HDPE Replacement</v>
      </c>
      <c r="D20" s="15"/>
      <c r="E20" s="15"/>
      <c r="F20" s="627" t="s">
        <v>445</v>
      </c>
      <c r="G20" s="628" t="s">
        <v>445</v>
      </c>
      <c r="H20" s="628" t="s">
        <v>445</v>
      </c>
      <c r="I20" s="628" t="s">
        <v>445</v>
      </c>
      <c r="J20" s="628" t="s">
        <v>445</v>
      </c>
      <c r="K20" s="16">
        <f>SUM(F20:J20)</f>
        <v>0</v>
      </c>
      <c r="L20" s="409" t="str">
        <f t="shared" si="27"/>
        <v>Attachment 8.2 Distribution Mains and Services Integrity Plan</v>
      </c>
      <c r="M20" s="32"/>
      <c r="N20" s="29" t="str">
        <f>B20</f>
        <v>06</v>
      </c>
      <c r="O20" s="29" t="str">
        <f>C20</f>
        <v>Mains Replacement - HDPE Replacement</v>
      </c>
      <c r="P20" s="41"/>
      <c r="Q20" s="41"/>
      <c r="R20" s="640" t="s">
        <v>445</v>
      </c>
      <c r="S20" s="634" t="s">
        <v>445</v>
      </c>
      <c r="T20" s="634" t="s">
        <v>445</v>
      </c>
      <c r="U20" s="634" t="s">
        <v>445</v>
      </c>
      <c r="V20" s="639" t="s">
        <v>445</v>
      </c>
      <c r="W20" s="41"/>
      <c r="X20" s="409" t="str">
        <f t="shared" si="23"/>
        <v>Attachment 8.4 Unit Rates Forecast</v>
      </c>
      <c r="Y20" s="66"/>
      <c r="Z20" s="29" t="str">
        <f>B20</f>
        <v>06</v>
      </c>
      <c r="AA20" s="29" t="str">
        <f>C20</f>
        <v>Mains Replacement - HDPE Replacement</v>
      </c>
      <c r="AB20" s="212"/>
      <c r="AC20" s="212"/>
      <c r="AD20" s="207">
        <v>0</v>
      </c>
      <c r="AE20" s="208">
        <v>0</v>
      </c>
      <c r="AF20" s="208">
        <v>0</v>
      </c>
      <c r="AG20" s="208">
        <v>0</v>
      </c>
      <c r="AH20" s="56">
        <v>0</v>
      </c>
      <c r="AI20" s="212">
        <f>SUM(AD20:AH20)</f>
        <v>0</v>
      </c>
      <c r="AJ20" s="32"/>
      <c r="AK20" s="29" t="str">
        <f>N20</f>
        <v>06</v>
      </c>
      <c r="AL20" s="29" t="str">
        <f>O20</f>
        <v>Mains Replacement - HDPE Replacement</v>
      </c>
      <c r="AM20" s="212"/>
      <c r="AN20" s="212"/>
      <c r="AO20" s="207">
        <f>AD20*(1+'Real Cost Escalation'!E$18)</f>
        <v>0</v>
      </c>
      <c r="AP20" s="208">
        <f>AE20*(1+'Real Cost Escalation'!F$18)</f>
        <v>0</v>
      </c>
      <c r="AQ20" s="208">
        <f>AF20*(1+'Real Cost Escalation'!G$18)</f>
        <v>0</v>
      </c>
      <c r="AR20" s="208">
        <f>AG20*(1+'Real Cost Escalation'!H$18)</f>
        <v>0</v>
      </c>
      <c r="AS20" s="56">
        <f>AH20*(1+'Real Cost Escalation'!I$18)</f>
        <v>0</v>
      </c>
      <c r="AT20" s="212">
        <f>SUM(AO20:AS20)</f>
        <v>0</v>
      </c>
      <c r="AU20" s="66"/>
      <c r="AV20" s="29" t="str">
        <f>Z20</f>
        <v>06</v>
      </c>
      <c r="AW20" s="29" t="str">
        <f>AA20</f>
        <v>Mains Replacement - HDPE Replacement</v>
      </c>
      <c r="AX20" s="212"/>
      <c r="AY20" s="212"/>
      <c r="AZ20" s="207">
        <f t="shared" ref="AZ20:BD20" si="28">AO20-AD20</f>
        <v>0</v>
      </c>
      <c r="BA20" s="208">
        <f t="shared" si="28"/>
        <v>0</v>
      </c>
      <c r="BB20" s="208">
        <f t="shared" si="28"/>
        <v>0</v>
      </c>
      <c r="BC20" s="208">
        <f t="shared" si="28"/>
        <v>0</v>
      </c>
      <c r="BD20" s="56">
        <f t="shared" si="28"/>
        <v>0</v>
      </c>
      <c r="BE20" s="212">
        <f>SUM(AZ20:BD20)</f>
        <v>0</v>
      </c>
      <c r="BF20" s="32"/>
    </row>
    <row r="21" spans="1:58" s="67" customFormat="1" ht="18" customHeight="1" x14ac:dyDescent="0.2">
      <c r="A21" s="66"/>
      <c r="B21" s="29" t="str">
        <f>'Capex Model Category Index'!B14</f>
        <v>07</v>
      </c>
      <c r="C21" s="29" t="str">
        <f>'Capex Model Category Index'!C14</f>
        <v>Mains Replacement - HDICS Block Replacement</v>
      </c>
      <c r="D21" s="15"/>
      <c r="E21" s="15"/>
      <c r="F21" s="627" t="s">
        <v>445</v>
      </c>
      <c r="G21" s="628" t="s">
        <v>445</v>
      </c>
      <c r="H21" s="628" t="s">
        <v>445</v>
      </c>
      <c r="I21" s="628" t="s">
        <v>445</v>
      </c>
      <c r="J21" s="628" t="s">
        <v>445</v>
      </c>
      <c r="K21" s="16">
        <f t="shared" si="21"/>
        <v>0</v>
      </c>
      <c r="L21" s="409" t="str">
        <f t="shared" si="27"/>
        <v>Attachment 8.2 Distribution Mains and Services Integrity Plan</v>
      </c>
      <c r="M21" s="32"/>
      <c r="N21" s="29" t="str">
        <f t="shared" si="22"/>
        <v>07</v>
      </c>
      <c r="O21" s="29" t="str">
        <f t="shared" si="22"/>
        <v>Mains Replacement - HDICS Block Replacement</v>
      </c>
      <c r="P21" s="41"/>
      <c r="Q21" s="41"/>
      <c r="R21" s="640" t="s">
        <v>445</v>
      </c>
      <c r="S21" s="634" t="s">
        <v>445</v>
      </c>
      <c r="T21" s="634" t="s">
        <v>445</v>
      </c>
      <c r="U21" s="634" t="s">
        <v>445</v>
      </c>
      <c r="V21" s="639" t="s">
        <v>445</v>
      </c>
      <c r="W21" s="41"/>
      <c r="X21" s="409" t="str">
        <f t="shared" si="23"/>
        <v>Attachment 8.4 Unit Rates Forecast</v>
      </c>
      <c r="Y21" s="66"/>
      <c r="Z21" s="29" t="str">
        <f t="shared" si="12"/>
        <v>07</v>
      </c>
      <c r="AA21" s="29" t="str">
        <f t="shared" si="12"/>
        <v>Mains Replacement - HDICS Block Replacement</v>
      </c>
      <c r="AB21" s="212"/>
      <c r="AC21" s="212"/>
      <c r="AD21" s="207">
        <v>0</v>
      </c>
      <c r="AE21" s="208">
        <v>0</v>
      </c>
      <c r="AF21" s="208">
        <v>0</v>
      </c>
      <c r="AG21" s="208">
        <v>0</v>
      </c>
      <c r="AH21" s="56">
        <v>0</v>
      </c>
      <c r="AI21" s="212">
        <f t="shared" si="24"/>
        <v>0</v>
      </c>
      <c r="AJ21" s="32"/>
      <c r="AK21" s="29" t="str">
        <f t="shared" si="13"/>
        <v>07</v>
      </c>
      <c r="AL21" s="29" t="str">
        <f t="shared" si="13"/>
        <v>Mains Replacement - HDICS Block Replacement</v>
      </c>
      <c r="AM21" s="212"/>
      <c r="AN21" s="212"/>
      <c r="AO21" s="207">
        <f>AD21*(1+'Real Cost Escalation'!E$18)</f>
        <v>0</v>
      </c>
      <c r="AP21" s="208">
        <f>AE21*(1+'Real Cost Escalation'!F$18)</f>
        <v>0</v>
      </c>
      <c r="AQ21" s="208">
        <f>AF21*(1+'Real Cost Escalation'!G$18)</f>
        <v>0</v>
      </c>
      <c r="AR21" s="208">
        <f>AG21*(1+'Real Cost Escalation'!H$18)</f>
        <v>0</v>
      </c>
      <c r="AS21" s="56">
        <f>AH21*(1+'Real Cost Escalation'!I$18)</f>
        <v>0</v>
      </c>
      <c r="AT21" s="212">
        <f t="shared" si="25"/>
        <v>0</v>
      </c>
      <c r="AU21" s="66"/>
      <c r="AV21" s="29" t="str">
        <f t="shared" si="14"/>
        <v>07</v>
      </c>
      <c r="AW21" s="29" t="str">
        <f t="shared" si="15"/>
        <v>Mains Replacement - HDICS Block Replacement</v>
      </c>
      <c r="AX21" s="212"/>
      <c r="AY21" s="212"/>
      <c r="AZ21" s="207">
        <f t="shared" si="16"/>
        <v>0</v>
      </c>
      <c r="BA21" s="208">
        <f t="shared" si="17"/>
        <v>0</v>
      </c>
      <c r="BB21" s="208">
        <f t="shared" si="18"/>
        <v>0</v>
      </c>
      <c r="BC21" s="208">
        <f t="shared" si="19"/>
        <v>0</v>
      </c>
      <c r="BD21" s="56">
        <f t="shared" si="20"/>
        <v>0</v>
      </c>
      <c r="BE21" s="212">
        <f t="shared" si="26"/>
        <v>0</v>
      </c>
      <c r="BF21" s="32"/>
    </row>
    <row r="22" spans="1:58" s="67" customFormat="1" ht="18" customHeight="1" x14ac:dyDescent="0.2">
      <c r="A22" s="66"/>
      <c r="B22" s="29" t="str">
        <f>'Capex Model Category Index'!B15</f>
        <v>08</v>
      </c>
      <c r="C22" s="29" t="str">
        <f>'Capex Model Category Index'!C15</f>
        <v>Mains Replacement - LDS Block Replacement</v>
      </c>
      <c r="D22" s="15"/>
      <c r="E22" s="15"/>
      <c r="F22" s="627" t="s">
        <v>445</v>
      </c>
      <c r="G22" s="628" t="s">
        <v>445</v>
      </c>
      <c r="H22" s="628" t="s">
        <v>445</v>
      </c>
      <c r="I22" s="628" t="s">
        <v>445</v>
      </c>
      <c r="J22" s="628" t="s">
        <v>445</v>
      </c>
      <c r="K22" s="16"/>
      <c r="L22" s="409" t="str">
        <f t="shared" si="27"/>
        <v>Attachment 8.2 Distribution Mains and Services Integrity Plan</v>
      </c>
      <c r="M22" s="32"/>
      <c r="N22" s="29" t="str">
        <f t="shared" ref="N22" si="29">B22</f>
        <v>08</v>
      </c>
      <c r="O22" s="29" t="str">
        <f t="shared" ref="O22" si="30">C22</f>
        <v>Mains Replacement - LDS Block Replacement</v>
      </c>
      <c r="P22" s="41"/>
      <c r="Q22" s="41"/>
      <c r="R22" s="640" t="s">
        <v>445</v>
      </c>
      <c r="S22" s="634" t="s">
        <v>445</v>
      </c>
      <c r="T22" s="634" t="s">
        <v>445</v>
      </c>
      <c r="U22" s="634" t="s">
        <v>445</v>
      </c>
      <c r="V22" s="639" t="s">
        <v>445</v>
      </c>
      <c r="W22" s="41"/>
      <c r="X22" s="409" t="str">
        <f t="shared" si="23"/>
        <v>Attachment 8.4 Unit Rates Forecast</v>
      </c>
      <c r="Y22" s="66"/>
      <c r="Z22" s="29" t="str">
        <f t="shared" ref="Z22" si="31">B22</f>
        <v>08</v>
      </c>
      <c r="AA22" s="29" t="str">
        <f t="shared" ref="AA22" si="32">C22</f>
        <v>Mains Replacement - LDS Block Replacement</v>
      </c>
      <c r="AB22" s="212"/>
      <c r="AC22" s="212"/>
      <c r="AD22" s="207">
        <v>0</v>
      </c>
      <c r="AE22" s="208">
        <v>0</v>
      </c>
      <c r="AF22" s="208">
        <v>0</v>
      </c>
      <c r="AG22" s="208">
        <v>0</v>
      </c>
      <c r="AH22" s="56">
        <v>0</v>
      </c>
      <c r="AI22" s="212">
        <f t="shared" ref="AI22" si="33">SUM(AD22:AH22)</f>
        <v>0</v>
      </c>
      <c r="AJ22" s="32"/>
      <c r="AK22" s="29" t="str">
        <f t="shared" ref="AK22" si="34">N22</f>
        <v>08</v>
      </c>
      <c r="AL22" s="29" t="str">
        <f t="shared" ref="AL22" si="35">O22</f>
        <v>Mains Replacement - LDS Block Replacement</v>
      </c>
      <c r="AM22" s="212"/>
      <c r="AN22" s="212"/>
      <c r="AO22" s="207">
        <f>AD22*(1+'Real Cost Escalation'!E$18)</f>
        <v>0</v>
      </c>
      <c r="AP22" s="208">
        <f>AE22*(1+'Real Cost Escalation'!F$18)</f>
        <v>0</v>
      </c>
      <c r="AQ22" s="208">
        <f>AF22*(1+'Real Cost Escalation'!G$18)</f>
        <v>0</v>
      </c>
      <c r="AR22" s="208">
        <f>AG22*(1+'Real Cost Escalation'!H$18)</f>
        <v>0</v>
      </c>
      <c r="AS22" s="56">
        <f>AH22*(1+'Real Cost Escalation'!I$18)</f>
        <v>0</v>
      </c>
      <c r="AT22" s="212">
        <f t="shared" ref="AT22" si="36">SUM(AO22:AS22)</f>
        <v>0</v>
      </c>
      <c r="AU22" s="66"/>
      <c r="AV22" s="29" t="str">
        <f t="shared" ref="AV22" si="37">Z22</f>
        <v>08</v>
      </c>
      <c r="AW22" s="29" t="str">
        <f t="shared" ref="AW22" si="38">AA22</f>
        <v>Mains Replacement - LDS Block Replacement</v>
      </c>
      <c r="AX22" s="212"/>
      <c r="AY22" s="212"/>
      <c r="AZ22" s="207">
        <f t="shared" ref="AZ22" si="39">AO22-AD22</f>
        <v>0</v>
      </c>
      <c r="BA22" s="208">
        <f t="shared" ref="BA22" si="40">AP22-AE22</f>
        <v>0</v>
      </c>
      <c r="BB22" s="208">
        <f t="shared" ref="BB22" si="41">AQ22-AF22</f>
        <v>0</v>
      </c>
      <c r="BC22" s="208">
        <f t="shared" ref="BC22" si="42">AR22-AG22</f>
        <v>0</v>
      </c>
      <c r="BD22" s="56">
        <f t="shared" ref="BD22" si="43">AS22-AH22</f>
        <v>0</v>
      </c>
      <c r="BE22" s="212">
        <f t="shared" ref="BE22" si="44">SUM(AZ22:BD22)</f>
        <v>0</v>
      </c>
      <c r="BF22" s="32"/>
    </row>
    <row r="23" spans="1:58" s="67" customFormat="1" ht="18" customHeight="1" x14ac:dyDescent="0.2">
      <c r="A23" s="66"/>
      <c r="B23" s="29" t="str">
        <f>'Capex Model Category Index'!B16</f>
        <v>09</v>
      </c>
      <c r="C23" s="29" t="str">
        <f>'Capex Model Category Index'!C16</f>
        <v>Mains Replacement - CBD Block Replacement</v>
      </c>
      <c r="D23" s="15"/>
      <c r="E23" s="15"/>
      <c r="F23" s="627" t="s">
        <v>445</v>
      </c>
      <c r="G23" s="628" t="s">
        <v>445</v>
      </c>
      <c r="H23" s="628" t="s">
        <v>445</v>
      </c>
      <c r="I23" s="628" t="s">
        <v>445</v>
      </c>
      <c r="J23" s="628" t="s">
        <v>445</v>
      </c>
      <c r="K23" s="16">
        <f t="shared" si="21"/>
        <v>0</v>
      </c>
      <c r="L23" s="409" t="str">
        <f t="shared" si="27"/>
        <v>Attachment 8.2 Distribution Mains and Services Integrity Plan</v>
      </c>
      <c r="M23" s="32"/>
      <c r="N23" s="29" t="str">
        <f t="shared" si="22"/>
        <v>09</v>
      </c>
      <c r="O23" s="29" t="str">
        <f t="shared" si="22"/>
        <v>Mains Replacement - CBD Block Replacement</v>
      </c>
      <c r="P23" s="41"/>
      <c r="Q23" s="41"/>
      <c r="R23" s="640" t="s">
        <v>445</v>
      </c>
      <c r="S23" s="634" t="s">
        <v>445</v>
      </c>
      <c r="T23" s="634" t="s">
        <v>445</v>
      </c>
      <c r="U23" s="634" t="s">
        <v>445</v>
      </c>
      <c r="V23" s="639" t="s">
        <v>445</v>
      </c>
      <c r="W23" s="41"/>
      <c r="X23" s="409" t="str">
        <f t="shared" si="23"/>
        <v>Attachment 8.4 Unit Rates Forecast</v>
      </c>
      <c r="Y23" s="66"/>
      <c r="Z23" s="29" t="str">
        <f t="shared" si="12"/>
        <v>09</v>
      </c>
      <c r="AA23" s="29" t="str">
        <f t="shared" si="12"/>
        <v>Mains Replacement - CBD Block Replacement</v>
      </c>
      <c r="AB23" s="212"/>
      <c r="AC23" s="212"/>
      <c r="AD23" s="207">
        <v>0</v>
      </c>
      <c r="AE23" s="208">
        <v>0</v>
      </c>
      <c r="AF23" s="208">
        <v>0</v>
      </c>
      <c r="AG23" s="208">
        <v>0</v>
      </c>
      <c r="AH23" s="56">
        <v>0</v>
      </c>
      <c r="AI23" s="212">
        <f t="shared" si="24"/>
        <v>0</v>
      </c>
      <c r="AJ23" s="32"/>
      <c r="AK23" s="29" t="str">
        <f t="shared" si="13"/>
        <v>09</v>
      </c>
      <c r="AL23" s="29" t="str">
        <f t="shared" si="13"/>
        <v>Mains Replacement - CBD Block Replacement</v>
      </c>
      <c r="AM23" s="212"/>
      <c r="AN23" s="212"/>
      <c r="AO23" s="207">
        <f>AD23*(1+'Real Cost Escalation'!E$18)</f>
        <v>0</v>
      </c>
      <c r="AP23" s="208">
        <f>AE23*(1+'Real Cost Escalation'!F$18)</f>
        <v>0</v>
      </c>
      <c r="AQ23" s="208">
        <f>AF23*(1+'Real Cost Escalation'!G$18)</f>
        <v>0</v>
      </c>
      <c r="AR23" s="208">
        <f>AG23*(1+'Real Cost Escalation'!H$18)</f>
        <v>0</v>
      </c>
      <c r="AS23" s="56">
        <f>AH23*(1+'Real Cost Escalation'!I$18)</f>
        <v>0</v>
      </c>
      <c r="AT23" s="212">
        <f t="shared" si="25"/>
        <v>0</v>
      </c>
      <c r="AU23" s="66"/>
      <c r="AV23" s="29" t="str">
        <f t="shared" si="14"/>
        <v>09</v>
      </c>
      <c r="AW23" s="29" t="str">
        <f t="shared" si="15"/>
        <v>Mains Replacement - CBD Block Replacement</v>
      </c>
      <c r="AX23" s="212"/>
      <c r="AY23" s="212"/>
      <c r="AZ23" s="207">
        <f t="shared" si="16"/>
        <v>0</v>
      </c>
      <c r="BA23" s="208">
        <f t="shared" si="17"/>
        <v>0</v>
      </c>
      <c r="BB23" s="208">
        <f t="shared" si="18"/>
        <v>0</v>
      </c>
      <c r="BC23" s="208">
        <f t="shared" si="19"/>
        <v>0</v>
      </c>
      <c r="BD23" s="56">
        <f t="shared" si="20"/>
        <v>0</v>
      </c>
      <c r="BE23" s="212">
        <f t="shared" si="26"/>
        <v>0</v>
      </c>
      <c r="BF23" s="32"/>
    </row>
    <row r="24" spans="1:58" s="67" customFormat="1" ht="18" customHeight="1" x14ac:dyDescent="0.2">
      <c r="A24" s="66"/>
      <c r="B24" s="29" t="str">
        <f>'Capex Model Category Index'!B17</f>
        <v>10</v>
      </c>
      <c r="C24" s="29" t="str">
        <f>'Capex Model Category Index'!C17</f>
        <v>Mains Replacement - CBD Trunk Replacement</v>
      </c>
      <c r="D24" s="15"/>
      <c r="E24" s="15"/>
      <c r="F24" s="627" t="s">
        <v>445</v>
      </c>
      <c r="G24" s="628" t="s">
        <v>445</v>
      </c>
      <c r="H24" s="628" t="s">
        <v>445</v>
      </c>
      <c r="I24" s="628" t="s">
        <v>445</v>
      </c>
      <c r="J24" s="628" t="s">
        <v>445</v>
      </c>
      <c r="K24" s="61">
        <f t="shared" ref="K24" si="45">SUM(F24:J24)</f>
        <v>0</v>
      </c>
      <c r="L24" s="409" t="str">
        <f t="shared" si="27"/>
        <v>Attachment 8.2 Distribution Mains and Services Integrity Plan</v>
      </c>
      <c r="M24" s="32"/>
      <c r="N24" s="359" t="str">
        <f t="shared" ref="N24" si="46">B24</f>
        <v>10</v>
      </c>
      <c r="O24" s="359" t="str">
        <f t="shared" ref="O24" si="47">C24</f>
        <v>Mains Replacement - CBD Trunk Replacement</v>
      </c>
      <c r="P24" s="507"/>
      <c r="Q24" s="507"/>
      <c r="R24" s="641" t="s">
        <v>445</v>
      </c>
      <c r="S24" s="638" t="s">
        <v>445</v>
      </c>
      <c r="T24" s="638" t="s">
        <v>445</v>
      </c>
      <c r="U24" s="638" t="s">
        <v>445</v>
      </c>
      <c r="V24" s="642" t="s">
        <v>445</v>
      </c>
      <c r="W24" s="507"/>
      <c r="X24" s="509" t="str">
        <f t="shared" si="23"/>
        <v>Attachment 8.4 Unit Rates Forecast</v>
      </c>
      <c r="Y24" s="66"/>
      <c r="Z24" s="29" t="str">
        <f t="shared" ref="Z24" si="48">B24</f>
        <v>10</v>
      </c>
      <c r="AA24" s="29" t="str">
        <f t="shared" ref="AA24" si="49">C24</f>
        <v>Mains Replacement - CBD Trunk Replacement</v>
      </c>
      <c r="AB24" s="212"/>
      <c r="AC24" s="212"/>
      <c r="AD24" s="207">
        <v>0</v>
      </c>
      <c r="AE24" s="208">
        <v>0</v>
      </c>
      <c r="AF24" s="208">
        <v>0</v>
      </c>
      <c r="AG24" s="208">
        <v>0</v>
      </c>
      <c r="AH24" s="56">
        <v>0</v>
      </c>
      <c r="AI24" s="212">
        <f t="shared" ref="AI24" si="50">SUM(AD24:AH24)</f>
        <v>0</v>
      </c>
      <c r="AJ24" s="32"/>
      <c r="AK24" s="29" t="str">
        <f t="shared" ref="AK24" si="51">N24</f>
        <v>10</v>
      </c>
      <c r="AL24" s="29" t="str">
        <f t="shared" ref="AL24" si="52">O24</f>
        <v>Mains Replacement - CBD Trunk Replacement</v>
      </c>
      <c r="AM24" s="212"/>
      <c r="AN24" s="212"/>
      <c r="AO24" s="207">
        <f>AD24*(1+'Real Cost Escalation'!E$18)</f>
        <v>0</v>
      </c>
      <c r="AP24" s="208">
        <f>AE24*(1+'Real Cost Escalation'!F$18)</f>
        <v>0</v>
      </c>
      <c r="AQ24" s="208">
        <f>AF24*(1+'Real Cost Escalation'!G$18)</f>
        <v>0</v>
      </c>
      <c r="AR24" s="208">
        <f>AG24*(1+'Real Cost Escalation'!H$18)</f>
        <v>0</v>
      </c>
      <c r="AS24" s="56">
        <f>AH24*(1+'Real Cost Escalation'!I$18)</f>
        <v>0</v>
      </c>
      <c r="AT24" s="212">
        <f t="shared" ref="AT24" si="53">SUM(AO24:AS24)</f>
        <v>0</v>
      </c>
      <c r="AU24" s="66"/>
      <c r="AV24" s="29" t="str">
        <f t="shared" ref="AV24" si="54">Z24</f>
        <v>10</v>
      </c>
      <c r="AW24" s="29" t="str">
        <f t="shared" ref="AW24" si="55">AA24</f>
        <v>Mains Replacement - CBD Trunk Replacement</v>
      </c>
      <c r="AX24" s="212"/>
      <c r="AY24" s="212"/>
      <c r="AZ24" s="207">
        <f t="shared" ref="AZ24" si="56">AO24-AD24</f>
        <v>0</v>
      </c>
      <c r="BA24" s="208">
        <f t="shared" ref="BA24" si="57">AP24-AE24</f>
        <v>0</v>
      </c>
      <c r="BB24" s="208">
        <f t="shared" ref="BB24" si="58">AQ24-AF24</f>
        <v>0</v>
      </c>
      <c r="BC24" s="208">
        <f t="shared" ref="BC24" si="59">AR24-AG24</f>
        <v>0</v>
      </c>
      <c r="BD24" s="56">
        <f t="shared" ref="BD24" si="60">AS24-AH24</f>
        <v>0</v>
      </c>
      <c r="BE24" s="212">
        <f t="shared" ref="BE24" si="61">SUM(AZ24:BD24)</f>
        <v>0</v>
      </c>
      <c r="BF24" s="32"/>
    </row>
    <row r="25" spans="1:58" s="67" customFormat="1" ht="18" customHeight="1" thickBot="1" x14ac:dyDescent="0.25">
      <c r="A25" s="66"/>
      <c r="B25" s="19"/>
      <c r="C25" s="20" t="s">
        <v>74</v>
      </c>
      <c r="D25" s="22"/>
      <c r="E25" s="22"/>
      <c r="F25" s="21">
        <f t="shared" ref="F25:K25" si="62">SUM(F17:F24)</f>
        <v>0</v>
      </c>
      <c r="G25" s="22">
        <f t="shared" si="62"/>
        <v>0</v>
      </c>
      <c r="H25" s="22">
        <f t="shared" si="62"/>
        <v>0</v>
      </c>
      <c r="I25" s="22">
        <f t="shared" si="62"/>
        <v>0</v>
      </c>
      <c r="J25" s="23">
        <f t="shared" si="62"/>
        <v>0</v>
      </c>
      <c r="K25" s="22">
        <f t="shared" si="62"/>
        <v>0</v>
      </c>
      <c r="L25" s="21"/>
      <c r="M25" s="32"/>
      <c r="N25" s="72"/>
      <c r="O25" s="73"/>
      <c r="P25" s="12"/>
      <c r="Q25" s="12"/>
      <c r="R25" s="12"/>
      <c r="S25" s="12"/>
      <c r="T25" s="12"/>
      <c r="U25" s="12"/>
      <c r="V25" s="12"/>
      <c r="W25" s="12"/>
      <c r="X25" s="12"/>
      <c r="Y25" s="66"/>
      <c r="Z25" s="19"/>
      <c r="AA25" s="20" t="s">
        <v>74</v>
      </c>
      <c r="AB25" s="210"/>
      <c r="AC25" s="210"/>
      <c r="AD25" s="209">
        <f t="shared" ref="AD25:AI25" si="63">SUM(AD17:AD24)</f>
        <v>0</v>
      </c>
      <c r="AE25" s="210">
        <f t="shared" si="63"/>
        <v>0</v>
      </c>
      <c r="AF25" s="210">
        <f t="shared" si="63"/>
        <v>0</v>
      </c>
      <c r="AG25" s="210">
        <f t="shared" si="63"/>
        <v>0</v>
      </c>
      <c r="AH25" s="211">
        <f t="shared" si="63"/>
        <v>0</v>
      </c>
      <c r="AI25" s="210">
        <f t="shared" si="63"/>
        <v>0</v>
      </c>
      <c r="AJ25" s="32"/>
      <c r="AK25" s="19"/>
      <c r="AL25" s="20" t="s">
        <v>74</v>
      </c>
      <c r="AM25" s="210"/>
      <c r="AN25" s="210"/>
      <c r="AO25" s="209">
        <f t="shared" ref="AO25:AT25" si="64">SUM(AO17:AO24)</f>
        <v>0</v>
      </c>
      <c r="AP25" s="210">
        <f t="shared" si="64"/>
        <v>0</v>
      </c>
      <c r="AQ25" s="210">
        <f t="shared" si="64"/>
        <v>0</v>
      </c>
      <c r="AR25" s="210">
        <f t="shared" si="64"/>
        <v>0</v>
      </c>
      <c r="AS25" s="211">
        <f t="shared" si="64"/>
        <v>0</v>
      </c>
      <c r="AT25" s="210">
        <f t="shared" si="64"/>
        <v>0</v>
      </c>
      <c r="AU25" s="66"/>
      <c r="AV25" s="19"/>
      <c r="AW25" s="20" t="s">
        <v>74</v>
      </c>
      <c r="AX25" s="266"/>
      <c r="AY25" s="266"/>
      <c r="AZ25" s="267">
        <f t="shared" ref="AZ25:BE25" si="65">SUM(AZ17:AZ24)</f>
        <v>0</v>
      </c>
      <c r="BA25" s="266">
        <f t="shared" si="65"/>
        <v>0</v>
      </c>
      <c r="BB25" s="266">
        <f t="shared" si="65"/>
        <v>0</v>
      </c>
      <c r="BC25" s="266">
        <f t="shared" si="65"/>
        <v>0</v>
      </c>
      <c r="BD25" s="268">
        <f t="shared" si="65"/>
        <v>0</v>
      </c>
      <c r="BE25" s="210">
        <f t="shared" si="65"/>
        <v>0</v>
      </c>
      <c r="BF25" s="32"/>
    </row>
    <row r="26" spans="1:58" s="67" customFormat="1" ht="18" customHeight="1" x14ac:dyDescent="0.2">
      <c r="A26" s="66"/>
      <c r="B26" s="72"/>
      <c r="C26" s="73"/>
      <c r="D26" s="12"/>
      <c r="E26" s="12"/>
      <c r="F26" s="12"/>
      <c r="G26" s="12"/>
      <c r="H26" s="12"/>
      <c r="I26" s="12"/>
      <c r="J26" s="12"/>
      <c r="K26" s="12"/>
      <c r="L26" s="12"/>
      <c r="M26" s="32"/>
      <c r="N26" s="72"/>
      <c r="O26" s="73"/>
      <c r="P26" s="12"/>
      <c r="Q26" s="12"/>
      <c r="R26" s="12"/>
      <c r="S26" s="12"/>
      <c r="T26" s="12"/>
      <c r="U26" s="12"/>
      <c r="V26" s="12"/>
      <c r="W26" s="12"/>
      <c r="X26" s="12"/>
      <c r="Y26" s="66"/>
      <c r="Z26" s="72"/>
      <c r="AA26" s="73"/>
      <c r="AB26" s="12"/>
      <c r="AC26" s="12"/>
      <c r="AD26" s="12"/>
      <c r="AE26" s="12"/>
      <c r="AF26" s="12"/>
      <c r="AG26" s="12"/>
      <c r="AH26" s="12"/>
      <c r="AI26" s="12"/>
      <c r="AJ26" s="32"/>
      <c r="AK26" s="72"/>
      <c r="AL26" s="73"/>
      <c r="AM26" s="12"/>
      <c r="AN26" s="12"/>
      <c r="AO26" s="12"/>
      <c r="AP26" s="12"/>
      <c r="AQ26" s="12"/>
      <c r="AR26" s="12"/>
      <c r="AS26" s="12"/>
      <c r="AT26" s="12"/>
      <c r="AU26" s="66"/>
      <c r="AV26" s="72"/>
      <c r="AW26" s="73"/>
      <c r="AX26" s="12"/>
      <c r="AY26" s="12"/>
      <c r="AZ26" s="12"/>
      <c r="BA26" s="12"/>
      <c r="BB26" s="12"/>
      <c r="BC26" s="12"/>
      <c r="BD26" s="12"/>
      <c r="BE26" s="12"/>
      <c r="BF26" s="32"/>
    </row>
    <row r="27" spans="1:58" s="67" customFormat="1" ht="24" customHeight="1" x14ac:dyDescent="0.2">
      <c r="A27" s="66"/>
      <c r="B27" s="354" t="s">
        <v>167</v>
      </c>
      <c r="C27" s="354"/>
      <c r="D27" s="355"/>
      <c r="E27" s="355"/>
      <c r="F27" s="355"/>
      <c r="G27" s="355"/>
      <c r="H27" s="355"/>
      <c r="I27" s="355"/>
      <c r="J27" s="355"/>
      <c r="K27" s="355"/>
      <c r="L27" s="355"/>
      <c r="M27" s="32"/>
      <c r="N27" s="354" t="s">
        <v>413</v>
      </c>
      <c r="O27" s="354"/>
      <c r="P27" s="355"/>
      <c r="Q27" s="355"/>
      <c r="R27" s="355"/>
      <c r="S27" s="355"/>
      <c r="T27" s="355"/>
      <c r="U27" s="355"/>
      <c r="V27" s="355"/>
      <c r="W27" s="355"/>
      <c r="X27" s="355"/>
      <c r="Y27" s="70"/>
      <c r="Z27" s="354" t="s">
        <v>416</v>
      </c>
      <c r="AA27" s="354"/>
      <c r="AB27" s="355"/>
      <c r="AC27" s="355"/>
      <c r="AD27" s="355"/>
      <c r="AE27" s="355"/>
      <c r="AF27" s="355"/>
      <c r="AG27" s="355"/>
      <c r="AH27" s="355"/>
      <c r="AI27" s="355"/>
      <c r="AJ27" s="32"/>
      <c r="AK27" s="354" t="s">
        <v>428</v>
      </c>
      <c r="AL27" s="354"/>
      <c r="AM27" s="355"/>
      <c r="AN27" s="355"/>
      <c r="AO27" s="355"/>
      <c r="AP27" s="355"/>
      <c r="AQ27" s="355"/>
      <c r="AR27" s="355"/>
      <c r="AS27" s="355"/>
      <c r="AT27" s="355"/>
      <c r="AU27" s="66"/>
      <c r="AV27" s="354" t="s">
        <v>435</v>
      </c>
      <c r="AW27" s="354"/>
      <c r="AX27" s="355"/>
      <c r="AY27" s="355"/>
      <c r="AZ27" s="355"/>
      <c r="BA27" s="355"/>
      <c r="BB27" s="355"/>
      <c r="BC27" s="355"/>
      <c r="BD27" s="355"/>
      <c r="BE27" s="355"/>
      <c r="BF27" s="32"/>
    </row>
    <row r="28" spans="1:58" s="67" customFormat="1" ht="18" customHeight="1" x14ac:dyDescent="0.2">
      <c r="A28" s="66"/>
      <c r="B28" s="72"/>
      <c r="C28" s="73"/>
      <c r="D28" s="12"/>
      <c r="E28" s="12"/>
      <c r="F28" s="12"/>
      <c r="G28" s="12"/>
      <c r="H28" s="12"/>
      <c r="I28" s="12"/>
      <c r="J28" s="12"/>
      <c r="K28" s="12"/>
      <c r="L28" s="12"/>
      <c r="M28" s="32"/>
      <c r="N28" s="72"/>
      <c r="O28" s="73"/>
      <c r="P28" s="12"/>
      <c r="Q28" s="12"/>
      <c r="R28" s="12"/>
      <c r="S28" s="12"/>
      <c r="T28" s="12"/>
      <c r="U28" s="12"/>
      <c r="V28" s="12"/>
      <c r="W28" s="12"/>
      <c r="X28" s="12"/>
      <c r="Y28" s="66"/>
      <c r="Z28" s="72"/>
      <c r="AA28" s="73"/>
      <c r="AB28" s="12"/>
      <c r="AC28" s="12"/>
      <c r="AD28" s="12"/>
      <c r="AE28" s="12"/>
      <c r="AF28" s="12"/>
      <c r="AG28" s="12"/>
      <c r="AH28" s="12"/>
      <c r="AI28" s="12"/>
      <c r="AJ28" s="32"/>
      <c r="AK28" s="72"/>
      <c r="AL28" s="73"/>
      <c r="AM28" s="12"/>
      <c r="AN28" s="12"/>
      <c r="AO28" s="12"/>
      <c r="AP28" s="12"/>
      <c r="AQ28" s="12"/>
      <c r="AR28" s="12"/>
      <c r="AS28" s="12"/>
      <c r="AT28" s="12"/>
      <c r="AU28" s="66"/>
      <c r="AV28" s="72"/>
      <c r="AW28" s="73"/>
      <c r="AX28" s="12"/>
      <c r="AY28" s="12"/>
      <c r="AZ28" s="12"/>
      <c r="BA28" s="12"/>
      <c r="BB28" s="12"/>
      <c r="BC28" s="12"/>
      <c r="BD28" s="12"/>
      <c r="BE28" s="12"/>
      <c r="BF28" s="32"/>
    </row>
    <row r="29" spans="1:58" s="67" customFormat="1" ht="22.5" x14ac:dyDescent="0.2">
      <c r="A29" s="66"/>
      <c r="B29" s="10" t="s">
        <v>168</v>
      </c>
      <c r="C29" s="11"/>
      <c r="D29" s="3"/>
      <c r="E29" s="3"/>
      <c r="F29" s="30">
        <f t="shared" ref="F29:L29" si="66">F16</f>
        <v>2018</v>
      </c>
      <c r="G29" s="3">
        <f t="shared" si="66"/>
        <v>2019</v>
      </c>
      <c r="H29" s="3">
        <f t="shared" si="66"/>
        <v>2020</v>
      </c>
      <c r="I29" s="3">
        <f t="shared" si="66"/>
        <v>2021</v>
      </c>
      <c r="J29" s="31">
        <f t="shared" si="66"/>
        <v>2022</v>
      </c>
      <c r="K29" s="363" t="str">
        <f t="shared" si="66"/>
        <v>Total for 
2018-2022</v>
      </c>
      <c r="L29" s="3" t="str">
        <f t="shared" si="66"/>
        <v>Source</v>
      </c>
      <c r="M29" s="32"/>
      <c r="N29" s="10" t="s">
        <v>172</v>
      </c>
      <c r="O29" s="11"/>
      <c r="P29" s="3"/>
      <c r="Q29" s="3"/>
      <c r="R29" s="30">
        <f t="shared" ref="R29:W29" si="67">R16</f>
        <v>2018</v>
      </c>
      <c r="S29" s="3">
        <f t="shared" si="67"/>
        <v>2019</v>
      </c>
      <c r="T29" s="3">
        <f t="shared" si="67"/>
        <v>2020</v>
      </c>
      <c r="U29" s="3">
        <f t="shared" si="67"/>
        <v>2021</v>
      </c>
      <c r="V29" s="31">
        <f t="shared" si="67"/>
        <v>2022</v>
      </c>
      <c r="W29" s="3" t="str">
        <f t="shared" si="67"/>
        <v>Total for 
2018-2022</v>
      </c>
      <c r="X29" s="30" t="s">
        <v>100</v>
      </c>
      <c r="Y29" s="32"/>
      <c r="Z29" s="10"/>
      <c r="AA29" s="11"/>
      <c r="AB29" s="3"/>
      <c r="AC29" s="3"/>
      <c r="AD29" s="30">
        <f t="shared" ref="AD29:AI29" si="68">AD16</f>
        <v>2018</v>
      </c>
      <c r="AE29" s="3">
        <f t="shared" si="68"/>
        <v>2019</v>
      </c>
      <c r="AF29" s="3">
        <f t="shared" si="68"/>
        <v>2020</v>
      </c>
      <c r="AG29" s="3">
        <f t="shared" si="68"/>
        <v>2021</v>
      </c>
      <c r="AH29" s="31">
        <f t="shared" si="68"/>
        <v>2022</v>
      </c>
      <c r="AI29" s="3" t="str">
        <f t="shared" si="68"/>
        <v>Total for 
2018-2022</v>
      </c>
      <c r="AJ29" s="32"/>
      <c r="AK29" s="10"/>
      <c r="AL29" s="11"/>
      <c r="AM29" s="3"/>
      <c r="AN29" s="3"/>
      <c r="AO29" s="30">
        <f t="shared" ref="AO29:AT29" si="69">AO16</f>
        <v>2018</v>
      </c>
      <c r="AP29" s="3">
        <f t="shared" si="69"/>
        <v>2019</v>
      </c>
      <c r="AQ29" s="3">
        <f t="shared" si="69"/>
        <v>2020</v>
      </c>
      <c r="AR29" s="3">
        <f t="shared" si="69"/>
        <v>2021</v>
      </c>
      <c r="AS29" s="31">
        <f t="shared" si="69"/>
        <v>2022</v>
      </c>
      <c r="AT29" s="3" t="str">
        <f t="shared" si="69"/>
        <v>Total for 
2018-2022</v>
      </c>
      <c r="AU29" s="66"/>
      <c r="AV29" s="10"/>
      <c r="AW29" s="11"/>
      <c r="AX29" s="3"/>
      <c r="AY29" s="3"/>
      <c r="AZ29" s="30">
        <f t="shared" ref="AZ29:BE29" si="70">AZ16</f>
        <v>2018</v>
      </c>
      <c r="BA29" s="3">
        <f t="shared" si="70"/>
        <v>2019</v>
      </c>
      <c r="BB29" s="3">
        <f t="shared" si="70"/>
        <v>2020</v>
      </c>
      <c r="BC29" s="3">
        <f t="shared" si="70"/>
        <v>2021</v>
      </c>
      <c r="BD29" s="31">
        <f t="shared" si="70"/>
        <v>2022</v>
      </c>
      <c r="BE29" s="3" t="str">
        <f t="shared" si="70"/>
        <v>Total for 
2018-2022</v>
      </c>
      <c r="BF29" s="32"/>
    </row>
    <row r="30" spans="1:58" s="67" customFormat="1" ht="18" customHeight="1" x14ac:dyDescent="0.2">
      <c r="A30" s="66"/>
      <c r="B30" s="29" t="str">
        <f>'Capex Model Category Index'!B18</f>
        <v>11</v>
      </c>
      <c r="C30" s="29" t="str">
        <f>'Capex Model Category Index'!C18</f>
        <v>Service Renewal - Non AMRP</v>
      </c>
      <c r="D30" s="15"/>
      <c r="E30" s="15"/>
      <c r="F30" s="627" t="s">
        <v>445</v>
      </c>
      <c r="G30" s="628" t="s">
        <v>445</v>
      </c>
      <c r="H30" s="628" t="s">
        <v>445</v>
      </c>
      <c r="I30" s="628" t="s">
        <v>445</v>
      </c>
      <c r="J30" s="629" t="s">
        <v>445</v>
      </c>
      <c r="K30" s="61">
        <v>85.199999999999989</v>
      </c>
      <c r="L30" s="409" t="str">
        <f>$L$17</f>
        <v>Attachment 8.2 Distribution Mains and Services Integrity Plan</v>
      </c>
      <c r="M30" s="32"/>
      <c r="N30" s="510" t="str">
        <f>B30</f>
        <v>11</v>
      </c>
      <c r="O30" s="510" t="str">
        <f>C30</f>
        <v>Service Renewal - Non AMRP</v>
      </c>
      <c r="P30" s="511"/>
      <c r="Q30" s="511"/>
      <c r="R30" s="643" t="s">
        <v>445</v>
      </c>
      <c r="S30" s="637" t="s">
        <v>445</v>
      </c>
      <c r="T30" s="637" t="s">
        <v>445</v>
      </c>
      <c r="U30" s="637" t="s">
        <v>445</v>
      </c>
      <c r="V30" s="644" t="s">
        <v>445</v>
      </c>
      <c r="W30" s="511"/>
      <c r="X30" s="512" t="str">
        <f>$X$10</f>
        <v>Attachment 8.4 Unit Rates Forecast</v>
      </c>
      <c r="Y30" s="32"/>
      <c r="Z30" s="29" t="str">
        <f>N30</f>
        <v>11</v>
      </c>
      <c r="AA30" s="29" t="str">
        <f>O30</f>
        <v>Service Renewal - Non AMRP</v>
      </c>
      <c r="AB30" s="212"/>
      <c r="AC30" s="212"/>
      <c r="AD30" s="215">
        <v>1.7459922718240466E-2</v>
      </c>
      <c r="AE30" s="216">
        <v>1.7459922718240466E-2</v>
      </c>
      <c r="AF30" s="216">
        <v>1.7459922718240466E-2</v>
      </c>
      <c r="AG30" s="216">
        <v>1.7459922718240466E-2</v>
      </c>
      <c r="AH30" s="217">
        <v>1.7459922718240466E-2</v>
      </c>
      <c r="AI30" s="212">
        <f>SUM(AD30:AH30)</f>
        <v>8.7299613591202335E-2</v>
      </c>
      <c r="AJ30" s="32"/>
      <c r="AK30" s="29" t="str">
        <f>Z30</f>
        <v>11</v>
      </c>
      <c r="AL30" s="29" t="str">
        <f>AA30</f>
        <v>Service Renewal - Non AMRP</v>
      </c>
      <c r="AM30" s="212"/>
      <c r="AN30" s="212"/>
      <c r="AO30" s="215">
        <f>AD30*(1+'Real Cost Escalation'!E$18)</f>
        <v>1.7577461534397595E-2</v>
      </c>
      <c r="AP30" s="216">
        <f>AE30*(1+'Real Cost Escalation'!F$18)</f>
        <v>1.7677928343609581E-2</v>
      </c>
      <c r="AQ30" s="216">
        <f>AF30*(1+'Real Cost Escalation'!G$18)</f>
        <v>1.7802784388660311E-2</v>
      </c>
      <c r="AR30" s="216">
        <f>AG30*(1+'Real Cost Escalation'!H$18)</f>
        <v>1.7957171312785642E-2</v>
      </c>
      <c r="AS30" s="217">
        <f>AH30*(1+'Real Cost Escalation'!I$18)</f>
        <v>1.8131584929640902E-2</v>
      </c>
      <c r="AT30" s="212">
        <f>SUM(AO30:AS30)</f>
        <v>8.914693050909403E-2</v>
      </c>
      <c r="AU30" s="66"/>
      <c r="AV30" s="29" t="str">
        <f>AK30</f>
        <v>11</v>
      </c>
      <c r="AW30" s="29" t="str">
        <f>AL30</f>
        <v>Service Renewal - Non AMRP</v>
      </c>
      <c r="AX30" s="360"/>
      <c r="AY30" s="360"/>
      <c r="AZ30" s="215">
        <f t="shared" ref="AZ30:BD30" si="71">AO30-AD30</f>
        <v>1.1753881615712836E-4</v>
      </c>
      <c r="BA30" s="216">
        <f t="shared" si="71"/>
        <v>2.1800562536911441E-4</v>
      </c>
      <c r="BB30" s="216">
        <f t="shared" si="71"/>
        <v>3.428616704198445E-4</v>
      </c>
      <c r="BC30" s="216">
        <f t="shared" si="71"/>
        <v>4.9724859454517573E-4</v>
      </c>
      <c r="BD30" s="217">
        <f t="shared" si="71"/>
        <v>6.7166221140043531E-4</v>
      </c>
      <c r="BE30" s="212">
        <f>SUM(AZ30:BD30)</f>
        <v>1.8473169178916983E-3</v>
      </c>
      <c r="BF30" s="32"/>
    </row>
    <row r="31" spans="1:58" s="67" customFormat="1" ht="18" customHeight="1" thickBot="1" x14ac:dyDescent="0.25">
      <c r="A31" s="66"/>
      <c r="B31" s="24"/>
      <c r="C31" s="24" t="s">
        <v>170</v>
      </c>
      <c r="D31" s="22"/>
      <c r="E31" s="22"/>
      <c r="F31" s="21">
        <v>17.04</v>
      </c>
      <c r="G31" s="22">
        <v>17.04</v>
      </c>
      <c r="H31" s="22">
        <v>17.04</v>
      </c>
      <c r="I31" s="22">
        <v>17.04</v>
      </c>
      <c r="J31" s="23">
        <v>17.04</v>
      </c>
      <c r="K31" s="58">
        <v>85.199999999999989</v>
      </c>
      <c r="L31" s="26"/>
      <c r="M31" s="32"/>
      <c r="N31" s="72"/>
      <c r="O31" s="73"/>
      <c r="P31" s="12"/>
      <c r="Q31" s="12"/>
      <c r="R31" s="12"/>
      <c r="S31" s="12"/>
      <c r="T31" s="12"/>
      <c r="U31" s="12"/>
      <c r="V31" s="12"/>
      <c r="W31" s="12"/>
      <c r="X31" s="12"/>
      <c r="Y31" s="32"/>
      <c r="Z31" s="24"/>
      <c r="AA31" s="24" t="s">
        <v>170</v>
      </c>
      <c r="AB31" s="210"/>
      <c r="AC31" s="210"/>
      <c r="AD31" s="209">
        <f t="shared" ref="AD31:AI31" si="72">SUM(AD30:AD30)</f>
        <v>1.7459922718240466E-2</v>
      </c>
      <c r="AE31" s="210">
        <f t="shared" si="72"/>
        <v>1.7459922718240466E-2</v>
      </c>
      <c r="AF31" s="210">
        <f t="shared" si="72"/>
        <v>1.7459922718240466E-2</v>
      </c>
      <c r="AG31" s="210">
        <f t="shared" si="72"/>
        <v>1.7459922718240466E-2</v>
      </c>
      <c r="AH31" s="211">
        <f t="shared" si="72"/>
        <v>1.7459922718240466E-2</v>
      </c>
      <c r="AI31" s="210">
        <f t="shared" si="72"/>
        <v>8.7299613591202335E-2</v>
      </c>
      <c r="AJ31" s="32"/>
      <c r="AK31" s="24"/>
      <c r="AL31" s="24" t="s">
        <v>170</v>
      </c>
      <c r="AM31" s="210"/>
      <c r="AN31" s="210"/>
      <c r="AO31" s="209">
        <f t="shared" ref="AO31:AT31" si="73">SUM(AO30:AO30)</f>
        <v>1.7577461534397595E-2</v>
      </c>
      <c r="AP31" s="210">
        <f t="shared" si="73"/>
        <v>1.7677928343609581E-2</v>
      </c>
      <c r="AQ31" s="210">
        <f t="shared" si="73"/>
        <v>1.7802784388660311E-2</v>
      </c>
      <c r="AR31" s="210">
        <f t="shared" si="73"/>
        <v>1.7957171312785642E-2</v>
      </c>
      <c r="AS31" s="211">
        <f t="shared" si="73"/>
        <v>1.8131584929640902E-2</v>
      </c>
      <c r="AT31" s="210">
        <f t="shared" si="73"/>
        <v>8.914693050909403E-2</v>
      </c>
      <c r="AU31" s="66"/>
      <c r="AV31" s="24"/>
      <c r="AW31" s="24" t="s">
        <v>170</v>
      </c>
      <c r="AX31" s="266"/>
      <c r="AY31" s="266"/>
      <c r="AZ31" s="209">
        <f t="shared" ref="AZ31:BE31" si="74">SUM(AZ30:AZ30)</f>
        <v>1.1753881615712836E-4</v>
      </c>
      <c r="BA31" s="210">
        <f t="shared" si="74"/>
        <v>2.1800562536911441E-4</v>
      </c>
      <c r="BB31" s="210">
        <f t="shared" si="74"/>
        <v>3.428616704198445E-4</v>
      </c>
      <c r="BC31" s="210">
        <f t="shared" si="74"/>
        <v>4.9724859454517573E-4</v>
      </c>
      <c r="BD31" s="211">
        <f t="shared" si="74"/>
        <v>6.7166221140043531E-4</v>
      </c>
      <c r="BE31" s="210">
        <f t="shared" si="74"/>
        <v>1.8473169178916983E-3</v>
      </c>
      <c r="BF31" s="32"/>
    </row>
    <row r="32" spans="1:58" s="67" customFormat="1" ht="18" customHeight="1" x14ac:dyDescent="0.2">
      <c r="A32" s="66"/>
      <c r="B32" s="72"/>
      <c r="C32" s="73"/>
      <c r="D32" s="12"/>
      <c r="E32" s="12"/>
      <c r="F32" s="12"/>
      <c r="G32" s="12"/>
      <c r="H32" s="12"/>
      <c r="I32" s="12"/>
      <c r="J32" s="12"/>
      <c r="K32" s="12"/>
      <c r="L32" s="12"/>
      <c r="M32" s="32"/>
      <c r="N32" s="72"/>
      <c r="O32" s="73"/>
      <c r="P32" s="12"/>
      <c r="Q32" s="12"/>
      <c r="R32" s="12"/>
      <c r="S32" s="12"/>
      <c r="T32" s="12"/>
      <c r="U32" s="12"/>
      <c r="V32" s="12"/>
      <c r="W32" s="12"/>
      <c r="X32" s="12"/>
      <c r="Y32" s="66"/>
      <c r="Z32" s="72"/>
      <c r="AA32" s="73"/>
      <c r="AB32" s="12"/>
      <c r="AC32" s="12"/>
      <c r="AD32" s="12"/>
      <c r="AE32" s="12"/>
      <c r="AF32" s="12"/>
      <c r="AG32" s="12"/>
      <c r="AH32" s="12"/>
      <c r="AI32" s="12"/>
      <c r="AJ32" s="32"/>
      <c r="AK32" s="72"/>
      <c r="AL32" s="73"/>
      <c r="AM32" s="12"/>
      <c r="AN32" s="12"/>
      <c r="AO32" s="12"/>
      <c r="AP32" s="12"/>
      <c r="AQ32" s="12"/>
      <c r="AR32" s="12"/>
      <c r="AS32" s="12"/>
      <c r="AT32" s="12"/>
      <c r="AU32" s="66"/>
      <c r="AV32" s="72"/>
      <c r="AW32" s="73"/>
      <c r="AX32" s="12"/>
      <c r="AY32" s="12"/>
      <c r="AZ32" s="12"/>
      <c r="BA32" s="12"/>
      <c r="BB32" s="12"/>
      <c r="BC32" s="12"/>
      <c r="BD32" s="12"/>
      <c r="BE32" s="12"/>
      <c r="BF32" s="32"/>
    </row>
    <row r="33" spans="1:58" ht="24" customHeight="1" x14ac:dyDescent="0.2">
      <c r="A33" s="66"/>
      <c r="B33" s="354" t="s">
        <v>188</v>
      </c>
      <c r="C33" s="354"/>
      <c r="D33" s="355"/>
      <c r="E33" s="355"/>
      <c r="F33" s="355"/>
      <c r="G33" s="355"/>
      <c r="H33" s="355"/>
      <c r="I33" s="355"/>
      <c r="J33" s="355"/>
      <c r="K33" s="355"/>
      <c r="L33" s="355"/>
      <c r="M33" s="32"/>
      <c r="N33" s="354" t="s">
        <v>417</v>
      </c>
      <c r="O33" s="354"/>
      <c r="P33" s="355"/>
      <c r="Q33" s="355"/>
      <c r="R33" s="355"/>
      <c r="S33" s="355"/>
      <c r="T33" s="355"/>
      <c r="U33" s="355"/>
      <c r="V33" s="355"/>
      <c r="W33" s="355"/>
      <c r="X33" s="355"/>
      <c r="Y33" s="70"/>
      <c r="Z33" s="354" t="s">
        <v>441</v>
      </c>
      <c r="AA33" s="354"/>
      <c r="AB33" s="355"/>
      <c r="AC33" s="355"/>
      <c r="AD33" s="355"/>
      <c r="AE33" s="355"/>
      <c r="AF33" s="355"/>
      <c r="AG33" s="355"/>
      <c r="AH33" s="355"/>
      <c r="AI33" s="355"/>
      <c r="AJ33" s="32"/>
      <c r="AK33" s="354" t="s">
        <v>429</v>
      </c>
      <c r="AL33" s="354"/>
      <c r="AM33" s="355"/>
      <c r="AN33" s="355"/>
      <c r="AO33" s="355"/>
      <c r="AP33" s="355"/>
      <c r="AQ33" s="355"/>
      <c r="AR33" s="355"/>
      <c r="AS33" s="355"/>
      <c r="AT33" s="355"/>
      <c r="AU33" s="66"/>
      <c r="AV33" s="354" t="s">
        <v>436</v>
      </c>
      <c r="AW33" s="354"/>
      <c r="AX33" s="355"/>
      <c r="AY33" s="355"/>
      <c r="AZ33" s="355"/>
      <c r="BA33" s="355"/>
      <c r="BB33" s="355"/>
      <c r="BC33" s="355"/>
      <c r="BD33" s="355"/>
      <c r="BE33" s="355"/>
      <c r="BF33" s="32"/>
    </row>
    <row r="34" spans="1:58" x14ac:dyDescent="0.2">
      <c r="A34" s="66"/>
      <c r="B34" s="72"/>
      <c r="C34" s="73"/>
      <c r="D34" s="12"/>
      <c r="E34" s="12"/>
      <c r="F34" s="12"/>
      <c r="G34" s="12"/>
      <c r="H34" s="12"/>
      <c r="I34" s="12"/>
      <c r="J34" s="12"/>
      <c r="K34" s="12"/>
      <c r="L34" s="12"/>
      <c r="M34" s="32"/>
      <c r="N34" s="72"/>
      <c r="O34" s="73"/>
      <c r="P34" s="12"/>
      <c r="Q34" s="12"/>
      <c r="R34" s="12"/>
      <c r="S34" s="12"/>
      <c r="T34" s="12"/>
      <c r="U34" s="12"/>
      <c r="V34" s="12"/>
      <c r="W34" s="12"/>
      <c r="X34" s="12"/>
      <c r="Y34" s="32"/>
      <c r="Z34" s="72"/>
      <c r="AA34" s="73"/>
      <c r="AB34" s="12"/>
      <c r="AC34" s="12"/>
      <c r="AD34" s="12"/>
      <c r="AE34" s="12"/>
      <c r="AF34" s="12"/>
      <c r="AG34" s="12"/>
      <c r="AH34" s="12"/>
      <c r="AI34" s="12"/>
      <c r="AJ34" s="32"/>
      <c r="AK34" s="72"/>
      <c r="AL34" s="73"/>
      <c r="AM34" s="12"/>
      <c r="AN34" s="12"/>
      <c r="AO34" s="12"/>
      <c r="AP34" s="12"/>
      <c r="AQ34" s="12"/>
      <c r="AR34" s="12"/>
      <c r="AS34" s="12"/>
      <c r="AT34" s="12"/>
      <c r="AU34" s="66"/>
      <c r="AV34" s="72"/>
      <c r="AW34" s="73"/>
      <c r="AX34" s="12"/>
      <c r="AY34" s="12"/>
      <c r="AZ34" s="12"/>
      <c r="BA34" s="12"/>
      <c r="BB34" s="12"/>
      <c r="BC34" s="12"/>
      <c r="BD34" s="12"/>
      <c r="BE34" s="12"/>
      <c r="BF34" s="32"/>
    </row>
    <row r="35" spans="1:58" ht="22.5" x14ac:dyDescent="0.2">
      <c r="A35" s="66"/>
      <c r="B35" s="10" t="s">
        <v>176</v>
      </c>
      <c r="C35" s="11"/>
      <c r="D35" s="3"/>
      <c r="E35" s="4"/>
      <c r="F35" s="7">
        <v>2018</v>
      </c>
      <c r="G35" s="8">
        <v>2019</v>
      </c>
      <c r="H35" s="8">
        <v>2020</v>
      </c>
      <c r="I35" s="8">
        <v>2021</v>
      </c>
      <c r="J35" s="9">
        <v>2022</v>
      </c>
      <c r="K35" s="30" t="s">
        <v>73</v>
      </c>
      <c r="L35" s="30" t="s">
        <v>100</v>
      </c>
      <c r="M35" s="32"/>
      <c r="N35" s="10" t="s">
        <v>175</v>
      </c>
      <c r="O35" s="11"/>
      <c r="P35" s="3"/>
      <c r="Q35" s="4"/>
      <c r="R35" s="5">
        <f t="shared" ref="R35:W35" si="75">F35</f>
        <v>2018</v>
      </c>
      <c r="S35" s="4">
        <f t="shared" si="75"/>
        <v>2019</v>
      </c>
      <c r="T35" s="4">
        <f t="shared" si="75"/>
        <v>2020</v>
      </c>
      <c r="U35" s="4">
        <f t="shared" si="75"/>
        <v>2021</v>
      </c>
      <c r="V35" s="6">
        <f t="shared" si="75"/>
        <v>2022</v>
      </c>
      <c r="W35" s="30" t="str">
        <f t="shared" si="75"/>
        <v>Total for 
2018-2022</v>
      </c>
      <c r="X35" s="30" t="str">
        <f>L35</f>
        <v>Source</v>
      </c>
      <c r="Y35" s="32"/>
      <c r="Z35" s="10"/>
      <c r="AA35" s="11"/>
      <c r="AB35" s="3"/>
      <c r="AC35" s="4"/>
      <c r="AD35" s="5">
        <f t="shared" ref="AD35:AI35" si="76">R35</f>
        <v>2018</v>
      </c>
      <c r="AE35" s="4">
        <f t="shared" si="76"/>
        <v>2019</v>
      </c>
      <c r="AF35" s="4">
        <f t="shared" si="76"/>
        <v>2020</v>
      </c>
      <c r="AG35" s="4">
        <f t="shared" si="76"/>
        <v>2021</v>
      </c>
      <c r="AH35" s="6">
        <f t="shared" si="76"/>
        <v>2022</v>
      </c>
      <c r="AI35" s="3" t="str">
        <f t="shared" si="76"/>
        <v>Total for 
2018-2022</v>
      </c>
      <c r="AJ35" s="32"/>
      <c r="AK35" s="10"/>
      <c r="AL35" s="11"/>
      <c r="AM35" s="3"/>
      <c r="AN35" s="4"/>
      <c r="AO35" s="5">
        <f t="shared" ref="AO35:AT35" si="77">AD35</f>
        <v>2018</v>
      </c>
      <c r="AP35" s="4">
        <f t="shared" si="77"/>
        <v>2019</v>
      </c>
      <c r="AQ35" s="4">
        <f t="shared" si="77"/>
        <v>2020</v>
      </c>
      <c r="AR35" s="4">
        <f t="shared" si="77"/>
        <v>2021</v>
      </c>
      <c r="AS35" s="6">
        <f t="shared" si="77"/>
        <v>2022</v>
      </c>
      <c r="AT35" s="3" t="str">
        <f t="shared" si="77"/>
        <v>Total for 
2018-2022</v>
      </c>
      <c r="AU35" s="66"/>
      <c r="AV35" s="10"/>
      <c r="AW35" s="11"/>
      <c r="AX35" s="3"/>
      <c r="AY35" s="4"/>
      <c r="AZ35" s="5">
        <f t="shared" ref="AZ35:BE35" si="78">AO35</f>
        <v>2018</v>
      </c>
      <c r="BA35" s="4">
        <f t="shared" si="78"/>
        <v>2019</v>
      </c>
      <c r="BB35" s="4">
        <f t="shared" si="78"/>
        <v>2020</v>
      </c>
      <c r="BC35" s="4">
        <f t="shared" si="78"/>
        <v>2021</v>
      </c>
      <c r="BD35" s="6">
        <f t="shared" si="78"/>
        <v>2022</v>
      </c>
      <c r="BE35" s="3" t="str">
        <f t="shared" si="78"/>
        <v>Total for 
2018-2022</v>
      </c>
      <c r="BF35" s="32"/>
    </row>
    <row r="36" spans="1:58" ht="18" customHeight="1" x14ac:dyDescent="0.2">
      <c r="A36" s="66"/>
      <c r="B36" s="29" t="str">
        <f>'Capex Model Category Index'!B19</f>
        <v>12</v>
      </c>
      <c r="C36" s="29" t="str">
        <f>'Capex Model Category Index'!C19</f>
        <v>New Main - Estate</v>
      </c>
      <c r="D36" s="15"/>
      <c r="E36" s="15"/>
      <c r="F36" s="624" t="s">
        <v>445</v>
      </c>
      <c r="G36" s="625" t="s">
        <v>445</v>
      </c>
      <c r="H36" s="625" t="s">
        <v>445</v>
      </c>
      <c r="I36" s="625" t="s">
        <v>445</v>
      </c>
      <c r="J36" s="625" t="s">
        <v>445</v>
      </c>
      <c r="K36" s="16">
        <v>27852.184176553405</v>
      </c>
      <c r="L36" s="409" t="s">
        <v>311</v>
      </c>
      <c r="M36" s="32"/>
      <c r="N36" s="29" t="str">
        <f t="shared" ref="N36:O38" si="79">B36</f>
        <v>12</v>
      </c>
      <c r="O36" s="29" t="str">
        <f t="shared" si="79"/>
        <v>New Main - Estate</v>
      </c>
      <c r="P36" s="41"/>
      <c r="Q36" s="41"/>
      <c r="R36" s="640" t="s">
        <v>445</v>
      </c>
      <c r="S36" s="634" t="s">
        <v>445</v>
      </c>
      <c r="T36" s="634" t="s">
        <v>445</v>
      </c>
      <c r="U36" s="634" t="s">
        <v>445</v>
      </c>
      <c r="V36" s="639" t="s">
        <v>445</v>
      </c>
      <c r="W36" s="42"/>
      <c r="X36" s="409" t="str">
        <f t="shared" ref="X36:X38" si="80">$X$10</f>
        <v>Attachment 8.4 Unit Rates Forecast</v>
      </c>
      <c r="Y36" s="32"/>
      <c r="Z36" s="29" t="str">
        <f>B36</f>
        <v>12</v>
      </c>
      <c r="AA36" s="29" t="str">
        <f>C36</f>
        <v>New Main - Estate</v>
      </c>
      <c r="AB36" s="212"/>
      <c r="AC36" s="212"/>
      <c r="AD36" s="207">
        <v>0.26917417968021157</v>
      </c>
      <c r="AE36" s="208">
        <v>0.27416572815448437</v>
      </c>
      <c r="AF36" s="208">
        <v>0.27924983957888927</v>
      </c>
      <c r="AG36" s="208">
        <v>0.28442823043475296</v>
      </c>
      <c r="AH36" s="56">
        <v>0.28970264903371751</v>
      </c>
      <c r="AI36" s="212">
        <f t="shared" ref="AI36:AI38" si="81">SUM(AD36:AH36)</f>
        <v>1.3967206268820558</v>
      </c>
      <c r="AJ36" s="32"/>
      <c r="AK36" s="29" t="str">
        <f t="shared" ref="AK36:AL38" si="82">N36</f>
        <v>12</v>
      </c>
      <c r="AL36" s="29" t="str">
        <f t="shared" si="82"/>
        <v>New Main - Estate</v>
      </c>
      <c r="AM36" s="212"/>
      <c r="AN36" s="212"/>
      <c r="AO36" s="207">
        <f>AD36*(1+'Real Cost Escalation'!E$18)</f>
        <v>0.27098623892756579</v>
      </c>
      <c r="AP36" s="208">
        <f>AE36*(1+'Real Cost Escalation'!F$18)</f>
        <v>0.27758897761472712</v>
      </c>
      <c r="AQ36" s="208">
        <f>AF36*(1+'Real Cost Escalation'!G$18)</f>
        <v>0.28473348735944143</v>
      </c>
      <c r="AR36" s="208">
        <f>AG36*(1+'Real Cost Escalation'!H$18)</f>
        <v>0.29252858346122418</v>
      </c>
      <c r="AS36" s="56">
        <f>AH36*(1+'Real Cost Escalation'!I$18)</f>
        <v>0.30084716124254129</v>
      </c>
      <c r="AT36" s="212">
        <f>SUM(AO36:AS36)</f>
        <v>1.4266844486054997</v>
      </c>
      <c r="AU36" s="66"/>
      <c r="AV36" s="29" t="str">
        <f t="shared" ref="AV36:AW38" si="83">Z36</f>
        <v>12</v>
      </c>
      <c r="AW36" s="29" t="str">
        <f t="shared" si="83"/>
        <v>New Main - Estate</v>
      </c>
      <c r="AX36" s="360"/>
      <c r="AY36" s="360"/>
      <c r="AZ36" s="207">
        <f t="shared" ref="AZ36:BD38" si="84">AO36-AD36</f>
        <v>1.8120592473542252E-3</v>
      </c>
      <c r="BA36" s="208">
        <f t="shared" si="84"/>
        <v>3.4232494602427499E-3</v>
      </c>
      <c r="BB36" s="208">
        <f t="shared" si="84"/>
        <v>5.4836477805521588E-3</v>
      </c>
      <c r="BC36" s="208">
        <f t="shared" si="84"/>
        <v>8.1003530264712187E-3</v>
      </c>
      <c r="BD36" s="56">
        <f t="shared" si="84"/>
        <v>1.1144512208823787E-2</v>
      </c>
      <c r="BE36" s="212">
        <f t="shared" ref="BE36:BE38" si="85">SUM(AZ36:BD36)</f>
        <v>2.996382172344414E-2</v>
      </c>
      <c r="BF36" s="32"/>
    </row>
    <row r="37" spans="1:58" ht="18" customHeight="1" x14ac:dyDescent="0.2">
      <c r="A37" s="66"/>
      <c r="B37" s="29" t="str">
        <f>'Capex Model Category Index'!B20</f>
        <v>13</v>
      </c>
      <c r="C37" s="29" t="str">
        <f>'Capex Model Category Index'!C20</f>
        <v>New Main - Existing Domestic</v>
      </c>
      <c r="D37" s="15"/>
      <c r="E37" s="15"/>
      <c r="F37" s="627" t="s">
        <v>445</v>
      </c>
      <c r="G37" s="628" t="s">
        <v>445</v>
      </c>
      <c r="H37" s="628" t="s">
        <v>445</v>
      </c>
      <c r="I37" s="628" t="s">
        <v>445</v>
      </c>
      <c r="J37" s="628" t="s">
        <v>445</v>
      </c>
      <c r="K37" s="16">
        <v>142.33316239583482</v>
      </c>
      <c r="L37" s="409" t="s">
        <v>311</v>
      </c>
      <c r="M37" s="32"/>
      <c r="N37" s="29" t="str">
        <f t="shared" si="79"/>
        <v>13</v>
      </c>
      <c r="O37" s="29" t="str">
        <f t="shared" si="79"/>
        <v>New Main - Existing Domestic</v>
      </c>
      <c r="P37" s="41"/>
      <c r="Q37" s="41"/>
      <c r="R37" s="640" t="s">
        <v>445</v>
      </c>
      <c r="S37" s="634" t="s">
        <v>445</v>
      </c>
      <c r="T37" s="634" t="s">
        <v>445</v>
      </c>
      <c r="U37" s="634" t="s">
        <v>445</v>
      </c>
      <c r="V37" s="639" t="s">
        <v>445</v>
      </c>
      <c r="W37" s="42"/>
      <c r="X37" s="409" t="str">
        <f t="shared" si="80"/>
        <v>Attachment 8.4 Unit Rates Forecast</v>
      </c>
      <c r="Y37" s="32"/>
      <c r="Z37" s="29" t="str">
        <f t="shared" ref="Z37:AA38" si="86">B37</f>
        <v>13</v>
      </c>
      <c r="AA37" s="29" t="str">
        <f t="shared" si="86"/>
        <v>New Main - Existing Domestic</v>
      </c>
      <c r="AB37" s="212"/>
      <c r="AC37" s="212"/>
      <c r="AD37" s="207">
        <v>2.9421779289723598E-3</v>
      </c>
      <c r="AE37" s="208">
        <v>2.9967374850555198E-3</v>
      </c>
      <c r="AF37" s="208">
        <v>3.0523087899967717E-3</v>
      </c>
      <c r="AG37" s="208">
        <v>3.1089106056011321E-3</v>
      </c>
      <c r="AH37" s="56">
        <v>3.166562041591282E-3</v>
      </c>
      <c r="AI37" s="212">
        <f t="shared" si="81"/>
        <v>1.5266696851217064E-2</v>
      </c>
      <c r="AJ37" s="32"/>
      <c r="AK37" s="29" t="str">
        <f t="shared" si="82"/>
        <v>13</v>
      </c>
      <c r="AL37" s="29" t="str">
        <f t="shared" si="82"/>
        <v>New Main - Existing Domestic</v>
      </c>
      <c r="AM37" s="212"/>
      <c r="AN37" s="212"/>
      <c r="AO37" s="207">
        <f>AD37*(1+'Real Cost Escalation'!E$18)</f>
        <v>2.9619844376422844E-3</v>
      </c>
      <c r="AP37" s="208">
        <f>AE37*(1+'Real Cost Escalation'!F$18)</f>
        <v>3.0341549261312518E-3</v>
      </c>
      <c r="AQ37" s="208">
        <f>AF37*(1+'Real Cost Escalation'!G$18)</f>
        <v>3.112247181893671E-3</v>
      </c>
      <c r="AR37" s="208">
        <f>AG37*(1+'Real Cost Escalation'!H$18)</f>
        <v>3.1974505982545216E-3</v>
      </c>
      <c r="AS37" s="56">
        <f>AH37*(1+'Real Cost Escalation'!I$18)</f>
        <v>3.2883758719108131E-3</v>
      </c>
      <c r="AT37" s="212">
        <f>SUM(AO37:AS37)</f>
        <v>1.5594213015832543E-2</v>
      </c>
      <c r="AU37" s="66"/>
      <c r="AV37" s="29" t="str">
        <f t="shared" si="83"/>
        <v>13</v>
      </c>
      <c r="AW37" s="29" t="str">
        <f t="shared" si="83"/>
        <v>New Main - Existing Domestic</v>
      </c>
      <c r="AX37" s="360"/>
      <c r="AY37" s="360"/>
      <c r="AZ37" s="207">
        <f t="shared" si="84"/>
        <v>1.9806508669924575E-5</v>
      </c>
      <c r="BA37" s="208">
        <f t="shared" si="84"/>
        <v>3.7417441075732021E-5</v>
      </c>
      <c r="BB37" s="208">
        <f t="shared" si="84"/>
        <v>5.9938391896899312E-5</v>
      </c>
      <c r="BC37" s="208">
        <f t="shared" si="84"/>
        <v>8.85399926533895E-5</v>
      </c>
      <c r="BD37" s="56">
        <f t="shared" si="84"/>
        <v>1.2181383031953114E-4</v>
      </c>
      <c r="BE37" s="212">
        <f t="shared" si="85"/>
        <v>3.2751616461547655E-4</v>
      </c>
      <c r="BF37" s="32"/>
    </row>
    <row r="38" spans="1:58" ht="18" customHeight="1" x14ac:dyDescent="0.2">
      <c r="A38" s="66"/>
      <c r="B38" s="29" t="str">
        <f>'Capex Model Category Index'!B21</f>
        <v>14</v>
      </c>
      <c r="C38" s="29" t="str">
        <f>'Capex Model Category Index'!C21</f>
        <v>New Main - I&amp;C&lt;10TJ</v>
      </c>
      <c r="D38" s="15"/>
      <c r="E38" s="15"/>
      <c r="F38" s="627" t="s">
        <v>445</v>
      </c>
      <c r="G38" s="628" t="s">
        <v>445</v>
      </c>
      <c r="H38" s="628" t="s">
        <v>445</v>
      </c>
      <c r="I38" s="628" t="s">
        <v>445</v>
      </c>
      <c r="J38" s="629" t="s">
        <v>445</v>
      </c>
      <c r="K38" s="16">
        <v>2444.2112151802885</v>
      </c>
      <c r="L38" s="409" t="s">
        <v>311</v>
      </c>
      <c r="M38" s="32"/>
      <c r="N38" s="359" t="str">
        <f t="shared" si="79"/>
        <v>14</v>
      </c>
      <c r="O38" s="359" t="str">
        <f t="shared" si="79"/>
        <v>New Main - I&amp;C&lt;10TJ</v>
      </c>
      <c r="P38" s="507"/>
      <c r="Q38" s="507"/>
      <c r="R38" s="641" t="s">
        <v>445</v>
      </c>
      <c r="S38" s="638" t="s">
        <v>445</v>
      </c>
      <c r="T38" s="638" t="s">
        <v>445</v>
      </c>
      <c r="U38" s="638" t="s">
        <v>445</v>
      </c>
      <c r="V38" s="642" t="s">
        <v>445</v>
      </c>
      <c r="W38" s="508"/>
      <c r="X38" s="509" t="str">
        <f t="shared" si="80"/>
        <v>Attachment 8.4 Unit Rates Forecast</v>
      </c>
      <c r="Y38" s="32"/>
      <c r="Z38" s="29" t="str">
        <f t="shared" si="86"/>
        <v>14</v>
      </c>
      <c r="AA38" s="29" t="str">
        <f t="shared" si="86"/>
        <v>New Main - I&amp;C&lt;10TJ</v>
      </c>
      <c r="AB38" s="212"/>
      <c r="AC38" s="212"/>
      <c r="AD38" s="207">
        <v>0.18641051118767732</v>
      </c>
      <c r="AE38" s="208">
        <v>0.1874908263998992</v>
      </c>
      <c r="AF38" s="208">
        <v>0.18857740242300744</v>
      </c>
      <c r="AG38" s="208">
        <v>0.1896702755406286</v>
      </c>
      <c r="AH38" s="56">
        <v>0.19076948224666337</v>
      </c>
      <c r="AI38" s="212">
        <f t="shared" si="81"/>
        <v>0.94291849779787584</v>
      </c>
      <c r="AJ38" s="32"/>
      <c r="AK38" s="29" t="str">
        <f t="shared" si="82"/>
        <v>14</v>
      </c>
      <c r="AL38" s="29" t="str">
        <f t="shared" si="82"/>
        <v>New Main - I&amp;C&lt;10TJ</v>
      </c>
      <c r="AM38" s="212"/>
      <c r="AN38" s="212"/>
      <c r="AO38" s="207">
        <f>AD38*(1+'Real Cost Escalation'!E$18)</f>
        <v>0.18766541197720685</v>
      </c>
      <c r="AP38" s="208">
        <f>AE38*(1+'Real Cost Escalation'!F$18)</f>
        <v>0.1898318479221526</v>
      </c>
      <c r="AQ38" s="208">
        <f>AF38*(1+'Real Cost Escalation'!G$18)</f>
        <v>0.19228050948949185</v>
      </c>
      <c r="AR38" s="208">
        <f>AG38*(1+'Real Cost Escalation'!H$18)</f>
        <v>0.19507197630766834</v>
      </c>
      <c r="AS38" s="56">
        <f>AH38*(1+'Real Cost Escalation'!I$18)</f>
        <v>0.19810815460972309</v>
      </c>
      <c r="AT38" s="212">
        <f>SUM(AO38:AS38)</f>
        <v>0.96295790030624273</v>
      </c>
      <c r="AU38" s="66"/>
      <c r="AV38" s="29" t="str">
        <f t="shared" si="83"/>
        <v>14</v>
      </c>
      <c r="AW38" s="29" t="str">
        <f t="shared" si="83"/>
        <v>New Main - I&amp;C&lt;10TJ</v>
      </c>
      <c r="AX38" s="360"/>
      <c r="AY38" s="360"/>
      <c r="AZ38" s="207">
        <f t="shared" si="84"/>
        <v>1.2549007895295283E-3</v>
      </c>
      <c r="BA38" s="208">
        <f t="shared" si="84"/>
        <v>2.3410215222534059E-3</v>
      </c>
      <c r="BB38" s="208">
        <f t="shared" si="84"/>
        <v>3.7031070664844123E-3</v>
      </c>
      <c r="BC38" s="208">
        <f t="shared" si="84"/>
        <v>5.4017007670397466E-3</v>
      </c>
      <c r="BD38" s="56">
        <f t="shared" si="84"/>
        <v>7.3386723630597117E-3</v>
      </c>
      <c r="BE38" s="212">
        <f t="shared" si="85"/>
        <v>2.0039402508366805E-2</v>
      </c>
      <c r="BF38" s="32"/>
    </row>
    <row r="39" spans="1:58" ht="18" customHeight="1" thickBot="1" x14ac:dyDescent="0.25">
      <c r="A39" s="66"/>
      <c r="B39" s="24"/>
      <c r="C39" s="24" t="s">
        <v>77</v>
      </c>
      <c r="D39" s="22"/>
      <c r="E39" s="22"/>
      <c r="F39" s="26">
        <v>5878.2758677202173</v>
      </c>
      <c r="G39" s="27">
        <v>5981.1220052755689</v>
      </c>
      <c r="H39" s="27">
        <v>6085.8396142037509</v>
      </c>
      <c r="I39" s="27">
        <v>6192.4631920498632</v>
      </c>
      <c r="J39" s="28">
        <v>6301.0278748801293</v>
      </c>
      <c r="K39" s="26">
        <v>30438.728554129528</v>
      </c>
      <c r="L39" s="2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/>
      <c r="AA39" s="24" t="s">
        <v>77</v>
      </c>
      <c r="AB39" s="210"/>
      <c r="AC39" s="210"/>
      <c r="AD39" s="209">
        <f>SUM(AD36:AD38)</f>
        <v>0.45852686879686122</v>
      </c>
      <c r="AE39" s="210">
        <f t="shared" ref="AE39:AI39" si="87">SUM(AE36:AE38)</f>
        <v>0.46465329203943906</v>
      </c>
      <c r="AF39" s="210">
        <f t="shared" si="87"/>
        <v>0.47087955079189348</v>
      </c>
      <c r="AG39" s="210">
        <f t="shared" si="87"/>
        <v>0.4772074165809827</v>
      </c>
      <c r="AH39" s="211">
        <f t="shared" si="87"/>
        <v>0.48363869332197218</v>
      </c>
      <c r="AI39" s="209">
        <f t="shared" si="87"/>
        <v>2.3549058215311485</v>
      </c>
      <c r="AJ39" s="32"/>
      <c r="AK39" s="24"/>
      <c r="AL39" s="24" t="s">
        <v>77</v>
      </c>
      <c r="AM39" s="210"/>
      <c r="AN39" s="210"/>
      <c r="AO39" s="209">
        <f>SUM(AO36:AO38)</f>
        <v>0.46161363534241495</v>
      </c>
      <c r="AP39" s="210">
        <f t="shared" ref="AP39:AT39" si="88">SUM(AP36:AP38)</f>
        <v>0.47045498046301093</v>
      </c>
      <c r="AQ39" s="210">
        <f t="shared" si="88"/>
        <v>0.48012624403082693</v>
      </c>
      <c r="AR39" s="210">
        <f t="shared" si="88"/>
        <v>0.4907980103671471</v>
      </c>
      <c r="AS39" s="211">
        <f t="shared" si="88"/>
        <v>0.50224369172417527</v>
      </c>
      <c r="AT39" s="209">
        <f t="shared" si="88"/>
        <v>2.4052365619275751</v>
      </c>
      <c r="AU39" s="66"/>
      <c r="AV39" s="24"/>
      <c r="AW39" s="24" t="s">
        <v>77</v>
      </c>
      <c r="AX39" s="266"/>
      <c r="AY39" s="266"/>
      <c r="AZ39" s="209">
        <f>SUM(AZ36:AZ38)</f>
        <v>3.0867665455536781E-3</v>
      </c>
      <c r="BA39" s="210">
        <f t="shared" ref="BA39:BE39" si="89">SUM(BA36:BA38)</f>
        <v>5.8016884235718878E-3</v>
      </c>
      <c r="BB39" s="210">
        <f t="shared" si="89"/>
        <v>9.2466932389334705E-3</v>
      </c>
      <c r="BC39" s="210">
        <f t="shared" si="89"/>
        <v>1.3590593786164354E-2</v>
      </c>
      <c r="BD39" s="211">
        <f t="shared" si="89"/>
        <v>1.8604998402203029E-2</v>
      </c>
      <c r="BE39" s="209">
        <f t="shared" si="89"/>
        <v>5.0330740396426418E-2</v>
      </c>
      <c r="BF39" s="32"/>
    </row>
    <row r="40" spans="1:58" x14ac:dyDescent="0.2">
      <c r="A40" s="6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7"/>
      <c r="AE40" s="37"/>
      <c r="AF40" s="37"/>
      <c r="AG40" s="37"/>
      <c r="AH40" s="37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66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  <row r="41" spans="1:58" ht="24" customHeight="1" x14ac:dyDescent="0.2">
      <c r="A41" s="66"/>
      <c r="B41" s="354" t="s">
        <v>187</v>
      </c>
      <c r="C41" s="354"/>
      <c r="D41" s="355"/>
      <c r="E41" s="355"/>
      <c r="F41" s="355"/>
      <c r="G41" s="355"/>
      <c r="H41" s="355"/>
      <c r="I41" s="355"/>
      <c r="J41" s="355"/>
      <c r="K41" s="355"/>
      <c r="L41" s="355"/>
      <c r="M41" s="32"/>
      <c r="N41" s="354" t="s">
        <v>418</v>
      </c>
      <c r="O41" s="354"/>
      <c r="P41" s="355"/>
      <c r="Q41" s="355"/>
      <c r="R41" s="355"/>
      <c r="S41" s="355"/>
      <c r="T41" s="355"/>
      <c r="U41" s="355"/>
      <c r="V41" s="355"/>
      <c r="W41" s="355"/>
      <c r="X41" s="355"/>
      <c r="Y41" s="70"/>
      <c r="Z41" s="354" t="s">
        <v>420</v>
      </c>
      <c r="AA41" s="354"/>
      <c r="AB41" s="355"/>
      <c r="AC41" s="355"/>
      <c r="AD41" s="355"/>
      <c r="AE41" s="355"/>
      <c r="AF41" s="355"/>
      <c r="AG41" s="355"/>
      <c r="AH41" s="355"/>
      <c r="AI41" s="355"/>
      <c r="AJ41" s="32"/>
      <c r="AK41" s="354" t="s">
        <v>430</v>
      </c>
      <c r="AL41" s="354"/>
      <c r="AM41" s="355"/>
      <c r="AN41" s="355"/>
      <c r="AO41" s="355"/>
      <c r="AP41" s="355"/>
      <c r="AQ41" s="355"/>
      <c r="AR41" s="355"/>
      <c r="AS41" s="355"/>
      <c r="AT41" s="355"/>
      <c r="AU41" s="66"/>
      <c r="AV41" s="354" t="s">
        <v>437</v>
      </c>
      <c r="AW41" s="354"/>
      <c r="AX41" s="355"/>
      <c r="AY41" s="355"/>
      <c r="AZ41" s="355"/>
      <c r="BA41" s="355"/>
      <c r="BB41" s="355"/>
      <c r="BC41" s="355"/>
      <c r="BD41" s="355"/>
      <c r="BE41" s="355"/>
      <c r="BF41" s="32"/>
    </row>
    <row r="42" spans="1:58" x14ac:dyDescent="0.2">
      <c r="A42" s="66"/>
      <c r="B42" s="72"/>
      <c r="C42" s="73"/>
      <c r="D42" s="12"/>
      <c r="E42" s="12"/>
      <c r="F42" s="12"/>
      <c r="G42" s="12"/>
      <c r="H42" s="12"/>
      <c r="I42" s="12"/>
      <c r="J42" s="12"/>
      <c r="K42" s="12"/>
      <c r="L42" s="12"/>
      <c r="M42" s="32"/>
      <c r="N42" s="72"/>
      <c r="O42" s="73"/>
      <c r="P42" s="12"/>
      <c r="Q42" s="12"/>
      <c r="R42" s="12"/>
      <c r="S42" s="12"/>
      <c r="T42" s="12"/>
      <c r="U42" s="12"/>
      <c r="V42" s="12"/>
      <c r="W42" s="12"/>
      <c r="X42" s="12"/>
      <c r="Y42" s="32"/>
      <c r="Z42" s="72"/>
      <c r="AA42" s="73"/>
      <c r="AB42" s="12"/>
      <c r="AC42" s="12"/>
      <c r="AD42" s="12"/>
      <c r="AE42" s="12"/>
      <c r="AF42" s="12"/>
      <c r="AG42" s="12"/>
      <c r="AH42" s="12"/>
      <c r="AI42" s="12"/>
      <c r="AJ42" s="32"/>
      <c r="AK42" s="72"/>
      <c r="AL42" s="73"/>
      <c r="AM42" s="12"/>
      <c r="AN42" s="12"/>
      <c r="AO42" s="12"/>
      <c r="AP42" s="12"/>
      <c r="AQ42" s="12"/>
      <c r="AR42" s="12"/>
      <c r="AS42" s="12"/>
      <c r="AT42" s="12"/>
      <c r="AU42" s="66"/>
      <c r="AV42" s="72"/>
      <c r="AW42" s="73"/>
      <c r="AX42" s="12"/>
      <c r="AY42" s="12"/>
      <c r="AZ42" s="12"/>
      <c r="BA42" s="12"/>
      <c r="BB42" s="12"/>
      <c r="BC42" s="12"/>
      <c r="BD42" s="12"/>
      <c r="BE42" s="12"/>
      <c r="BF42" s="32"/>
    </row>
    <row r="43" spans="1:58" ht="22.5" x14ac:dyDescent="0.2">
      <c r="A43" s="66"/>
      <c r="B43" s="10" t="s">
        <v>79</v>
      </c>
      <c r="C43" s="11"/>
      <c r="D43" s="3"/>
      <c r="E43" s="4"/>
      <c r="F43" s="7">
        <v>2018</v>
      </c>
      <c r="G43" s="8">
        <v>2019</v>
      </c>
      <c r="H43" s="8">
        <v>2020</v>
      </c>
      <c r="I43" s="8">
        <v>2021</v>
      </c>
      <c r="J43" s="9">
        <v>2022</v>
      </c>
      <c r="K43" s="3" t="s">
        <v>73</v>
      </c>
      <c r="L43" s="30" t="s">
        <v>100</v>
      </c>
      <c r="M43" s="32"/>
      <c r="N43" s="10" t="s">
        <v>178</v>
      </c>
      <c r="O43" s="11"/>
      <c r="P43" s="3"/>
      <c r="Q43" s="4"/>
      <c r="R43" s="5">
        <f t="shared" ref="R43:W43" si="90">F43</f>
        <v>2018</v>
      </c>
      <c r="S43" s="4">
        <f t="shared" si="90"/>
        <v>2019</v>
      </c>
      <c r="T43" s="4">
        <f t="shared" si="90"/>
        <v>2020</v>
      </c>
      <c r="U43" s="4">
        <f t="shared" si="90"/>
        <v>2021</v>
      </c>
      <c r="V43" s="6">
        <f t="shared" si="90"/>
        <v>2022</v>
      </c>
      <c r="W43" s="3" t="str">
        <f t="shared" si="90"/>
        <v>Total for 
2018-2022</v>
      </c>
      <c r="X43" s="30" t="str">
        <f>L43</f>
        <v>Source</v>
      </c>
      <c r="Y43" s="32"/>
      <c r="Z43" s="10"/>
      <c r="AA43" s="11"/>
      <c r="AB43" s="3"/>
      <c r="AC43" s="4"/>
      <c r="AD43" s="5">
        <f t="shared" ref="AD43:AI43" si="91">R43</f>
        <v>2018</v>
      </c>
      <c r="AE43" s="4">
        <f t="shared" si="91"/>
        <v>2019</v>
      </c>
      <c r="AF43" s="4">
        <f t="shared" si="91"/>
        <v>2020</v>
      </c>
      <c r="AG43" s="4">
        <f t="shared" si="91"/>
        <v>2021</v>
      </c>
      <c r="AH43" s="6">
        <f t="shared" si="91"/>
        <v>2022</v>
      </c>
      <c r="AI43" s="3" t="str">
        <f t="shared" si="91"/>
        <v>Total for 
2018-2022</v>
      </c>
      <c r="AJ43" s="32"/>
      <c r="AK43" s="10"/>
      <c r="AL43" s="11"/>
      <c r="AM43" s="3"/>
      <c r="AN43" s="4"/>
      <c r="AO43" s="5">
        <f t="shared" ref="AO43:AT43" si="92">AD43</f>
        <v>2018</v>
      </c>
      <c r="AP43" s="4">
        <f t="shared" si="92"/>
        <v>2019</v>
      </c>
      <c r="AQ43" s="4">
        <f t="shared" si="92"/>
        <v>2020</v>
      </c>
      <c r="AR43" s="4">
        <f t="shared" si="92"/>
        <v>2021</v>
      </c>
      <c r="AS43" s="6">
        <f t="shared" si="92"/>
        <v>2022</v>
      </c>
      <c r="AT43" s="3" t="str">
        <f t="shared" si="92"/>
        <v>Total for 
2018-2022</v>
      </c>
      <c r="AU43" s="66"/>
      <c r="AV43" s="10"/>
      <c r="AW43" s="11"/>
      <c r="AX43" s="3"/>
      <c r="AY43" s="4"/>
      <c r="AZ43" s="5">
        <f t="shared" ref="AZ43:BE43" si="93">AO43</f>
        <v>2018</v>
      </c>
      <c r="BA43" s="4">
        <f t="shared" si="93"/>
        <v>2019</v>
      </c>
      <c r="BB43" s="4">
        <f t="shared" si="93"/>
        <v>2020</v>
      </c>
      <c r="BC43" s="4">
        <f t="shared" si="93"/>
        <v>2021</v>
      </c>
      <c r="BD43" s="6">
        <f t="shared" si="93"/>
        <v>2022</v>
      </c>
      <c r="BE43" s="3" t="str">
        <f t="shared" si="93"/>
        <v>Total for 
2018-2022</v>
      </c>
      <c r="BF43" s="32"/>
    </row>
    <row r="44" spans="1:58" x14ac:dyDescent="0.2">
      <c r="A44" s="66"/>
      <c r="B44" s="29" t="str">
        <f>'Capex Model Category Index'!B22</f>
        <v>15</v>
      </c>
      <c r="C44" s="29" t="str">
        <f>'Capex Model Category Index'!C22</f>
        <v>New Meter - Domestic</v>
      </c>
      <c r="D44" s="15"/>
      <c r="E44" s="15"/>
      <c r="F44" s="624" t="s">
        <v>445</v>
      </c>
      <c r="G44" s="625" t="s">
        <v>445</v>
      </c>
      <c r="H44" s="625" t="s">
        <v>445</v>
      </c>
      <c r="I44" s="625" t="s">
        <v>445</v>
      </c>
      <c r="J44" s="626" t="s">
        <v>445</v>
      </c>
      <c r="K44" s="14">
        <v>2334.0862693225049</v>
      </c>
      <c r="L44" s="409" t="s">
        <v>311</v>
      </c>
      <c r="M44" s="32"/>
      <c r="N44" s="29" t="str">
        <f>B44</f>
        <v>15</v>
      </c>
      <c r="O44" s="29" t="str">
        <f>C44</f>
        <v>New Meter - Domestic</v>
      </c>
      <c r="P44" s="41"/>
      <c r="Q44" s="41"/>
      <c r="R44" s="640" t="s">
        <v>445</v>
      </c>
      <c r="S44" s="634" t="s">
        <v>445</v>
      </c>
      <c r="T44" s="634" t="s">
        <v>445</v>
      </c>
      <c r="U44" s="634" t="s">
        <v>445</v>
      </c>
      <c r="V44" s="639" t="s">
        <v>445</v>
      </c>
      <c r="W44" s="62"/>
      <c r="X44" s="409" t="str">
        <f t="shared" ref="X44:X45" si="94">$X$10</f>
        <v>Attachment 8.4 Unit Rates Forecast</v>
      </c>
      <c r="Y44" s="32"/>
      <c r="Z44" s="29" t="str">
        <f>B44</f>
        <v>15</v>
      </c>
      <c r="AA44" s="29" t="str">
        <f>C44</f>
        <v>New Meter - Domestic</v>
      </c>
      <c r="AB44" s="212"/>
      <c r="AC44" s="212"/>
      <c r="AD44" s="207">
        <v>0.10617873188700054</v>
      </c>
      <c r="AE44" s="208">
        <v>0.1081477033826337</v>
      </c>
      <c r="AF44" s="208">
        <v>0.11015318735757088</v>
      </c>
      <c r="AG44" s="208">
        <v>0.11219586089685338</v>
      </c>
      <c r="AH44" s="56">
        <v>0.1142764136413425</v>
      </c>
      <c r="AI44" s="212">
        <f t="shared" ref="AI44:AI45" si="95">SUM(AD44:AH44)</f>
        <v>0.55095189716540105</v>
      </c>
      <c r="AJ44" s="32"/>
      <c r="AK44" s="29" t="str">
        <f>N44</f>
        <v>15</v>
      </c>
      <c r="AL44" s="29" t="str">
        <f>O44</f>
        <v>New Meter - Domestic</v>
      </c>
      <c r="AM44" s="360"/>
      <c r="AN44" s="360"/>
      <c r="AO44" s="207">
        <f>AD44*(1-'Real Cost Escalation'!E$25)</f>
        <v>0.10617873188700054</v>
      </c>
      <c r="AP44" s="208">
        <f>AE44*(1-'Real Cost Escalation'!F$25)</f>
        <v>0.10775999386600696</v>
      </c>
      <c r="AQ44" s="208">
        <f>AF44*(1-'Real Cost Escalation'!G$25)</f>
        <v>0.1097568724673456</v>
      </c>
      <c r="AR44" s="208">
        <f>AG44*(1+'Real Cost Escalation'!H$18)</f>
        <v>0.11539113472738777</v>
      </c>
      <c r="AS44" s="56">
        <f>AH44*(1+'Real Cost Escalation'!I$18)</f>
        <v>0.1186724897257497</v>
      </c>
      <c r="AT44" s="212">
        <f t="shared" ref="AT44:AT45" si="96">SUM(AO44:AS44)</f>
        <v>0.55775922267349054</v>
      </c>
      <c r="AU44" s="66"/>
      <c r="AV44" s="29" t="str">
        <f>Z44</f>
        <v>15</v>
      </c>
      <c r="AW44" s="29" t="str">
        <f>AA44</f>
        <v>New Meter - Domestic</v>
      </c>
      <c r="AX44" s="360"/>
      <c r="AY44" s="360"/>
      <c r="AZ44" s="207">
        <f t="shared" ref="AZ44:BD45" si="97">AO44-AD44</f>
        <v>0</v>
      </c>
      <c r="BA44" s="208">
        <f t="shared" si="97"/>
        <v>-3.8770951662674136E-4</v>
      </c>
      <c r="BB44" s="208">
        <f t="shared" si="97"/>
        <v>-3.9631489022527722E-4</v>
      </c>
      <c r="BC44" s="208">
        <f t="shared" si="97"/>
        <v>3.1952738305343897E-3</v>
      </c>
      <c r="BD44" s="56">
        <f t="shared" si="97"/>
        <v>4.3960760844072022E-3</v>
      </c>
      <c r="BE44" s="212">
        <f t="shared" ref="BE44:BE45" si="98">SUM(AZ44:BD44)</f>
        <v>6.8073255080895734E-3</v>
      </c>
      <c r="BF44" s="32"/>
    </row>
    <row r="45" spans="1:58" x14ac:dyDescent="0.2">
      <c r="A45" s="66"/>
      <c r="B45" s="29" t="str">
        <f>'Capex Model Category Index'!B23</f>
        <v>16</v>
      </c>
      <c r="C45" s="29" t="str">
        <f>'Capex Model Category Index'!C23</f>
        <v>New Meter - I&amp;C&lt;10TJ</v>
      </c>
      <c r="D45" s="15"/>
      <c r="E45" s="15"/>
      <c r="F45" s="630" t="s">
        <v>445</v>
      </c>
      <c r="G45" s="631" t="s">
        <v>445</v>
      </c>
      <c r="H45" s="631" t="s">
        <v>445</v>
      </c>
      <c r="I45" s="631" t="s">
        <v>445</v>
      </c>
      <c r="J45" s="632" t="s">
        <v>445</v>
      </c>
      <c r="K45" s="17">
        <v>125.58567579603282</v>
      </c>
      <c r="L45" s="409" t="s">
        <v>311</v>
      </c>
      <c r="M45" s="32"/>
      <c r="N45" s="359" t="str">
        <f>B45</f>
        <v>16</v>
      </c>
      <c r="O45" s="359" t="str">
        <f>C45</f>
        <v>New Meter - I&amp;C&lt;10TJ</v>
      </c>
      <c r="P45" s="507"/>
      <c r="Q45" s="507"/>
      <c r="R45" s="641" t="s">
        <v>445</v>
      </c>
      <c r="S45" s="638" t="s">
        <v>445</v>
      </c>
      <c r="T45" s="638" t="s">
        <v>445</v>
      </c>
      <c r="U45" s="638" t="s">
        <v>445</v>
      </c>
      <c r="V45" s="642" t="s">
        <v>445</v>
      </c>
      <c r="W45" s="507"/>
      <c r="X45" s="509" t="str">
        <f t="shared" si="94"/>
        <v>Attachment 8.4 Unit Rates Forecast</v>
      </c>
      <c r="Y45" s="32"/>
      <c r="Z45" s="29" t="str">
        <f t="shared" ref="Z45:AA45" si="99">B45</f>
        <v>16</v>
      </c>
      <c r="AA45" s="29" t="str">
        <f t="shared" si="99"/>
        <v>New Meter - I&amp;C&lt;10TJ</v>
      </c>
      <c r="AB45" s="212"/>
      <c r="AC45" s="212"/>
      <c r="AD45" s="207">
        <v>0.18356971258769278</v>
      </c>
      <c r="AE45" s="208">
        <v>0.18463356436165212</v>
      </c>
      <c r="AF45" s="208">
        <v>0.18570358153501765</v>
      </c>
      <c r="AG45" s="208">
        <v>0.18677979983847234</v>
      </c>
      <c r="AH45" s="56">
        <v>0.18786225520976907</v>
      </c>
      <c r="AI45" s="212">
        <f t="shared" si="95"/>
        <v>0.92854891353260394</v>
      </c>
      <c r="AJ45" s="32"/>
      <c r="AK45" s="29" t="str">
        <f>N45</f>
        <v>16</v>
      </c>
      <c r="AL45" s="29" t="str">
        <f>O45</f>
        <v>New Meter - I&amp;C&lt;10TJ</v>
      </c>
      <c r="AM45" s="360"/>
      <c r="AN45" s="360"/>
      <c r="AO45" s="207">
        <f>AD45*(1+'Real Cost Escalation'!E$18)</f>
        <v>0.18480548934616151</v>
      </c>
      <c r="AP45" s="208">
        <f>AE45*(1+'Real Cost Escalation'!F$18)</f>
        <v>0.18693890994148907</v>
      </c>
      <c r="AQ45" s="208">
        <f>AF45*(1+'Real Cost Escalation'!G$18)</f>
        <v>0.18935025518847701</v>
      </c>
      <c r="AR45" s="208">
        <f>AG45*(1+'Real Cost Escalation'!H$18)</f>
        <v>0.19209918151374641</v>
      </c>
      <c r="AS45" s="56">
        <f>AH45*(1+'Real Cost Escalation'!I$18)</f>
        <v>0.19508909004799235</v>
      </c>
      <c r="AT45" s="212">
        <f t="shared" si="96"/>
        <v>0.94828292603786635</v>
      </c>
      <c r="AU45" s="66"/>
      <c r="AV45" s="29" t="str">
        <f>Z45</f>
        <v>16</v>
      </c>
      <c r="AW45" s="29" t="str">
        <f>AA45</f>
        <v>New Meter - I&amp;C&lt;10TJ</v>
      </c>
      <c r="AX45" s="360"/>
      <c r="AY45" s="360"/>
      <c r="AZ45" s="207">
        <f t="shared" si="97"/>
        <v>1.2357767584687263E-3</v>
      </c>
      <c r="BA45" s="208">
        <f t="shared" si="97"/>
        <v>2.3053455798369427E-3</v>
      </c>
      <c r="BB45" s="208">
        <f t="shared" si="97"/>
        <v>3.6466736534593591E-3</v>
      </c>
      <c r="BC45" s="208">
        <f t="shared" si="97"/>
        <v>5.3193816752740708E-3</v>
      </c>
      <c r="BD45" s="56">
        <f t="shared" si="97"/>
        <v>7.2268348382232839E-3</v>
      </c>
      <c r="BE45" s="212">
        <f t="shared" si="98"/>
        <v>1.9734012505262383E-2</v>
      </c>
      <c r="BF45" s="32"/>
    </row>
    <row r="46" spans="1:58" ht="15" thickBot="1" x14ac:dyDescent="0.25">
      <c r="A46" s="66"/>
      <c r="B46" s="24"/>
      <c r="C46" s="24" t="s">
        <v>81</v>
      </c>
      <c r="D46" s="22"/>
      <c r="E46" s="22"/>
      <c r="F46" s="26">
        <v>474.64975714590713</v>
      </c>
      <c r="G46" s="27">
        <v>483.13511356026572</v>
      </c>
      <c r="H46" s="27">
        <v>491.7759875386518</v>
      </c>
      <c r="I46" s="27">
        <v>500.57525235804394</v>
      </c>
      <c r="J46" s="28">
        <v>509.53583451566931</v>
      </c>
      <c r="K46" s="27">
        <v>2459.6719451185377</v>
      </c>
      <c r="L46" s="2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24"/>
      <c r="AA46" s="24" t="s">
        <v>81</v>
      </c>
      <c r="AB46" s="210"/>
      <c r="AC46" s="210"/>
      <c r="AD46" s="209">
        <f>SUM(AD44:AD45)</f>
        <v>0.28974844447469333</v>
      </c>
      <c r="AE46" s="210">
        <f t="shared" ref="AE46:AI46" si="100">SUM(AE44:AE45)</f>
        <v>0.29278126774428581</v>
      </c>
      <c r="AF46" s="210">
        <f t="shared" si="100"/>
        <v>0.2958567688925885</v>
      </c>
      <c r="AG46" s="210">
        <f t="shared" si="100"/>
        <v>0.29897566073532572</v>
      </c>
      <c r="AH46" s="211">
        <f t="shared" si="100"/>
        <v>0.30213866885111157</v>
      </c>
      <c r="AI46" s="210">
        <f t="shared" si="100"/>
        <v>1.479500810698005</v>
      </c>
      <c r="AJ46" s="32"/>
      <c r="AK46" s="24"/>
      <c r="AL46" s="24" t="s">
        <v>81</v>
      </c>
      <c r="AM46" s="266"/>
      <c r="AN46" s="266"/>
      <c r="AO46" s="209">
        <f>SUM(AO44:AO45)</f>
        <v>0.29098422123316203</v>
      </c>
      <c r="AP46" s="210">
        <f t="shared" ref="AP46:AT46" si="101">SUM(AP44:AP45)</f>
        <v>0.29469890380749603</v>
      </c>
      <c r="AQ46" s="210">
        <f t="shared" si="101"/>
        <v>0.29910712765582259</v>
      </c>
      <c r="AR46" s="210">
        <f t="shared" si="101"/>
        <v>0.30749031624113421</v>
      </c>
      <c r="AS46" s="211">
        <f t="shared" si="101"/>
        <v>0.31376157977374208</v>
      </c>
      <c r="AT46" s="210">
        <f t="shared" si="101"/>
        <v>1.5060421487113569</v>
      </c>
      <c r="AU46" s="66"/>
      <c r="AV46" s="24"/>
      <c r="AW46" s="24" t="s">
        <v>81</v>
      </c>
      <c r="AX46" s="210"/>
      <c r="AY46" s="210"/>
      <c r="AZ46" s="209">
        <f>SUM(AZ44:AZ45)</f>
        <v>1.2357767584687263E-3</v>
      </c>
      <c r="BA46" s="210">
        <f t="shared" ref="BA46:BE46" si="102">SUM(BA44:BA45)</f>
        <v>1.9176360632102013E-3</v>
      </c>
      <c r="BB46" s="210">
        <f t="shared" si="102"/>
        <v>3.2503587632340819E-3</v>
      </c>
      <c r="BC46" s="210">
        <f t="shared" si="102"/>
        <v>8.5146555058084605E-3</v>
      </c>
      <c r="BD46" s="211">
        <f t="shared" si="102"/>
        <v>1.1622910922630486E-2</v>
      </c>
      <c r="BE46" s="210">
        <f t="shared" si="102"/>
        <v>2.6541338013351956E-2</v>
      </c>
      <c r="BF46" s="32"/>
    </row>
    <row r="47" spans="1:58" x14ac:dyDescent="0.2">
      <c r="A47" s="6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66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</row>
    <row r="48" spans="1:58" ht="24" customHeight="1" x14ac:dyDescent="0.2">
      <c r="A48" s="66"/>
      <c r="B48" s="354" t="s">
        <v>186</v>
      </c>
      <c r="C48" s="354"/>
      <c r="D48" s="355"/>
      <c r="E48" s="355"/>
      <c r="F48" s="355"/>
      <c r="G48" s="355"/>
      <c r="H48" s="355"/>
      <c r="I48" s="355"/>
      <c r="J48" s="355"/>
      <c r="K48" s="355"/>
      <c r="L48" s="355"/>
      <c r="M48" s="32"/>
      <c r="N48" s="354" t="s">
        <v>421</v>
      </c>
      <c r="O48" s="354"/>
      <c r="P48" s="355"/>
      <c r="Q48" s="355"/>
      <c r="R48" s="355"/>
      <c r="S48" s="355"/>
      <c r="T48" s="355"/>
      <c r="U48" s="355"/>
      <c r="V48" s="355"/>
      <c r="W48" s="355"/>
      <c r="X48" s="355"/>
      <c r="Y48" s="70"/>
      <c r="Z48" s="354" t="s">
        <v>419</v>
      </c>
      <c r="AA48" s="354"/>
      <c r="AB48" s="355"/>
      <c r="AC48" s="355"/>
      <c r="AD48" s="355"/>
      <c r="AE48" s="355"/>
      <c r="AF48" s="355"/>
      <c r="AG48" s="355"/>
      <c r="AH48" s="355"/>
      <c r="AI48" s="355"/>
      <c r="AJ48" s="32"/>
      <c r="AK48" s="354" t="s">
        <v>431</v>
      </c>
      <c r="AL48" s="354"/>
      <c r="AM48" s="355"/>
      <c r="AN48" s="355"/>
      <c r="AO48" s="355"/>
      <c r="AP48" s="355"/>
      <c r="AQ48" s="355"/>
      <c r="AR48" s="355"/>
      <c r="AS48" s="355"/>
      <c r="AT48" s="355"/>
      <c r="AU48" s="66"/>
      <c r="AV48" s="354" t="s">
        <v>438</v>
      </c>
      <c r="AW48" s="354"/>
      <c r="AX48" s="355"/>
      <c r="AY48" s="355"/>
      <c r="AZ48" s="355"/>
      <c r="BA48" s="355"/>
      <c r="BB48" s="355"/>
      <c r="BC48" s="355"/>
      <c r="BD48" s="355"/>
      <c r="BE48" s="355"/>
      <c r="BF48" s="32"/>
    </row>
    <row r="49" spans="1:58" x14ac:dyDescent="0.2">
      <c r="A49" s="66"/>
      <c r="B49" s="72"/>
      <c r="C49" s="73"/>
      <c r="D49" s="12"/>
      <c r="E49" s="12"/>
      <c r="F49" s="12"/>
      <c r="G49" s="12"/>
      <c r="H49" s="12"/>
      <c r="I49" s="12"/>
      <c r="J49" s="12"/>
      <c r="K49" s="12"/>
      <c r="L49" s="12"/>
      <c r="M49" s="32"/>
      <c r="N49" s="72"/>
      <c r="O49" s="73"/>
      <c r="P49" s="12"/>
      <c r="Q49" s="12"/>
      <c r="R49" s="12"/>
      <c r="S49" s="12"/>
      <c r="T49" s="12"/>
      <c r="U49" s="12"/>
      <c r="V49" s="12"/>
      <c r="W49" s="12"/>
      <c r="X49" s="12"/>
      <c r="Y49" s="32"/>
      <c r="Z49" s="72"/>
      <c r="AA49" s="73"/>
      <c r="AB49" s="12"/>
      <c r="AC49" s="12"/>
      <c r="AD49" s="12"/>
      <c r="AE49" s="12"/>
      <c r="AF49" s="12"/>
      <c r="AG49" s="12"/>
      <c r="AH49" s="12"/>
      <c r="AI49" s="12"/>
      <c r="AJ49" s="32"/>
      <c r="AK49" s="72"/>
      <c r="AL49" s="73"/>
      <c r="AM49" s="12"/>
      <c r="AN49" s="12"/>
      <c r="AO49" s="12"/>
      <c r="AP49" s="12"/>
      <c r="AQ49" s="12"/>
      <c r="AR49" s="12"/>
      <c r="AS49" s="12"/>
      <c r="AT49" s="12"/>
      <c r="AU49" s="66"/>
      <c r="AV49" s="72"/>
      <c r="AW49" s="73"/>
      <c r="AX49" s="12"/>
      <c r="AY49" s="12"/>
      <c r="AZ49" s="12"/>
      <c r="BA49" s="12"/>
      <c r="BB49" s="12"/>
      <c r="BC49" s="12"/>
      <c r="BD49" s="12"/>
      <c r="BE49" s="12"/>
      <c r="BF49" s="32"/>
    </row>
    <row r="50" spans="1:58" ht="22.5" x14ac:dyDescent="0.2">
      <c r="A50" s="66"/>
      <c r="B50" s="10" t="s">
        <v>80</v>
      </c>
      <c r="C50" s="11"/>
      <c r="D50" s="3"/>
      <c r="E50" s="4"/>
      <c r="F50" s="7">
        <v>2018</v>
      </c>
      <c r="G50" s="8">
        <v>2019</v>
      </c>
      <c r="H50" s="8">
        <v>2020</v>
      </c>
      <c r="I50" s="8">
        <v>2021</v>
      </c>
      <c r="J50" s="9">
        <v>2022</v>
      </c>
      <c r="K50" s="3" t="s">
        <v>73</v>
      </c>
      <c r="L50" s="30" t="s">
        <v>100</v>
      </c>
      <c r="M50" s="32"/>
      <c r="N50" s="10" t="s">
        <v>177</v>
      </c>
      <c r="O50" s="11"/>
      <c r="P50" s="329"/>
      <c r="Q50" s="330"/>
      <c r="R50" s="331">
        <f t="shared" ref="R50:W50" si="103">F50</f>
        <v>2018</v>
      </c>
      <c r="S50" s="330">
        <f t="shared" si="103"/>
        <v>2019</v>
      </c>
      <c r="T50" s="330">
        <f t="shared" si="103"/>
        <v>2020</v>
      </c>
      <c r="U50" s="330">
        <f t="shared" si="103"/>
        <v>2021</v>
      </c>
      <c r="V50" s="332">
        <f t="shared" si="103"/>
        <v>2022</v>
      </c>
      <c r="W50" s="3" t="str">
        <f t="shared" si="103"/>
        <v>Total for 
2018-2022</v>
      </c>
      <c r="X50" s="30" t="str">
        <f>L50</f>
        <v>Source</v>
      </c>
      <c r="Y50" s="32"/>
      <c r="Z50" s="10"/>
      <c r="AA50" s="11"/>
      <c r="AB50" s="3"/>
      <c r="AC50" s="4"/>
      <c r="AD50" s="5">
        <f t="shared" ref="AD50:AI50" si="104">R50</f>
        <v>2018</v>
      </c>
      <c r="AE50" s="4">
        <f t="shared" si="104"/>
        <v>2019</v>
      </c>
      <c r="AF50" s="4">
        <f t="shared" si="104"/>
        <v>2020</v>
      </c>
      <c r="AG50" s="4">
        <f t="shared" si="104"/>
        <v>2021</v>
      </c>
      <c r="AH50" s="6">
        <f t="shared" si="104"/>
        <v>2022</v>
      </c>
      <c r="AI50" s="3" t="str">
        <f t="shared" si="104"/>
        <v>Total for 
2018-2022</v>
      </c>
      <c r="AJ50" s="32"/>
      <c r="AK50" s="10"/>
      <c r="AL50" s="11"/>
      <c r="AM50" s="3"/>
      <c r="AN50" s="4"/>
      <c r="AO50" s="5">
        <f t="shared" ref="AO50:AT50" si="105">AD50</f>
        <v>2018</v>
      </c>
      <c r="AP50" s="4">
        <f t="shared" si="105"/>
        <v>2019</v>
      </c>
      <c r="AQ50" s="4">
        <f t="shared" si="105"/>
        <v>2020</v>
      </c>
      <c r="AR50" s="4">
        <f t="shared" si="105"/>
        <v>2021</v>
      </c>
      <c r="AS50" s="6">
        <f t="shared" si="105"/>
        <v>2022</v>
      </c>
      <c r="AT50" s="3" t="str">
        <f t="shared" si="105"/>
        <v>Total for 
2018-2022</v>
      </c>
      <c r="AU50" s="66"/>
      <c r="AV50" s="10"/>
      <c r="AW50" s="11"/>
      <c r="AX50" s="3"/>
      <c r="AY50" s="4"/>
      <c r="AZ50" s="5">
        <f t="shared" ref="AZ50:BE50" si="106">AO50</f>
        <v>2018</v>
      </c>
      <c r="BA50" s="4">
        <f t="shared" si="106"/>
        <v>2019</v>
      </c>
      <c r="BB50" s="4">
        <f t="shared" si="106"/>
        <v>2020</v>
      </c>
      <c r="BC50" s="4">
        <f t="shared" si="106"/>
        <v>2021</v>
      </c>
      <c r="BD50" s="6">
        <f t="shared" si="106"/>
        <v>2022</v>
      </c>
      <c r="BE50" s="3" t="str">
        <f t="shared" si="106"/>
        <v>Total for 
2018-2022</v>
      </c>
      <c r="BF50" s="32"/>
    </row>
    <row r="51" spans="1:58" ht="18" customHeight="1" x14ac:dyDescent="0.2">
      <c r="A51" s="66"/>
      <c r="B51" s="29" t="str">
        <f>'Capex Model Category Index'!B24</f>
        <v>17</v>
      </c>
      <c r="C51" s="29" t="str">
        <f>'Capex Model Category Index'!C24</f>
        <v>New Service - New Home</v>
      </c>
      <c r="D51" s="15"/>
      <c r="E51" s="15"/>
      <c r="F51" s="624" t="s">
        <v>445</v>
      </c>
      <c r="G51" s="625" t="s">
        <v>445</v>
      </c>
      <c r="H51" s="625" t="s">
        <v>445</v>
      </c>
      <c r="I51" s="625" t="s">
        <v>445</v>
      </c>
      <c r="J51" s="626" t="s">
        <v>445</v>
      </c>
      <c r="K51" s="16">
        <v>1921.1986870808973</v>
      </c>
      <c r="L51" s="409" t="s">
        <v>311</v>
      </c>
      <c r="M51" s="32"/>
      <c r="N51" s="29" t="str">
        <f t="shared" ref="N51:O54" si="107">B51</f>
        <v>17</v>
      </c>
      <c r="O51" s="29" t="str">
        <f t="shared" si="107"/>
        <v>New Service - New Home</v>
      </c>
      <c r="P51" s="41"/>
      <c r="Q51" s="41"/>
      <c r="R51" s="640" t="s">
        <v>445</v>
      </c>
      <c r="S51" s="634" t="s">
        <v>445</v>
      </c>
      <c r="T51" s="634" t="s">
        <v>445</v>
      </c>
      <c r="U51" s="634" t="s">
        <v>445</v>
      </c>
      <c r="V51" s="639" t="s">
        <v>445</v>
      </c>
      <c r="W51" s="42"/>
      <c r="X51" s="409" t="str">
        <f t="shared" ref="X51:X54" si="108">$X$10</f>
        <v>Attachment 8.4 Unit Rates Forecast</v>
      </c>
      <c r="Y51" s="32"/>
      <c r="Z51" s="29" t="str">
        <f>B51</f>
        <v>17</v>
      </c>
      <c r="AA51" s="29" t="str">
        <f>C51</f>
        <v>New Service - New Home</v>
      </c>
      <c r="AB51" s="212"/>
      <c r="AC51" s="212"/>
      <c r="AD51" s="207">
        <v>0.37538641477630674</v>
      </c>
      <c r="AE51" s="208">
        <v>0.38234755602754222</v>
      </c>
      <c r="AF51" s="208">
        <v>0.38943778422921443</v>
      </c>
      <c r="AG51" s="208">
        <v>0.39665949316133597</v>
      </c>
      <c r="AH51" s="56">
        <v>0.40401512099401676</v>
      </c>
      <c r="AI51" s="212">
        <f t="shared" ref="AI51:AI54" si="109">SUM(AD51:AH51)</f>
        <v>1.947846369188416</v>
      </c>
      <c r="AJ51" s="32"/>
      <c r="AK51" s="29" t="str">
        <f t="shared" ref="AK51:AL54" si="110">N51</f>
        <v>17</v>
      </c>
      <c r="AL51" s="29" t="str">
        <f t="shared" si="110"/>
        <v>New Service - New Home</v>
      </c>
      <c r="AM51" s="360"/>
      <c r="AN51" s="360"/>
      <c r="AO51" s="207">
        <f>AD51*(1+'Real Cost Escalation'!E$18)</f>
        <v>0.3779134863737188</v>
      </c>
      <c r="AP51" s="208">
        <f>AE51*(1+'Real Cost Escalation'!F$18)</f>
        <v>0.38712157017441223</v>
      </c>
      <c r="AQ51" s="208">
        <f>AF51*(1+'Real Cost Escalation'!G$18)</f>
        <v>0.39708520005001524</v>
      </c>
      <c r="AR51" s="208">
        <f>AG51*(1+'Real Cost Escalation'!H$18)</f>
        <v>0.40795612824216715</v>
      </c>
      <c r="AS51" s="56">
        <f>AH51*(1+'Real Cost Escalation'!I$18)</f>
        <v>0.41955709640737654</v>
      </c>
      <c r="AT51" s="212">
        <f>SUM(AO51:AS51)</f>
        <v>1.9896334812476897</v>
      </c>
      <c r="AU51" s="66"/>
      <c r="AV51" s="29" t="str">
        <f t="shared" ref="AV51:AW54" si="111">Z51</f>
        <v>17</v>
      </c>
      <c r="AW51" s="29" t="str">
        <f t="shared" si="111"/>
        <v>New Service - New Home</v>
      </c>
      <c r="AX51" s="360"/>
      <c r="AY51" s="360"/>
      <c r="AZ51" s="207">
        <f t="shared" ref="AZ51:BD54" si="112">AO51-AD51</f>
        <v>2.5270715974120561E-3</v>
      </c>
      <c r="BA51" s="208">
        <f t="shared" si="112"/>
        <v>4.7740141468700092E-3</v>
      </c>
      <c r="BB51" s="208">
        <f t="shared" si="112"/>
        <v>7.647415820800807E-3</v>
      </c>
      <c r="BC51" s="208">
        <f t="shared" si="112"/>
        <v>1.1296635080831174E-2</v>
      </c>
      <c r="BD51" s="56">
        <f t="shared" si="112"/>
        <v>1.5541975413359777E-2</v>
      </c>
      <c r="BE51" s="212">
        <f t="shared" ref="BE51:BE54" si="113">SUM(AZ51:BD51)</f>
        <v>4.1787112059273823E-2</v>
      </c>
      <c r="BF51" s="32"/>
    </row>
    <row r="52" spans="1:58" ht="18" customHeight="1" x14ac:dyDescent="0.2">
      <c r="A52" s="66"/>
      <c r="B52" s="29" t="str">
        <f>'Capex Model Category Index'!B25</f>
        <v>18</v>
      </c>
      <c r="C52" s="29" t="str">
        <f>'Capex Model Category Index'!C25</f>
        <v>New Service - Exist Home</v>
      </c>
      <c r="D52" s="15"/>
      <c r="E52" s="15"/>
      <c r="F52" s="627" t="s">
        <v>445</v>
      </c>
      <c r="G52" s="628" t="s">
        <v>445</v>
      </c>
      <c r="H52" s="628" t="s">
        <v>445</v>
      </c>
      <c r="I52" s="628" t="s">
        <v>445</v>
      </c>
      <c r="J52" s="628" t="s">
        <v>445</v>
      </c>
      <c r="K52" s="16">
        <v>153.81490034903058</v>
      </c>
      <c r="L52" s="409" t="s">
        <v>311</v>
      </c>
      <c r="M52" s="32"/>
      <c r="N52" s="29" t="str">
        <f t="shared" si="107"/>
        <v>18</v>
      </c>
      <c r="O52" s="29" t="str">
        <f t="shared" si="107"/>
        <v>New Service - Exist Home</v>
      </c>
      <c r="P52" s="41"/>
      <c r="Q52" s="41"/>
      <c r="R52" s="640" t="s">
        <v>445</v>
      </c>
      <c r="S52" s="634" t="s">
        <v>445</v>
      </c>
      <c r="T52" s="634" t="s">
        <v>445</v>
      </c>
      <c r="U52" s="634" t="s">
        <v>445</v>
      </c>
      <c r="V52" s="639" t="s">
        <v>445</v>
      </c>
      <c r="W52" s="42"/>
      <c r="X52" s="409" t="str">
        <f t="shared" si="108"/>
        <v>Attachment 8.4 Unit Rates Forecast</v>
      </c>
      <c r="Y52" s="32"/>
      <c r="Z52" s="29" t="str">
        <f t="shared" ref="Z52:AA54" si="114">B52</f>
        <v>18</v>
      </c>
      <c r="AA52" s="29" t="str">
        <f t="shared" si="114"/>
        <v>New Service - Exist Home</v>
      </c>
      <c r="AB52" s="212"/>
      <c r="AC52" s="212"/>
      <c r="AD52" s="207">
        <v>4.5470003294205197E-2</v>
      </c>
      <c r="AE52" s="208">
        <v>4.6313196076804224E-2</v>
      </c>
      <c r="AF52" s="208">
        <v>4.717202497150149E-2</v>
      </c>
      <c r="AG52" s="208">
        <v>4.8046779933342693E-2</v>
      </c>
      <c r="AH52" s="56">
        <v>4.8937756294280661E-2</v>
      </c>
      <c r="AI52" s="212">
        <f t="shared" si="109"/>
        <v>0.23593976057013427</v>
      </c>
      <c r="AJ52" s="32"/>
      <c r="AK52" s="29" t="str">
        <f t="shared" si="110"/>
        <v>18</v>
      </c>
      <c r="AL52" s="29" t="str">
        <f t="shared" si="110"/>
        <v>New Service - Exist Home</v>
      </c>
      <c r="AM52" s="360"/>
      <c r="AN52" s="360"/>
      <c r="AO52" s="207">
        <f>AD52*(1+'Real Cost Escalation'!E$18)</f>
        <v>4.5776103753188219E-2</v>
      </c>
      <c r="AP52" s="208">
        <f>AE52*(1+'Real Cost Escalation'!F$18)</f>
        <v>4.6891465375958577E-2</v>
      </c>
      <c r="AQ52" s="208">
        <f>AF52*(1+'Real Cost Escalation'!G$18)</f>
        <v>4.8098345181494126E-2</v>
      </c>
      <c r="AR52" s="208">
        <f>AG52*(1+'Real Cost Escalation'!H$18)</f>
        <v>4.941512469521938E-2</v>
      </c>
      <c r="AS52" s="56">
        <f>AH52*(1+'Real Cost Escalation'!I$18)</f>
        <v>5.0820332875175435E-2</v>
      </c>
      <c r="AT52" s="212">
        <f>SUM(AO52:AS52)</f>
        <v>0.24100137188103574</v>
      </c>
      <c r="AU52" s="66"/>
      <c r="AV52" s="29" t="str">
        <f t="shared" si="111"/>
        <v>18</v>
      </c>
      <c r="AW52" s="29" t="str">
        <f t="shared" si="111"/>
        <v>New Service - Exist Home</v>
      </c>
      <c r="AX52" s="360"/>
      <c r="AY52" s="360"/>
      <c r="AZ52" s="207">
        <f t="shared" si="112"/>
        <v>3.0610045898302185E-4</v>
      </c>
      <c r="BA52" s="208">
        <f t="shared" si="112"/>
        <v>5.7826929915435338E-4</v>
      </c>
      <c r="BB52" s="208">
        <f t="shared" si="112"/>
        <v>9.263202099926357E-4</v>
      </c>
      <c r="BC52" s="208">
        <f t="shared" si="112"/>
        <v>1.3683447618766872E-3</v>
      </c>
      <c r="BD52" s="56">
        <f t="shared" si="112"/>
        <v>1.8825765808947736E-3</v>
      </c>
      <c r="BE52" s="212">
        <f t="shared" si="113"/>
        <v>5.0616113109014718E-3</v>
      </c>
      <c r="BF52" s="32"/>
    </row>
    <row r="53" spans="1:58" ht="18" customHeight="1" x14ac:dyDescent="0.2">
      <c r="A53" s="66"/>
      <c r="B53" s="29" t="str">
        <f>'Capex Model Category Index'!B26</f>
        <v>19</v>
      </c>
      <c r="C53" s="29" t="str">
        <f>'Capex Model Category Index'!C26</f>
        <v>New Service - Multi User</v>
      </c>
      <c r="D53" s="15"/>
      <c r="E53" s="15"/>
      <c r="F53" s="627" t="s">
        <v>445</v>
      </c>
      <c r="G53" s="628" t="s">
        <v>445</v>
      </c>
      <c r="H53" s="628" t="s">
        <v>445</v>
      </c>
      <c r="I53" s="628" t="s">
        <v>445</v>
      </c>
      <c r="J53" s="628" t="s">
        <v>445</v>
      </c>
      <c r="K53" s="16">
        <v>64.768170473144323</v>
      </c>
      <c r="L53" s="409" t="s">
        <v>311</v>
      </c>
      <c r="M53" s="32"/>
      <c r="N53" s="29" t="str">
        <f t="shared" si="107"/>
        <v>19</v>
      </c>
      <c r="O53" s="29" t="str">
        <f t="shared" si="107"/>
        <v>New Service - Multi User</v>
      </c>
      <c r="P53" s="41"/>
      <c r="Q53" s="41"/>
      <c r="R53" s="640" t="s">
        <v>445</v>
      </c>
      <c r="S53" s="634" t="s">
        <v>445</v>
      </c>
      <c r="T53" s="634" t="s">
        <v>445</v>
      </c>
      <c r="U53" s="634" t="s">
        <v>445</v>
      </c>
      <c r="V53" s="639" t="s">
        <v>445</v>
      </c>
      <c r="W53" s="42"/>
      <c r="X53" s="409" t="str">
        <f t="shared" si="108"/>
        <v>Attachment 8.4 Unit Rates Forecast</v>
      </c>
      <c r="Y53" s="32"/>
      <c r="Z53" s="29" t="str">
        <f t="shared" si="114"/>
        <v>19</v>
      </c>
      <c r="AA53" s="29" t="str">
        <f t="shared" si="114"/>
        <v>New Service - Multi User</v>
      </c>
      <c r="AB53" s="212"/>
      <c r="AC53" s="212"/>
      <c r="AD53" s="207">
        <v>6.2928918095818229E-2</v>
      </c>
      <c r="AE53" s="208">
        <v>6.4095867858540628E-2</v>
      </c>
      <c r="AF53" s="208">
        <v>6.5284457461735432E-2</v>
      </c>
      <c r="AG53" s="208">
        <v>6.6495088193196827E-2</v>
      </c>
      <c r="AH53" s="56">
        <v>6.7728168782173193E-2</v>
      </c>
      <c r="AI53" s="212">
        <f t="shared" si="109"/>
        <v>0.32653250039146431</v>
      </c>
      <c r="AJ53" s="32"/>
      <c r="AK53" s="29" t="str">
        <f t="shared" si="110"/>
        <v>19</v>
      </c>
      <c r="AL53" s="29" t="str">
        <f t="shared" si="110"/>
        <v>New Service - Multi User</v>
      </c>
      <c r="AM53" s="360"/>
      <c r="AN53" s="360"/>
      <c r="AO53" s="207">
        <f>AD53*(1+'Real Cost Escalation'!E$18)</f>
        <v>6.3352550585743517E-2</v>
      </c>
      <c r="AP53" s="208">
        <f>AE53*(1+'Real Cost Escalation'!F$18)</f>
        <v>6.4896172646916314E-2</v>
      </c>
      <c r="AQ53" s="208">
        <f>AF53*(1+'Real Cost Escalation'!G$18)</f>
        <v>6.6566452720190947E-2</v>
      </c>
      <c r="AR53" s="208">
        <f>AG53*(1+'Real Cost Escalation'!H$18)</f>
        <v>6.8388830203502629E-2</v>
      </c>
      <c r="AS53" s="56">
        <f>AH53*(1+'Real Cost Escalation'!I$18)</f>
        <v>7.0333589914467906E-2</v>
      </c>
      <c r="AT53" s="212">
        <f>SUM(AO53:AS53)</f>
        <v>0.33353759607082134</v>
      </c>
      <c r="AU53" s="66"/>
      <c r="AV53" s="29" t="str">
        <f t="shared" si="111"/>
        <v>19</v>
      </c>
      <c r="AW53" s="29" t="str">
        <f t="shared" si="111"/>
        <v>New Service - Multi User</v>
      </c>
      <c r="AX53" s="360"/>
      <c r="AY53" s="360"/>
      <c r="AZ53" s="207">
        <f t="shared" si="112"/>
        <v>4.2363248992528801E-4</v>
      </c>
      <c r="BA53" s="208">
        <f t="shared" si="112"/>
        <v>8.0030478837568586E-4</v>
      </c>
      <c r="BB53" s="208">
        <f t="shared" si="112"/>
        <v>1.281995258455515E-3</v>
      </c>
      <c r="BC53" s="208">
        <f t="shared" si="112"/>
        <v>1.8937420103058017E-3</v>
      </c>
      <c r="BD53" s="56">
        <f t="shared" si="112"/>
        <v>2.6054211322947135E-3</v>
      </c>
      <c r="BE53" s="212">
        <f t="shared" si="113"/>
        <v>7.0050956793570041E-3</v>
      </c>
      <c r="BF53" s="32"/>
    </row>
    <row r="54" spans="1:58" ht="18" customHeight="1" x14ac:dyDescent="0.2">
      <c r="A54" s="66"/>
      <c r="B54" s="29" t="str">
        <f>'Capex Model Category Index'!B27</f>
        <v>20</v>
      </c>
      <c r="C54" s="29" t="str">
        <f>'Capex Model Category Index'!C27</f>
        <v>New Service - I&amp;C &lt; 10 Tj</v>
      </c>
      <c r="D54" s="15"/>
      <c r="E54" s="15"/>
      <c r="F54" s="630" t="s">
        <v>445</v>
      </c>
      <c r="G54" s="631" t="s">
        <v>445</v>
      </c>
      <c r="H54" s="631" t="s">
        <v>445</v>
      </c>
      <c r="I54" s="631" t="s">
        <v>445</v>
      </c>
      <c r="J54" s="632" t="s">
        <v>445</v>
      </c>
      <c r="K54" s="16">
        <v>125.58567579603282</v>
      </c>
      <c r="L54" s="409" t="s">
        <v>311</v>
      </c>
      <c r="M54" s="32"/>
      <c r="N54" s="359" t="str">
        <f t="shared" si="107"/>
        <v>20</v>
      </c>
      <c r="O54" s="359" t="str">
        <f t="shared" si="107"/>
        <v>New Service - I&amp;C &lt; 10 Tj</v>
      </c>
      <c r="P54" s="507"/>
      <c r="Q54" s="507"/>
      <c r="R54" s="641" t="s">
        <v>445</v>
      </c>
      <c r="S54" s="638" t="s">
        <v>445</v>
      </c>
      <c r="T54" s="638" t="s">
        <v>445</v>
      </c>
      <c r="U54" s="638" t="s">
        <v>445</v>
      </c>
      <c r="V54" s="642" t="s">
        <v>445</v>
      </c>
      <c r="W54" s="508"/>
      <c r="X54" s="509" t="str">
        <f t="shared" si="108"/>
        <v>Attachment 8.4 Unit Rates Forecast</v>
      </c>
      <c r="Y54" s="32"/>
      <c r="Z54" s="29" t="str">
        <f t="shared" si="114"/>
        <v>20</v>
      </c>
      <c r="AA54" s="29" t="str">
        <f t="shared" si="114"/>
        <v>New Service - I&amp;C &lt; 10 Tj</v>
      </c>
      <c r="AB54" s="212"/>
      <c r="AC54" s="212"/>
      <c r="AD54" s="207">
        <v>0.12573545218365334</v>
      </c>
      <c r="AE54" s="208">
        <v>0.12646413384888863</v>
      </c>
      <c r="AF54" s="208">
        <v>0.12719703848354133</v>
      </c>
      <c r="AG54" s="208">
        <v>0.12793419056122168</v>
      </c>
      <c r="AH54" s="56">
        <v>0.1286756146973716</v>
      </c>
      <c r="AI54" s="212">
        <f t="shared" si="109"/>
        <v>0.63600642977467658</v>
      </c>
      <c r="AJ54" s="32"/>
      <c r="AK54" s="29" t="str">
        <f t="shared" si="110"/>
        <v>20</v>
      </c>
      <c r="AL54" s="29" t="str">
        <f t="shared" si="110"/>
        <v>New Service - I&amp;C &lt; 10 Tj</v>
      </c>
      <c r="AM54" s="360"/>
      <c r="AN54" s="360"/>
      <c r="AO54" s="207">
        <f>AD54*(1+'Real Cost Escalation'!E$18)</f>
        <v>0.12658189328406028</v>
      </c>
      <c r="AP54" s="208">
        <f>AE54*(1+'Real Cost Escalation'!F$18)</f>
        <v>0.12804317248676805</v>
      </c>
      <c r="AQ54" s="208">
        <f>AF54*(1+'Real Cost Escalation'!G$18)</f>
        <v>0.12969481523723589</v>
      </c>
      <c r="AR54" s="208">
        <f>AG54*(1+'Real Cost Escalation'!H$18)</f>
        <v>0.13157768300259334</v>
      </c>
      <c r="AS54" s="56">
        <f>AH54*(1+'Real Cost Escalation'!I$18)</f>
        <v>0.13362561071486007</v>
      </c>
      <c r="AT54" s="212">
        <f>SUM(AO54:AS54)</f>
        <v>0.64952317472551768</v>
      </c>
      <c r="AU54" s="66"/>
      <c r="AV54" s="29" t="str">
        <f t="shared" si="111"/>
        <v>20</v>
      </c>
      <c r="AW54" s="29" t="str">
        <f t="shared" si="111"/>
        <v>New Service - I&amp;C &lt; 10 Tj</v>
      </c>
      <c r="AX54" s="360"/>
      <c r="AY54" s="360"/>
      <c r="AZ54" s="207">
        <f t="shared" si="112"/>
        <v>8.464411004069361E-4</v>
      </c>
      <c r="BA54" s="208">
        <f t="shared" si="112"/>
        <v>1.5790386378794208E-3</v>
      </c>
      <c r="BB54" s="208">
        <f t="shared" si="112"/>
        <v>2.4977767536945583E-3</v>
      </c>
      <c r="BC54" s="208">
        <f t="shared" si="112"/>
        <v>3.6434924413716596E-3</v>
      </c>
      <c r="BD54" s="56">
        <f t="shared" si="112"/>
        <v>4.9499960174884672E-3</v>
      </c>
      <c r="BE54" s="212">
        <f t="shared" si="113"/>
        <v>1.3516744950841042E-2</v>
      </c>
      <c r="BF54" s="32"/>
    </row>
    <row r="55" spans="1:58" ht="18" customHeight="1" thickBot="1" x14ac:dyDescent="0.25">
      <c r="A55" s="66"/>
      <c r="B55" s="24"/>
      <c r="C55" s="24" t="s">
        <v>78</v>
      </c>
      <c r="D55" s="27"/>
      <c r="E55" s="27"/>
      <c r="F55" s="26">
        <v>437.20364482905455</v>
      </c>
      <c r="G55" s="27">
        <v>444.9946029730267</v>
      </c>
      <c r="H55" s="27">
        <v>452.92820180468124</v>
      </c>
      <c r="I55" s="27">
        <v>461.00707581303942</v>
      </c>
      <c r="J55" s="28">
        <v>469.23390827930297</v>
      </c>
      <c r="K55" s="27">
        <v>2265.3674336991053</v>
      </c>
      <c r="L55" s="2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24"/>
      <c r="AA55" s="24" t="s">
        <v>78</v>
      </c>
      <c r="AB55" s="210"/>
      <c r="AC55" s="210"/>
      <c r="AD55" s="209">
        <f>SUM(AD51:AD54)</f>
        <v>0.60952078834998358</v>
      </c>
      <c r="AE55" s="210">
        <f t="shared" ref="AE55:AI55" si="115">SUM(AE51:AE54)</f>
        <v>0.61922075381177577</v>
      </c>
      <c r="AF55" s="210">
        <f t="shared" si="115"/>
        <v>0.62909130514599265</v>
      </c>
      <c r="AG55" s="210">
        <f t="shared" si="115"/>
        <v>0.63913555184909721</v>
      </c>
      <c r="AH55" s="211">
        <f t="shared" si="115"/>
        <v>0.64935666076784226</v>
      </c>
      <c r="AI55" s="210">
        <f t="shared" si="115"/>
        <v>3.146325059924691</v>
      </c>
      <c r="AJ55" s="32"/>
      <c r="AK55" s="24"/>
      <c r="AL55" s="24" t="s">
        <v>78</v>
      </c>
      <c r="AM55" s="266"/>
      <c r="AN55" s="266"/>
      <c r="AO55" s="209">
        <f>SUM(AO51:AO54)</f>
        <v>0.61362403399671073</v>
      </c>
      <c r="AP55" s="210">
        <f t="shared" ref="AP55:AT55" si="116">SUM(AP51:AP54)</f>
        <v>0.62695238068405512</v>
      </c>
      <c r="AQ55" s="210">
        <f t="shared" si="116"/>
        <v>0.6414448131889362</v>
      </c>
      <c r="AR55" s="210">
        <f t="shared" si="116"/>
        <v>0.65733776614348249</v>
      </c>
      <c r="AS55" s="211">
        <f t="shared" si="116"/>
        <v>0.67433662991188004</v>
      </c>
      <c r="AT55" s="210">
        <f t="shared" si="116"/>
        <v>3.213695623925064</v>
      </c>
      <c r="AU55" s="66"/>
      <c r="AV55" s="24"/>
      <c r="AW55" s="24" t="s">
        <v>78</v>
      </c>
      <c r="AX55" s="210"/>
      <c r="AY55" s="210"/>
      <c r="AZ55" s="209">
        <f>SUM(AZ51:AZ54)</f>
        <v>4.1032456467273021E-3</v>
      </c>
      <c r="BA55" s="210">
        <f t="shared" ref="BA55:BE55" si="117">SUM(BA51:BA54)</f>
        <v>7.7316268722794693E-3</v>
      </c>
      <c r="BB55" s="210">
        <f t="shared" si="117"/>
        <v>1.2353508042943516E-2</v>
      </c>
      <c r="BC55" s="210">
        <f t="shared" si="117"/>
        <v>1.8202214294385323E-2</v>
      </c>
      <c r="BD55" s="211">
        <f t="shared" si="117"/>
        <v>2.4979969144037731E-2</v>
      </c>
      <c r="BE55" s="210">
        <f t="shared" si="117"/>
        <v>6.7370564000373334E-2</v>
      </c>
      <c r="BF55" s="32"/>
    </row>
    <row r="56" spans="1:58" x14ac:dyDescent="0.2">
      <c r="A56" s="6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</row>
    <row r="57" spans="1:58" ht="24" customHeight="1" x14ac:dyDescent="0.2">
      <c r="A57" s="66"/>
      <c r="B57" s="315" t="s">
        <v>233</v>
      </c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5"/>
      <c r="BE57" s="315"/>
      <c r="BF57" s="32"/>
    </row>
    <row r="58" spans="1:58" x14ac:dyDescent="0.2">
      <c r="A58" s="6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</row>
    <row r="59" spans="1:58" ht="24" customHeight="1" x14ac:dyDescent="0.2">
      <c r="A59" s="66"/>
      <c r="B59" s="354" t="s">
        <v>235</v>
      </c>
      <c r="C59" s="354"/>
      <c r="D59" s="355"/>
      <c r="E59" s="355"/>
      <c r="F59" s="355"/>
      <c r="G59" s="355"/>
      <c r="H59" s="355"/>
      <c r="I59" s="355"/>
      <c r="J59" s="355"/>
      <c r="K59" s="355"/>
      <c r="L59" s="355"/>
      <c r="M59" s="32"/>
      <c r="N59" s="354" t="s">
        <v>440</v>
      </c>
      <c r="O59" s="354"/>
      <c r="P59" s="355"/>
      <c r="Q59" s="355"/>
      <c r="R59" s="355"/>
      <c r="S59" s="355"/>
      <c r="T59" s="355"/>
      <c r="U59" s="355"/>
      <c r="V59" s="355"/>
      <c r="W59" s="355"/>
      <c r="X59" s="355"/>
      <c r="Y59" s="66"/>
      <c r="Z59" s="354" t="s">
        <v>425</v>
      </c>
      <c r="AA59" s="354"/>
      <c r="AB59" s="355"/>
      <c r="AC59" s="355"/>
      <c r="AD59" s="355"/>
      <c r="AE59" s="355"/>
      <c r="AF59" s="355"/>
      <c r="AG59" s="355"/>
      <c r="AH59" s="355"/>
      <c r="AI59" s="355"/>
      <c r="AJ59" s="32"/>
      <c r="AK59" s="354" t="s">
        <v>432</v>
      </c>
      <c r="AL59" s="354"/>
      <c r="AM59" s="355"/>
      <c r="AN59" s="355"/>
      <c r="AO59" s="355"/>
      <c r="AP59" s="355"/>
      <c r="AQ59" s="355"/>
      <c r="AR59" s="355"/>
      <c r="AS59" s="355"/>
      <c r="AT59" s="355"/>
      <c r="AU59" s="66"/>
      <c r="AV59" s="354" t="s">
        <v>439</v>
      </c>
      <c r="AW59" s="354"/>
      <c r="AX59" s="354"/>
      <c r="AY59" s="354"/>
      <c r="AZ59" s="354"/>
      <c r="BA59" s="354"/>
      <c r="BB59" s="354"/>
      <c r="BC59" s="354"/>
      <c r="BD59" s="354"/>
      <c r="BE59" s="354"/>
      <c r="BF59" s="32"/>
    </row>
    <row r="60" spans="1:58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</row>
    <row r="61" spans="1:58" ht="22.5" x14ac:dyDescent="0.2">
      <c r="A61" s="32"/>
      <c r="B61" s="66" t="s">
        <v>257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66" t="s">
        <v>257</v>
      </c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10"/>
      <c r="AA61" s="11"/>
      <c r="AB61" s="3"/>
      <c r="AC61" s="4"/>
      <c r="AD61" s="5">
        <v>2018</v>
      </c>
      <c r="AE61" s="4">
        <v>2019</v>
      </c>
      <c r="AF61" s="4">
        <v>2020</v>
      </c>
      <c r="AG61" s="4">
        <v>2021</v>
      </c>
      <c r="AH61" s="6">
        <v>2022</v>
      </c>
      <c r="AI61" s="3" t="s">
        <v>73</v>
      </c>
      <c r="AJ61" s="32"/>
      <c r="AK61" s="10"/>
      <c r="AL61" s="11"/>
      <c r="AM61" s="3"/>
      <c r="AN61" s="4"/>
      <c r="AO61" s="5">
        <v>2018</v>
      </c>
      <c r="AP61" s="4">
        <v>2019</v>
      </c>
      <c r="AQ61" s="4">
        <v>2020</v>
      </c>
      <c r="AR61" s="4">
        <v>2021</v>
      </c>
      <c r="AS61" s="6">
        <v>2022</v>
      </c>
      <c r="AT61" s="3" t="s">
        <v>73</v>
      </c>
      <c r="AU61" s="32"/>
      <c r="AV61" s="10"/>
      <c r="AW61" s="11"/>
      <c r="AX61" s="3"/>
      <c r="AY61" s="4"/>
      <c r="AZ61" s="5">
        <v>2018</v>
      </c>
      <c r="BA61" s="4">
        <v>2019</v>
      </c>
      <c r="BB61" s="4">
        <v>2020</v>
      </c>
      <c r="BC61" s="4">
        <v>2021</v>
      </c>
      <c r="BD61" s="6">
        <v>2022</v>
      </c>
      <c r="BE61" s="3" t="s">
        <v>73</v>
      </c>
      <c r="BF61" s="32"/>
    </row>
    <row r="62" spans="1:58" ht="18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29">
        <f>'Capex Model Category Index'!B32</f>
        <v>21</v>
      </c>
      <c r="AA62" s="29" t="str">
        <f>'Capex Model Category Index'!C32</f>
        <v>Telemetry</v>
      </c>
      <c r="AB62" s="360"/>
      <c r="AC62" s="360"/>
      <c r="AD62" s="595">
        <f>'Business Cases'!M59/1000*$S$6</f>
        <v>0</v>
      </c>
      <c r="AE62" s="595">
        <f>'Business Cases'!N59/1000*$S$6</f>
        <v>0</v>
      </c>
      <c r="AF62" s="595">
        <f>'Business Cases'!O59/1000*$S$6</f>
        <v>0</v>
      </c>
      <c r="AG62" s="595">
        <f>'Business Cases'!P59/1000*$S$6</f>
        <v>8.9707200000000001E-2</v>
      </c>
      <c r="AH62" s="595">
        <f>'Business Cases'!Q59/1000*$S$6</f>
        <v>0</v>
      </c>
      <c r="AI62" s="212">
        <f>SUM(AD62:AH62)</f>
        <v>8.9707200000000001E-2</v>
      </c>
      <c r="AJ62" s="32"/>
      <c r="AK62" s="586">
        <f t="shared" ref="AK62:AK69" si="118">$Z62</f>
        <v>21</v>
      </c>
      <c r="AL62" s="29" t="str">
        <f t="shared" ref="AL62:AL69" si="119">$AA62</f>
        <v>Telemetry</v>
      </c>
      <c r="AM62" s="360"/>
      <c r="AN62" s="360"/>
      <c r="AO62" s="207">
        <f>AD62*(1+'Real Cost Escalation'!E$18)</f>
        <v>0</v>
      </c>
      <c r="AP62" s="208">
        <f>AE62*(1+'Real Cost Escalation'!F$18)</f>
        <v>0</v>
      </c>
      <c r="AQ62" s="208">
        <f>AF62*(1+'Real Cost Escalation'!G$18)</f>
        <v>0</v>
      </c>
      <c r="AR62" s="208">
        <f>AG62*(1+'Real Cost Escalation'!H$18)</f>
        <v>9.2262009654110452E-2</v>
      </c>
      <c r="AS62" s="56">
        <f>AH62*(1+'Real Cost Escalation'!I$18)</f>
        <v>0</v>
      </c>
      <c r="AT62" s="212">
        <f>SUM(AO62:AS62)</f>
        <v>9.2262009654110452E-2</v>
      </c>
      <c r="AU62" s="32"/>
      <c r="AV62" s="586">
        <f t="shared" ref="AV62:AV69" si="120">$Z62</f>
        <v>21</v>
      </c>
      <c r="AW62" s="29" t="str">
        <f t="shared" ref="AW62:AW69" si="121">$AA62</f>
        <v>Telemetry</v>
      </c>
      <c r="AX62" s="15"/>
      <c r="AY62" s="15"/>
      <c r="AZ62" s="207">
        <f t="shared" ref="AZ62:BD69" si="122">AO62-AD62</f>
        <v>0</v>
      </c>
      <c r="BA62" s="208">
        <f t="shared" si="122"/>
        <v>0</v>
      </c>
      <c r="BB62" s="208">
        <f t="shared" si="122"/>
        <v>0</v>
      </c>
      <c r="BC62" s="208">
        <f t="shared" si="122"/>
        <v>2.5548096541104515E-3</v>
      </c>
      <c r="BD62" s="56">
        <f t="shared" si="122"/>
        <v>0</v>
      </c>
      <c r="BE62" s="212">
        <f>SUM(AZ62:BD62)</f>
        <v>2.5548096541104515E-3</v>
      </c>
      <c r="BF62" s="32"/>
    </row>
    <row r="63" spans="1:58" ht="18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29">
        <f>'Capex Model Category Index'!B33</f>
        <v>22</v>
      </c>
      <c r="AA63" s="29" t="str">
        <f>'Capex Model Category Index'!C33</f>
        <v>Regulators</v>
      </c>
      <c r="AB63" s="360"/>
      <c r="AC63" s="360"/>
      <c r="AD63" s="595">
        <f>'Business Cases'!M53/1000*$S$6</f>
        <v>0</v>
      </c>
      <c r="AE63" s="595">
        <f>'Business Cases'!N53/1000*$S$6</f>
        <v>5.0970000000000008E-2</v>
      </c>
      <c r="AF63" s="595">
        <f>'Business Cases'!O53/1000*$S$6</f>
        <v>8.1552000000000013E-2</v>
      </c>
      <c r="AG63" s="595">
        <f>'Business Cases'!P53/1000*$S$6</f>
        <v>6.8299800000000008E-2</v>
      </c>
      <c r="AH63" s="595">
        <f>'Business Cases'!Q53/1000*$S$6</f>
        <v>0</v>
      </c>
      <c r="AI63" s="212">
        <f t="shared" ref="AI63:AI69" si="123">SUM(AD63:AH63)</f>
        <v>0.20082180000000005</v>
      </c>
      <c r="AJ63" s="32"/>
      <c r="AK63" s="586">
        <f t="shared" si="118"/>
        <v>22</v>
      </c>
      <c r="AL63" s="29" t="str">
        <f t="shared" si="119"/>
        <v>Regulators</v>
      </c>
      <c r="AM63" s="360"/>
      <c r="AN63" s="360"/>
      <c r="AO63" s="207">
        <f>AD63*(1+'Real Cost Escalation'!E$18)</f>
        <v>0</v>
      </c>
      <c r="AP63" s="208">
        <f>AE63*(1+'Real Cost Escalation'!F$18)</f>
        <v>5.1606414427737148E-2</v>
      </c>
      <c r="AQ63" s="208">
        <f>AF63*(1+'Real Cost Escalation'!G$18)</f>
        <v>8.3153442079515527E-2</v>
      </c>
      <c r="AR63" s="208">
        <f>AG63*(1+'Real Cost Escalation'!H$18)</f>
        <v>7.0244939168470466E-2</v>
      </c>
      <c r="AS63" s="56">
        <f>AH63*(1+'Real Cost Escalation'!I$18)</f>
        <v>0</v>
      </c>
      <c r="AT63" s="212">
        <f t="shared" ref="AT63:AT69" si="124">SUM(AO63:AS63)</f>
        <v>0.20500479567572313</v>
      </c>
      <c r="AU63" s="32"/>
      <c r="AV63" s="586">
        <f t="shared" si="120"/>
        <v>22</v>
      </c>
      <c r="AW63" s="29" t="str">
        <f t="shared" si="121"/>
        <v>Regulators</v>
      </c>
      <c r="AX63" s="15"/>
      <c r="AY63" s="15"/>
      <c r="AZ63" s="207">
        <f t="shared" si="122"/>
        <v>0</v>
      </c>
      <c r="BA63" s="208">
        <f t="shared" si="122"/>
        <v>6.3641442773713919E-4</v>
      </c>
      <c r="BB63" s="208">
        <f t="shared" si="122"/>
        <v>1.6014420795155138E-3</v>
      </c>
      <c r="BC63" s="208">
        <f t="shared" si="122"/>
        <v>1.9451391684704583E-3</v>
      </c>
      <c r="BD63" s="56">
        <f t="shared" si="122"/>
        <v>0</v>
      </c>
      <c r="BE63" s="212">
        <f t="shared" ref="BE63:BE69" si="125">SUM(AZ63:BD63)</f>
        <v>4.1829956757231113E-3</v>
      </c>
      <c r="BF63" s="32"/>
    </row>
    <row r="64" spans="1:58" ht="18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29">
        <f>'Capex Model Category Index'!B34</f>
        <v>23</v>
      </c>
      <c r="AA64" s="29" t="str">
        <f>'Capex Model Category Index'!C34</f>
        <v>Information Technology</v>
      </c>
      <c r="AB64" s="360"/>
      <c r="AC64" s="360"/>
      <c r="AD64" s="595">
        <f>'Business Cases'!M28/1000*$S$6</f>
        <v>0.38821695126998695</v>
      </c>
      <c r="AE64" s="595">
        <f>'Business Cases'!N28/1000*$S$6</f>
        <v>0.81523226758779643</v>
      </c>
      <c r="AF64" s="595">
        <f>'Business Cases'!O28/1000*$S$6</f>
        <v>0.55433681095071785</v>
      </c>
      <c r="AG64" s="595">
        <f>'Business Cases'!P28/1000*$S$6</f>
        <v>0.17637064229669031</v>
      </c>
      <c r="AH64" s="595">
        <f>'Business Cases'!Q28/1000*$S$6</f>
        <v>0.20581157855260745</v>
      </c>
      <c r="AI64" s="212">
        <f t="shared" si="123"/>
        <v>2.1399682506577991</v>
      </c>
      <c r="AJ64" s="32"/>
      <c r="AK64" s="586">
        <f t="shared" si="118"/>
        <v>23</v>
      </c>
      <c r="AL64" s="29" t="str">
        <f t="shared" si="119"/>
        <v>Information Technology</v>
      </c>
      <c r="AM64" s="360"/>
      <c r="AN64" s="360"/>
      <c r="AO64" s="207">
        <f>AD64*(1+'Real Cost Escalation'!E$18)</f>
        <v>0.39083039702234029</v>
      </c>
      <c r="AP64" s="208">
        <f>AE64*(1+'Real Cost Escalation'!F$18)</f>
        <v>0.82541130578771282</v>
      </c>
      <c r="AQ64" s="208">
        <f>AF64*(1+'Real Cost Escalation'!G$18)</f>
        <v>0.5652223599903603</v>
      </c>
      <c r="AR64" s="208">
        <f>AG64*(1+'Real Cost Escalation'!H$18)</f>
        <v>0.18139357712958271</v>
      </c>
      <c r="AS64" s="56">
        <f>AH64*(1+'Real Cost Escalation'!I$18)</f>
        <v>0.21372890225519423</v>
      </c>
      <c r="AT64" s="212">
        <f t="shared" si="124"/>
        <v>2.1765865421851904</v>
      </c>
      <c r="AU64" s="32"/>
      <c r="AV64" s="586">
        <f t="shared" si="120"/>
        <v>23</v>
      </c>
      <c r="AW64" s="29" t="str">
        <f t="shared" si="121"/>
        <v>Information Technology</v>
      </c>
      <c r="AX64" s="15"/>
      <c r="AY64" s="15"/>
      <c r="AZ64" s="207">
        <f t="shared" si="122"/>
        <v>2.6134457523533383E-3</v>
      </c>
      <c r="BA64" s="208">
        <f t="shared" si="122"/>
        <v>1.017903819991639E-2</v>
      </c>
      <c r="BB64" s="208">
        <f t="shared" si="122"/>
        <v>1.088554903964245E-2</v>
      </c>
      <c r="BC64" s="208">
        <f t="shared" si="122"/>
        <v>5.0229348328924006E-3</v>
      </c>
      <c r="BD64" s="56">
        <f t="shared" si="122"/>
        <v>7.9173237025867704E-3</v>
      </c>
      <c r="BE64" s="212">
        <f t="shared" si="125"/>
        <v>3.661829152739135E-2</v>
      </c>
      <c r="BF64" s="32"/>
    </row>
    <row r="65" spans="1:58" ht="18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29">
        <f>'Capex Model Category Index'!B35</f>
        <v>24</v>
      </c>
      <c r="AA65" s="29" t="str">
        <f>'Capex Model Category Index'!C35</f>
        <v>Other Distribution System</v>
      </c>
      <c r="AB65" s="360"/>
      <c r="AC65" s="360"/>
      <c r="AD65" s="595">
        <f>'Business Cases'!M35/1000*$S$6</f>
        <v>0</v>
      </c>
      <c r="AE65" s="595">
        <f>'Business Cases'!N35/1000*$S$6</f>
        <v>3.0582000000000002E-2</v>
      </c>
      <c r="AF65" s="595">
        <f>'Business Cases'!O35/1000*$S$6</f>
        <v>0</v>
      </c>
      <c r="AG65" s="595">
        <f>'Business Cases'!P35/1000*$S$6</f>
        <v>0</v>
      </c>
      <c r="AH65" s="595">
        <f>'Business Cases'!Q35/1000*$S$6</f>
        <v>0</v>
      </c>
      <c r="AI65" s="207">
        <f t="shared" si="123"/>
        <v>3.0582000000000002E-2</v>
      </c>
      <c r="AJ65" s="32"/>
      <c r="AK65" s="586">
        <f t="shared" si="118"/>
        <v>24</v>
      </c>
      <c r="AL65" s="29" t="str">
        <f t="shared" si="119"/>
        <v>Other Distribution System</v>
      </c>
      <c r="AM65" s="360"/>
      <c r="AN65" s="360"/>
      <c r="AO65" s="207">
        <f>AD65*(1+'Real Cost Escalation'!E$18)</f>
        <v>0</v>
      </c>
      <c r="AP65" s="208">
        <f>AE65*(1+'Real Cost Escalation'!F$18)</f>
        <v>3.0963848656642288E-2</v>
      </c>
      <c r="AQ65" s="208">
        <f>AF65*(1+'Real Cost Escalation'!G$18)</f>
        <v>0</v>
      </c>
      <c r="AR65" s="208">
        <f>AG65*(1+'Real Cost Escalation'!H$18)</f>
        <v>0</v>
      </c>
      <c r="AS65" s="56">
        <f>AH65*(1+'Real Cost Escalation'!I$18)</f>
        <v>0</v>
      </c>
      <c r="AT65" s="207">
        <f t="shared" si="124"/>
        <v>3.0963848656642288E-2</v>
      </c>
      <c r="AU65" s="32"/>
      <c r="AV65" s="586">
        <f t="shared" si="120"/>
        <v>24</v>
      </c>
      <c r="AW65" s="29" t="str">
        <f t="shared" si="121"/>
        <v>Other Distribution System</v>
      </c>
      <c r="AX65" s="32"/>
      <c r="AY65" s="32"/>
      <c r="AZ65" s="207">
        <f t="shared" si="122"/>
        <v>0</v>
      </c>
      <c r="BA65" s="208">
        <f t="shared" si="122"/>
        <v>3.8184865664228629E-4</v>
      </c>
      <c r="BB65" s="208">
        <f t="shared" si="122"/>
        <v>0</v>
      </c>
      <c r="BC65" s="208">
        <f t="shared" si="122"/>
        <v>0</v>
      </c>
      <c r="BD65" s="56">
        <f t="shared" si="122"/>
        <v>0</v>
      </c>
      <c r="BE65" s="207">
        <f t="shared" si="125"/>
        <v>3.8184865664228629E-4</v>
      </c>
      <c r="BF65" s="32"/>
    </row>
    <row r="66" spans="1:58" ht="18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29">
        <f>'Capex Model Category Index'!B36</f>
        <v>25</v>
      </c>
      <c r="AA66" s="29" t="str">
        <f>'Capex Model Category Index'!C36</f>
        <v>Other Non-Distribution System</v>
      </c>
      <c r="AB66" s="360"/>
      <c r="AC66" s="360"/>
      <c r="AD66" s="595">
        <f>'Business Cases'!M40/1000*$S$6</f>
        <v>7.1358000000000019E-2</v>
      </c>
      <c r="AE66" s="595">
        <f>'Business Cases'!N40/1000*$S$6</f>
        <v>2.34462E-2</v>
      </c>
      <c r="AF66" s="595">
        <f>'Business Cases'!O40/1000*$S$6</f>
        <v>2.34462E-2</v>
      </c>
      <c r="AG66" s="595">
        <f>'Business Cases'!P40/1000*$S$6</f>
        <v>2.34462E-2</v>
      </c>
      <c r="AH66" s="595">
        <f>'Business Cases'!Q40/1000*$S$6</f>
        <v>2.34462E-2</v>
      </c>
      <c r="AI66" s="207">
        <f t="shared" si="123"/>
        <v>0.16514280000000001</v>
      </c>
      <c r="AJ66" s="32"/>
      <c r="AK66" s="586">
        <f t="shared" si="118"/>
        <v>25</v>
      </c>
      <c r="AL66" s="29" t="str">
        <f t="shared" si="119"/>
        <v>Other Non-Distribution System</v>
      </c>
      <c r="AM66" s="360"/>
      <c r="AN66" s="360"/>
      <c r="AO66" s="207">
        <f>AD66*(1+'Real Cost Escalation'!E$18)</f>
        <v>7.1838376401355902E-2</v>
      </c>
      <c r="AP66" s="208">
        <f>AE66*(1+'Real Cost Escalation'!F$18)</f>
        <v>2.3738950636759085E-2</v>
      </c>
      <c r="AQ66" s="208">
        <f>AF66*(1+'Real Cost Escalation'!G$18)</f>
        <v>2.3906614597860712E-2</v>
      </c>
      <c r="AR66" s="208">
        <f>AG66*(1+'Real Cost Escalation'!H$18)</f>
        <v>2.4113934341415233E-2</v>
      </c>
      <c r="AS66" s="56">
        <f>AH66*(1+'Real Cost Escalation'!I$18)</f>
        <v>2.4348147093069601E-2</v>
      </c>
      <c r="AT66" s="207">
        <f t="shared" si="124"/>
        <v>0.16794602307046053</v>
      </c>
      <c r="AU66" s="32"/>
      <c r="AV66" s="586">
        <f t="shared" si="120"/>
        <v>25</v>
      </c>
      <c r="AW66" s="29" t="str">
        <f t="shared" si="121"/>
        <v>Other Non-Distribution System</v>
      </c>
      <c r="AX66" s="32"/>
      <c r="AY66" s="32"/>
      <c r="AZ66" s="207">
        <f t="shared" si="122"/>
        <v>4.8037640135588366E-4</v>
      </c>
      <c r="BA66" s="208">
        <f t="shared" si="122"/>
        <v>2.927506367590843E-4</v>
      </c>
      <c r="BB66" s="208">
        <f t="shared" si="122"/>
        <v>4.6041459786071159E-4</v>
      </c>
      <c r="BC66" s="208">
        <f t="shared" si="122"/>
        <v>6.6773434141523258E-4</v>
      </c>
      <c r="BD66" s="56">
        <f t="shared" si="122"/>
        <v>9.019470930696008E-4</v>
      </c>
      <c r="BE66" s="207">
        <f t="shared" si="125"/>
        <v>2.8032230704605129E-3</v>
      </c>
      <c r="BF66" s="32"/>
    </row>
    <row r="67" spans="1:58" ht="18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29">
        <f>'Capex Model Category Index'!B37</f>
        <v>26</v>
      </c>
      <c r="AA67" s="29" t="str">
        <f>'Capex Model Category Index'!C37</f>
        <v>Large Consumers</v>
      </c>
      <c r="AB67" s="360"/>
      <c r="AC67" s="360"/>
      <c r="AD67" s="595">
        <f>0*$S$6</f>
        <v>0</v>
      </c>
      <c r="AE67" s="595">
        <f t="shared" ref="AE67:AH67" si="126">0*$S$6</f>
        <v>0</v>
      </c>
      <c r="AF67" s="595">
        <f t="shared" si="126"/>
        <v>0</v>
      </c>
      <c r="AG67" s="595">
        <f t="shared" si="126"/>
        <v>0</v>
      </c>
      <c r="AH67" s="595">
        <f t="shared" si="126"/>
        <v>0</v>
      </c>
      <c r="AI67" s="207">
        <f t="shared" si="123"/>
        <v>0</v>
      </c>
      <c r="AJ67" s="32"/>
      <c r="AK67" s="586">
        <f t="shared" si="118"/>
        <v>26</v>
      </c>
      <c r="AL67" s="29" t="str">
        <f t="shared" si="119"/>
        <v>Large Consumers</v>
      </c>
      <c r="AM67" s="360"/>
      <c r="AN67" s="360"/>
      <c r="AO67" s="207">
        <f>AD67*(1+'Real Cost Escalation'!E$18)</f>
        <v>0</v>
      </c>
      <c r="AP67" s="208">
        <f>AE67*(1+'Real Cost Escalation'!F$18)</f>
        <v>0</v>
      </c>
      <c r="AQ67" s="208">
        <f>AF67*(1+'Real Cost Escalation'!G$18)</f>
        <v>0</v>
      </c>
      <c r="AR67" s="208">
        <f>AG67*(1+'Real Cost Escalation'!H$18)</f>
        <v>0</v>
      </c>
      <c r="AS67" s="56">
        <f>AH67*(1+'Real Cost Escalation'!I$18)</f>
        <v>0</v>
      </c>
      <c r="AT67" s="207">
        <f t="shared" si="124"/>
        <v>0</v>
      </c>
      <c r="AU67" s="32"/>
      <c r="AV67" s="586">
        <f t="shared" si="120"/>
        <v>26</v>
      </c>
      <c r="AW67" s="29" t="str">
        <f t="shared" si="121"/>
        <v>Large Consumers</v>
      </c>
      <c r="AX67" s="32"/>
      <c r="AY67" s="32"/>
      <c r="AZ67" s="207">
        <f t="shared" si="122"/>
        <v>0</v>
      </c>
      <c r="BA67" s="208">
        <f t="shared" si="122"/>
        <v>0</v>
      </c>
      <c r="BB67" s="208">
        <f t="shared" si="122"/>
        <v>0</v>
      </c>
      <c r="BC67" s="208">
        <f t="shared" si="122"/>
        <v>0</v>
      </c>
      <c r="BD67" s="56">
        <f t="shared" si="122"/>
        <v>0</v>
      </c>
      <c r="BE67" s="207">
        <f t="shared" si="125"/>
        <v>0</v>
      </c>
      <c r="BF67" s="32"/>
    </row>
    <row r="68" spans="1:58" ht="18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29">
        <f>'Capex Model Category Index'!B38</f>
        <v>27</v>
      </c>
      <c r="AA68" s="29" t="str">
        <f>'Capex Model Category Index'!C38</f>
        <v>Mains Augmentation</v>
      </c>
      <c r="AB68" s="360"/>
      <c r="AC68" s="360"/>
      <c r="AD68" s="595">
        <f>'Business Cases'!M19/1000*$S$6</f>
        <v>0</v>
      </c>
      <c r="AE68" s="595">
        <f>'Business Cases'!N19/1000*$S$6</f>
        <v>0</v>
      </c>
      <c r="AF68" s="595">
        <f>'Business Cases'!O19/1000*$S$6</f>
        <v>0</v>
      </c>
      <c r="AG68" s="595">
        <f>'Business Cases'!P19/1000*$S$6</f>
        <v>0</v>
      </c>
      <c r="AH68" s="595">
        <f>'Business Cases'!Q19/1000*$S$6</f>
        <v>0</v>
      </c>
      <c r="AI68" s="207">
        <f t="shared" si="123"/>
        <v>0</v>
      </c>
      <c r="AJ68" s="32"/>
      <c r="AK68" s="586">
        <f t="shared" si="118"/>
        <v>27</v>
      </c>
      <c r="AL68" s="29" t="str">
        <f t="shared" si="119"/>
        <v>Mains Augmentation</v>
      </c>
      <c r="AM68" s="360"/>
      <c r="AN68" s="360"/>
      <c r="AO68" s="207">
        <f>AD68*(1+'Real Cost Escalation'!E$18)</f>
        <v>0</v>
      </c>
      <c r="AP68" s="208">
        <f>AE68*(1+'Real Cost Escalation'!F$18)</f>
        <v>0</v>
      </c>
      <c r="AQ68" s="208">
        <f>AF68*(1+'Real Cost Escalation'!G$18)</f>
        <v>0</v>
      </c>
      <c r="AR68" s="208">
        <f>AG68*(1+'Real Cost Escalation'!H$18)</f>
        <v>0</v>
      </c>
      <c r="AS68" s="56">
        <f>AH68*(1+'Real Cost Escalation'!I$18)</f>
        <v>0</v>
      </c>
      <c r="AT68" s="207">
        <f t="shared" si="124"/>
        <v>0</v>
      </c>
      <c r="AU68" s="32"/>
      <c r="AV68" s="586">
        <f t="shared" si="120"/>
        <v>27</v>
      </c>
      <c r="AW68" s="29" t="str">
        <f t="shared" si="121"/>
        <v>Mains Augmentation</v>
      </c>
      <c r="AX68" s="32"/>
      <c r="AY68" s="32"/>
      <c r="AZ68" s="207">
        <f t="shared" si="122"/>
        <v>0</v>
      </c>
      <c r="BA68" s="208">
        <f t="shared" si="122"/>
        <v>0</v>
      </c>
      <c r="BB68" s="208">
        <f t="shared" si="122"/>
        <v>0</v>
      </c>
      <c r="BC68" s="208">
        <f t="shared" si="122"/>
        <v>0</v>
      </c>
      <c r="BD68" s="56">
        <f t="shared" si="122"/>
        <v>0</v>
      </c>
      <c r="BE68" s="207">
        <f t="shared" si="125"/>
        <v>0</v>
      </c>
      <c r="BF68" s="32"/>
    </row>
    <row r="69" spans="1:58" ht="18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29">
        <f>'Capex Model Category Index'!B39</f>
        <v>28</v>
      </c>
      <c r="AA69" s="29" t="str">
        <f>'Capex Model Category Index'!C39</f>
        <v>Growth New Areas</v>
      </c>
      <c r="AB69" s="360"/>
      <c r="AC69" s="360"/>
      <c r="AD69" s="595">
        <f>0*$S$6</f>
        <v>0</v>
      </c>
      <c r="AE69" s="595">
        <f t="shared" ref="AE69:AH69" si="127">0*$S$6</f>
        <v>0</v>
      </c>
      <c r="AF69" s="595">
        <f t="shared" si="127"/>
        <v>0</v>
      </c>
      <c r="AG69" s="595">
        <f t="shared" si="127"/>
        <v>0</v>
      </c>
      <c r="AH69" s="595">
        <f t="shared" si="127"/>
        <v>0</v>
      </c>
      <c r="AI69" s="215">
        <f t="shared" si="123"/>
        <v>0</v>
      </c>
      <c r="AJ69" s="32"/>
      <c r="AK69" s="586">
        <f t="shared" si="118"/>
        <v>28</v>
      </c>
      <c r="AL69" s="29" t="str">
        <f t="shared" si="119"/>
        <v>Growth New Areas</v>
      </c>
      <c r="AM69" s="360"/>
      <c r="AN69" s="360"/>
      <c r="AO69" s="207">
        <f>AD69*(1+'Real Cost Escalation'!E$18)</f>
        <v>0</v>
      </c>
      <c r="AP69" s="208">
        <f>AE69*(1+'Real Cost Escalation'!F$18)</f>
        <v>0</v>
      </c>
      <c r="AQ69" s="208">
        <f>AF69*(1+'Real Cost Escalation'!G$18)</f>
        <v>0</v>
      </c>
      <c r="AR69" s="208">
        <f>AG69*(1+'Real Cost Escalation'!H$18)</f>
        <v>0</v>
      </c>
      <c r="AS69" s="56">
        <f>AH69*(1+'Real Cost Escalation'!I$18)</f>
        <v>0</v>
      </c>
      <c r="AT69" s="215">
        <f t="shared" si="124"/>
        <v>0</v>
      </c>
      <c r="AU69" s="32"/>
      <c r="AV69" s="586">
        <f t="shared" si="120"/>
        <v>28</v>
      </c>
      <c r="AW69" s="29" t="str">
        <f t="shared" si="121"/>
        <v>Growth New Areas</v>
      </c>
      <c r="AX69" s="32"/>
      <c r="AY69" s="32"/>
      <c r="AZ69" s="207">
        <f t="shared" si="122"/>
        <v>0</v>
      </c>
      <c r="BA69" s="208">
        <f t="shared" si="122"/>
        <v>0</v>
      </c>
      <c r="BB69" s="208">
        <f t="shared" si="122"/>
        <v>0</v>
      </c>
      <c r="BC69" s="208">
        <f t="shared" si="122"/>
        <v>0</v>
      </c>
      <c r="BD69" s="56">
        <f t="shared" si="122"/>
        <v>0</v>
      </c>
      <c r="BE69" s="215">
        <f t="shared" si="125"/>
        <v>0</v>
      </c>
      <c r="BF69" s="32"/>
    </row>
    <row r="70" spans="1:58" ht="18" customHeight="1" thickBo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24"/>
      <c r="AA70" s="24" t="s">
        <v>92</v>
      </c>
      <c r="AB70" s="266"/>
      <c r="AC70" s="266"/>
      <c r="AD70" s="209">
        <f>SUM(AD62:AD69)</f>
        <v>0.45957495126998699</v>
      </c>
      <c r="AE70" s="210">
        <f t="shared" ref="AE70:AI70" si="128">SUM(AE62:AE69)</f>
        <v>0.92023046758779636</v>
      </c>
      <c r="AF70" s="210">
        <f t="shared" si="128"/>
        <v>0.65933501095071789</v>
      </c>
      <c r="AG70" s="210">
        <f t="shared" si="128"/>
        <v>0.35782384229669029</v>
      </c>
      <c r="AH70" s="211">
        <f t="shared" si="128"/>
        <v>0.22925777855260746</v>
      </c>
      <c r="AI70" s="210">
        <f t="shared" si="128"/>
        <v>2.6262220506577991</v>
      </c>
      <c r="AJ70" s="32"/>
      <c r="AK70" s="24"/>
      <c r="AL70" s="24" t="str">
        <f>AA70</f>
        <v>Total</v>
      </c>
      <c r="AM70" s="266"/>
      <c r="AN70" s="266"/>
      <c r="AO70" s="209">
        <f>SUM(AO62:AO69)</f>
        <v>0.46266877342369617</v>
      </c>
      <c r="AP70" s="210">
        <f t="shared" ref="AP70:AT70" si="129">SUM(AP62:AP69)</f>
        <v>0.93172051950885137</v>
      </c>
      <c r="AQ70" s="210">
        <f t="shared" si="129"/>
        <v>0.67228241666773647</v>
      </c>
      <c r="AR70" s="210">
        <f t="shared" si="129"/>
        <v>0.36801446029357887</v>
      </c>
      <c r="AS70" s="211">
        <f t="shared" si="129"/>
        <v>0.23807704934826382</v>
      </c>
      <c r="AT70" s="325">
        <f t="shared" si="129"/>
        <v>2.6727632192421265</v>
      </c>
      <c r="AU70" s="32"/>
      <c r="AV70" s="24"/>
      <c r="AW70" s="24" t="str">
        <f>AL70</f>
        <v>Total</v>
      </c>
      <c r="AX70" s="22"/>
      <c r="AY70" s="22"/>
      <c r="AZ70" s="209">
        <f>SUM(AZ62:AZ69)</f>
        <v>3.093822153709222E-3</v>
      </c>
      <c r="BA70" s="210">
        <f t="shared" ref="BA70:BD70" si="130">SUM(BA62:BA69)</f>
        <v>1.14900519210549E-2</v>
      </c>
      <c r="BB70" s="210">
        <f t="shared" si="130"/>
        <v>1.2947405717018676E-2</v>
      </c>
      <c r="BC70" s="210">
        <f t="shared" si="130"/>
        <v>1.0190617996888543E-2</v>
      </c>
      <c r="BD70" s="211">
        <f t="shared" si="130"/>
        <v>8.8192707956563712E-3</v>
      </c>
      <c r="BE70" s="325">
        <f>SUM(BE62:BE69)</f>
        <v>4.6541168584327712E-2</v>
      </c>
      <c r="BF70" s="32"/>
    </row>
    <row r="71" spans="1:58" ht="18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525"/>
      <c r="AA71" s="530"/>
      <c r="AB71" s="528"/>
      <c r="AC71" s="528"/>
      <c r="AD71" s="529"/>
      <c r="AE71" s="529"/>
      <c r="AF71" s="529"/>
      <c r="AG71" s="529"/>
      <c r="AH71" s="529"/>
      <c r="AI71" s="529"/>
      <c r="AJ71" s="32"/>
      <c r="AK71" s="525"/>
      <c r="AL71" s="525"/>
      <c r="AM71" s="526"/>
      <c r="AN71" s="526"/>
      <c r="AO71" s="527"/>
      <c r="AP71" s="527"/>
      <c r="AQ71" s="527"/>
      <c r="AR71" s="527"/>
      <c r="AS71" s="527"/>
      <c r="AT71" s="527"/>
      <c r="AU71" s="32"/>
      <c r="AV71" s="525"/>
      <c r="AW71" s="525"/>
      <c r="AX71" s="526"/>
      <c r="AY71" s="526"/>
      <c r="AZ71" s="527"/>
      <c r="BA71" s="527"/>
      <c r="BB71" s="527"/>
      <c r="BC71" s="527"/>
      <c r="BD71" s="527"/>
      <c r="BE71" s="527"/>
      <c r="BF71" s="32"/>
    </row>
    <row r="72" spans="1:58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pans="1:58" ht="24" customHeight="1" x14ac:dyDescent="0.2">
      <c r="A73" s="66"/>
      <c r="B73" s="315" t="s">
        <v>258</v>
      </c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5"/>
      <c r="BE73" s="315"/>
      <c r="BF73" s="32"/>
    </row>
    <row r="74" spans="1:58" x14ac:dyDescent="0.2">
      <c r="A74" s="6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</row>
    <row r="75" spans="1:58" ht="22.5" x14ac:dyDescent="0.2">
      <c r="A75" s="66"/>
      <c r="B75" s="66" t="s">
        <v>257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66" t="s">
        <v>257</v>
      </c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32"/>
      <c r="Z75" s="10" t="s">
        <v>442</v>
      </c>
      <c r="AA75" s="11"/>
      <c r="AB75" s="301"/>
      <c r="AC75" s="8"/>
      <c r="AD75" s="5">
        <v>2018</v>
      </c>
      <c r="AE75" s="4">
        <v>2019</v>
      </c>
      <c r="AF75" s="4">
        <v>2020</v>
      </c>
      <c r="AG75" s="4">
        <v>2021</v>
      </c>
      <c r="AH75" s="6">
        <v>2022</v>
      </c>
      <c r="AI75" s="301" t="s">
        <v>73</v>
      </c>
      <c r="AJ75" s="32"/>
      <c r="AK75" s="10" t="s">
        <v>244</v>
      </c>
      <c r="AL75" s="11"/>
      <c r="AM75" s="3"/>
      <c r="AN75" s="4"/>
      <c r="AO75" s="5">
        <v>2018</v>
      </c>
      <c r="AP75" s="4">
        <v>2019</v>
      </c>
      <c r="AQ75" s="4">
        <v>2020</v>
      </c>
      <c r="AR75" s="4">
        <v>2021</v>
      </c>
      <c r="AS75" s="6">
        <v>2022</v>
      </c>
      <c r="AT75" s="301" t="s">
        <v>73</v>
      </c>
      <c r="AU75" s="32"/>
      <c r="AV75" s="10" t="s">
        <v>64</v>
      </c>
      <c r="AW75" s="11"/>
      <c r="AX75" s="3"/>
      <c r="AY75" s="4"/>
      <c r="AZ75" s="5">
        <v>2018</v>
      </c>
      <c r="BA75" s="4">
        <v>2019</v>
      </c>
      <c r="BB75" s="4">
        <v>2020</v>
      </c>
      <c r="BC75" s="4">
        <v>2021</v>
      </c>
      <c r="BD75" s="6">
        <v>2022</v>
      </c>
      <c r="BE75" s="301" t="s">
        <v>73</v>
      </c>
      <c r="BF75" s="32"/>
    </row>
    <row r="76" spans="1:58" ht="18" customHeight="1" thickBot="1" x14ac:dyDescent="0.25">
      <c r="A76" s="6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4"/>
      <c r="AA76" s="324"/>
      <c r="AB76" s="210"/>
      <c r="AC76" s="210"/>
      <c r="AD76" s="209">
        <f>AD70+AD55+AD46+AD39+AD31+AD25+AD12</f>
        <v>2.1747524336326656</v>
      </c>
      <c r="AE76" s="210">
        <f t="shared" ref="AE76:AH76" si="131">AE70+AE55+AE46+AE39+AE31+AE25+AE12</f>
        <v>2.6542671619244378</v>
      </c>
      <c r="AF76" s="210">
        <f t="shared" si="131"/>
        <v>2.4125440165223329</v>
      </c>
      <c r="AG76" s="210">
        <f t="shared" si="131"/>
        <v>2.0073712360114282</v>
      </c>
      <c r="AH76" s="210">
        <f t="shared" si="131"/>
        <v>1.8986205660428654</v>
      </c>
      <c r="AI76" s="209">
        <f>SUM(AD76:AH76)</f>
        <v>11.147555414133729</v>
      </c>
      <c r="AJ76" s="32"/>
      <c r="AK76" s="324"/>
      <c r="AL76" s="324"/>
      <c r="AM76" s="324"/>
      <c r="AN76" s="324"/>
      <c r="AO76" s="209">
        <f>AO12+AO25+AO31+AO39+AO46+AO55+AO70</f>
        <v>2.1869786547962571</v>
      </c>
      <c r="AP76" s="210">
        <f>AP12+AP25+AP31+AP39+AP46+AP55+AP70</f>
        <v>2.6816138373324412</v>
      </c>
      <c r="AQ76" s="210">
        <f>AQ12+AQ25+AQ31+AQ39+AQ46+AQ55+AQ70</f>
        <v>2.4514950094547379</v>
      </c>
      <c r="AR76" s="210">
        <f>AR12+AR25+AR31+AR39+AR46+AR55+AR70</f>
        <v>2.0645400185968352</v>
      </c>
      <c r="AS76" s="211">
        <f>AS12+AS25+AS31+AS39+AS46+AS55+AS70</f>
        <v>1.971658213951035</v>
      </c>
      <c r="AT76" s="209">
        <f>SUM(AO76:AS76)</f>
        <v>11.356285734131305</v>
      </c>
      <c r="AU76" s="32"/>
      <c r="AV76" s="324"/>
      <c r="AW76" s="324"/>
      <c r="AX76" s="324"/>
      <c r="AY76" s="324"/>
      <c r="AZ76" s="209">
        <f>AO76-AD76</f>
        <v>1.2226221163591511E-2</v>
      </c>
      <c r="BA76" s="210">
        <f>AP76-AE76</f>
        <v>2.7346675408003396E-2</v>
      </c>
      <c r="BB76" s="210">
        <f>AQ76-AF76</f>
        <v>3.8950992932405004E-2</v>
      </c>
      <c r="BC76" s="210">
        <f>AR76-AG76</f>
        <v>5.716878258540703E-2</v>
      </c>
      <c r="BD76" s="211">
        <f>AS76-AH76</f>
        <v>7.3037647908169578E-2</v>
      </c>
      <c r="BE76" s="209">
        <f>SUM(AZ76:BD76)</f>
        <v>0.20873031999757652</v>
      </c>
      <c r="BF76" s="32"/>
    </row>
    <row r="77" spans="1:58" x14ac:dyDescent="0.2">
      <c r="A77" s="6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pans="1:58" x14ac:dyDescent="0.2">
      <c r="A78" s="66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</row>
    <row r="79" spans="1:58" x14ac:dyDescent="0.2">
      <c r="A79" s="66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58" x14ac:dyDescent="0.2">
      <c r="A80" s="6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</sheetData>
  <hyperlinks>
    <hyperlink ref="B3" location="Contents!A1" display="Contents!A1"/>
  </hyperlinks>
  <pageMargins left="0.7" right="0.7" top="0.75" bottom="0.75" header="0.3" footer="0.3"/>
  <pageSetup paperSize="8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9"/>
  <sheetViews>
    <sheetView zoomScale="80" zoomScaleNormal="80" workbookViewId="0">
      <selection activeCell="S54" sqref="S54"/>
    </sheetView>
  </sheetViews>
  <sheetFormatPr defaultRowHeight="14.25" x14ac:dyDescent="0.2"/>
  <cols>
    <col min="1" max="1" width="2.28515625" style="44" customWidth="1"/>
    <col min="2" max="2" width="4.42578125" style="44" customWidth="1"/>
    <col min="3" max="3" width="41.85546875" style="44" bestFit="1" customWidth="1"/>
    <col min="4" max="4" width="11" style="44" customWidth="1"/>
    <col min="5" max="5" width="9.7109375" style="44" customWidth="1"/>
    <col min="6" max="6" width="9.5703125" style="44" bestFit="1" customWidth="1"/>
    <col min="7" max="7" width="8.85546875" style="44" customWidth="1"/>
    <col min="8" max="10" width="9.5703125" style="44" bestFit="1" customWidth="1"/>
    <col min="11" max="11" width="13" style="44" customWidth="1"/>
    <col min="12" max="12" width="49.140625" style="44" customWidth="1"/>
    <col min="13" max="13" width="3" style="44" customWidth="1"/>
    <col min="14" max="14" width="3.42578125" style="44" customWidth="1"/>
    <col min="15" max="15" width="41.85546875" style="44" bestFit="1" customWidth="1"/>
    <col min="16" max="17" width="9.28515625" style="44" bestFit="1" customWidth="1"/>
    <col min="18" max="18" width="12.42578125" style="44" bestFit="1" customWidth="1"/>
    <col min="19" max="19" width="9.85546875" style="44" bestFit="1" customWidth="1"/>
    <col min="20" max="20" width="10.140625" style="44" customWidth="1"/>
    <col min="21" max="22" width="9.85546875" style="44" bestFit="1" customWidth="1"/>
    <col min="23" max="23" width="12.140625" style="44" customWidth="1"/>
    <col min="24" max="24" width="33.85546875" style="44" customWidth="1"/>
    <col min="25" max="25" width="2.5703125" style="44" customWidth="1"/>
    <col min="26" max="26" width="4.140625" style="44" customWidth="1"/>
    <col min="27" max="27" width="41.85546875" style="44" bestFit="1" customWidth="1"/>
    <col min="28" max="28" width="10.85546875" style="44" bestFit="1" customWidth="1"/>
    <col min="29" max="29" width="32.140625" style="44" bestFit="1" customWidth="1"/>
    <col min="30" max="34" width="9.85546875" style="44" bestFit="1" customWidth="1"/>
    <col min="35" max="35" width="10.7109375" style="44" bestFit="1" customWidth="1"/>
    <col min="36" max="36" width="4.28515625" style="44" customWidth="1"/>
    <col min="37" max="37" width="4.5703125" style="44" customWidth="1"/>
    <col min="38" max="38" width="42" style="44" customWidth="1"/>
    <col min="39" max="40" width="9.140625" style="44"/>
    <col min="41" max="41" width="9.7109375" style="44" customWidth="1"/>
    <col min="42" max="45" width="9.140625" style="44"/>
    <col min="46" max="46" width="10.28515625" style="44" customWidth="1"/>
    <col min="47" max="47" width="3.7109375" style="44" customWidth="1"/>
    <col min="48" max="48" width="3.5703125" style="44" customWidth="1"/>
    <col min="49" max="49" width="32" style="44" bestFit="1" customWidth="1"/>
    <col min="50" max="56" width="9.140625" style="44"/>
    <col min="57" max="57" width="11.140625" style="44" customWidth="1"/>
    <col min="58" max="58" width="3.140625" style="44" customWidth="1"/>
    <col min="59" max="16384" width="9.140625" style="44"/>
  </cols>
  <sheetData>
    <row r="1" spans="1:5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 ht="27.95" customHeight="1" x14ac:dyDescent="0.25">
      <c r="A2" s="63"/>
      <c r="B2" s="64" t="s">
        <v>369</v>
      </c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32"/>
    </row>
    <row r="3" spans="1:58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32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32"/>
    </row>
    <row r="4" spans="1:58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32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32"/>
    </row>
    <row r="5" spans="1:58" s="67" customFormat="1" ht="24" customHeight="1" x14ac:dyDescent="0.2">
      <c r="A5" s="66"/>
      <c r="B5" s="315" t="s">
        <v>232</v>
      </c>
      <c r="C5" s="315"/>
      <c r="D5" s="316"/>
      <c r="E5" s="316"/>
      <c r="F5" s="316"/>
      <c r="G5" s="316"/>
      <c r="H5" s="316"/>
      <c r="I5" s="316"/>
      <c r="J5" s="316"/>
      <c r="K5" s="316"/>
      <c r="L5" s="316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2"/>
    </row>
    <row r="6" spans="1:58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32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32"/>
    </row>
    <row r="7" spans="1:58" s="67" customFormat="1" ht="24.75" customHeight="1" x14ac:dyDescent="0.2">
      <c r="A7" s="66"/>
      <c r="B7" s="354" t="s">
        <v>185</v>
      </c>
      <c r="C7" s="354"/>
      <c r="D7" s="355"/>
      <c r="E7" s="355"/>
      <c r="F7" s="355"/>
      <c r="G7" s="355"/>
      <c r="H7" s="355"/>
      <c r="I7" s="355"/>
      <c r="J7" s="355"/>
      <c r="K7" s="355"/>
      <c r="L7" s="355"/>
      <c r="M7" s="32"/>
      <c r="N7" s="354" t="s">
        <v>181</v>
      </c>
      <c r="O7" s="354"/>
      <c r="P7" s="355"/>
      <c r="Q7" s="355"/>
      <c r="R7" s="355"/>
      <c r="S7" s="355"/>
      <c r="T7" s="355"/>
      <c r="U7" s="355"/>
      <c r="V7" s="355"/>
      <c r="W7" s="355"/>
      <c r="X7" s="355"/>
      <c r="Y7" s="66"/>
      <c r="Z7" s="354" t="s">
        <v>198</v>
      </c>
      <c r="AA7" s="354"/>
      <c r="AB7" s="355"/>
      <c r="AC7" s="355"/>
      <c r="AD7" s="355"/>
      <c r="AE7" s="355"/>
      <c r="AF7" s="355"/>
      <c r="AG7" s="355"/>
      <c r="AH7" s="355"/>
      <c r="AI7" s="355"/>
      <c r="AJ7" s="32"/>
      <c r="AK7" s="354" t="s">
        <v>234</v>
      </c>
      <c r="AL7" s="354"/>
      <c r="AM7" s="355"/>
      <c r="AN7" s="355"/>
      <c r="AO7" s="355"/>
      <c r="AP7" s="355"/>
      <c r="AQ7" s="355"/>
      <c r="AR7" s="355"/>
      <c r="AS7" s="355"/>
      <c r="AT7" s="355"/>
      <c r="AU7" s="66"/>
      <c r="AV7" s="354" t="s">
        <v>245</v>
      </c>
      <c r="AW7" s="354"/>
      <c r="AX7" s="355"/>
      <c r="AY7" s="355"/>
      <c r="AZ7" s="355"/>
      <c r="BA7" s="355"/>
      <c r="BB7" s="355"/>
      <c r="BC7" s="355"/>
      <c r="BD7" s="355"/>
      <c r="BE7" s="355"/>
      <c r="BF7" s="32"/>
    </row>
    <row r="8" spans="1:58" s="67" customFormat="1" ht="18" customHeight="1" x14ac:dyDescent="0.2">
      <c r="A8" s="66"/>
      <c r="B8" s="72"/>
      <c r="C8" s="73"/>
      <c r="D8" s="12"/>
      <c r="E8" s="12"/>
      <c r="F8" s="12"/>
      <c r="G8" s="12"/>
      <c r="H8" s="12"/>
      <c r="I8" s="12"/>
      <c r="J8" s="12"/>
      <c r="K8" s="12"/>
      <c r="L8" s="12"/>
      <c r="M8" s="32"/>
      <c r="N8" s="72"/>
      <c r="O8" s="73"/>
      <c r="P8" s="12"/>
      <c r="Q8" s="12"/>
      <c r="R8" s="12"/>
      <c r="S8" s="12"/>
      <c r="T8" s="12"/>
      <c r="U8" s="12"/>
      <c r="V8" s="12"/>
      <c r="W8" s="12"/>
      <c r="X8" s="12"/>
      <c r="Y8" s="66"/>
      <c r="Z8" s="72"/>
      <c r="AA8" s="73"/>
      <c r="AB8" s="12"/>
      <c r="AC8" s="12"/>
      <c r="AD8" s="12"/>
      <c r="AE8" s="12"/>
      <c r="AF8" s="12"/>
      <c r="AG8" s="12"/>
      <c r="AH8" s="12"/>
      <c r="AI8" s="12"/>
      <c r="AJ8" s="32"/>
      <c r="AK8" s="72"/>
      <c r="AL8" s="73"/>
      <c r="AM8" s="12"/>
      <c r="AN8" s="12"/>
      <c r="AO8" s="12"/>
      <c r="AP8" s="12"/>
      <c r="AQ8" s="12"/>
      <c r="AR8" s="12"/>
      <c r="AS8" s="12"/>
      <c r="AT8" s="12"/>
      <c r="AU8" s="66"/>
      <c r="AV8" s="72"/>
      <c r="AW8" s="73"/>
      <c r="AX8" s="12"/>
      <c r="AY8" s="12"/>
      <c r="AZ8" s="12"/>
      <c r="BA8" s="12"/>
      <c r="BB8" s="12"/>
      <c r="BC8" s="12"/>
      <c r="BD8" s="12"/>
      <c r="BE8" s="12"/>
      <c r="BF8" s="32"/>
    </row>
    <row r="9" spans="1:58" s="67" customFormat="1" ht="22.5" x14ac:dyDescent="0.2">
      <c r="A9" s="66"/>
      <c r="B9" s="10" t="s">
        <v>76</v>
      </c>
      <c r="C9" s="11"/>
      <c r="D9" s="3"/>
      <c r="E9" s="4"/>
      <c r="F9" s="7">
        <v>2018</v>
      </c>
      <c r="G9" s="8">
        <v>2019</v>
      </c>
      <c r="H9" s="8">
        <v>2020</v>
      </c>
      <c r="I9" s="8">
        <v>2021</v>
      </c>
      <c r="J9" s="9">
        <v>2022</v>
      </c>
      <c r="K9" s="3" t="s">
        <v>73</v>
      </c>
      <c r="L9" s="30" t="s">
        <v>100</v>
      </c>
      <c r="M9" s="32"/>
      <c r="N9" s="10" t="s">
        <v>174</v>
      </c>
      <c r="O9" s="11"/>
      <c r="P9" s="3"/>
      <c r="Q9" s="3"/>
      <c r="R9" s="30">
        <f t="shared" ref="R9:X9" si="0">F9</f>
        <v>2018</v>
      </c>
      <c r="S9" s="3">
        <f t="shared" si="0"/>
        <v>2019</v>
      </c>
      <c r="T9" s="3">
        <f t="shared" si="0"/>
        <v>2020</v>
      </c>
      <c r="U9" s="3">
        <f t="shared" si="0"/>
        <v>2021</v>
      </c>
      <c r="V9" s="31">
        <f t="shared" si="0"/>
        <v>2022</v>
      </c>
      <c r="W9" s="3" t="str">
        <f t="shared" si="0"/>
        <v>Total for 
2018-2022</v>
      </c>
      <c r="X9" s="30" t="str">
        <f t="shared" si="0"/>
        <v>Source</v>
      </c>
      <c r="Y9" s="32"/>
      <c r="Z9" s="184"/>
      <c r="AA9" s="356"/>
      <c r="AB9" s="301"/>
      <c r="AC9" s="8"/>
      <c r="AD9" s="5">
        <f t="shared" ref="AD9:AI9" si="1">R9</f>
        <v>2018</v>
      </c>
      <c r="AE9" s="4">
        <f t="shared" si="1"/>
        <v>2019</v>
      </c>
      <c r="AF9" s="4">
        <f t="shared" si="1"/>
        <v>2020</v>
      </c>
      <c r="AG9" s="4">
        <f t="shared" si="1"/>
        <v>2021</v>
      </c>
      <c r="AH9" s="6">
        <f t="shared" si="1"/>
        <v>2022</v>
      </c>
      <c r="AI9" s="3" t="str">
        <f t="shared" si="1"/>
        <v>Total for 
2018-2022</v>
      </c>
      <c r="AJ9" s="32"/>
      <c r="AK9" s="10"/>
      <c r="AL9" s="11"/>
      <c r="AM9" s="3"/>
      <c r="AN9" s="4"/>
      <c r="AO9" s="5">
        <f t="shared" ref="AO9:AT9" si="2">AD9</f>
        <v>2018</v>
      </c>
      <c r="AP9" s="4">
        <f t="shared" si="2"/>
        <v>2019</v>
      </c>
      <c r="AQ9" s="4">
        <f t="shared" si="2"/>
        <v>2020</v>
      </c>
      <c r="AR9" s="4">
        <f t="shared" si="2"/>
        <v>2021</v>
      </c>
      <c r="AS9" s="6">
        <f t="shared" si="2"/>
        <v>2022</v>
      </c>
      <c r="AT9" s="3" t="str">
        <f t="shared" si="2"/>
        <v>Total for 
2018-2022</v>
      </c>
      <c r="AU9" s="66"/>
      <c r="AV9" s="184"/>
      <c r="AW9" s="356"/>
      <c r="AX9" s="301"/>
      <c r="AY9" s="8"/>
      <c r="AZ9" s="5">
        <f t="shared" ref="AZ9:BE9" si="3">AO9</f>
        <v>2018</v>
      </c>
      <c r="BA9" s="4">
        <f t="shared" si="3"/>
        <v>2019</v>
      </c>
      <c r="BB9" s="4">
        <f t="shared" si="3"/>
        <v>2020</v>
      </c>
      <c r="BC9" s="4">
        <f t="shared" si="3"/>
        <v>2021</v>
      </c>
      <c r="BD9" s="6">
        <f t="shared" si="3"/>
        <v>2022</v>
      </c>
      <c r="BE9" s="3" t="str">
        <f t="shared" si="3"/>
        <v>Total for 
2018-2022</v>
      </c>
      <c r="BF9" s="32"/>
    </row>
    <row r="10" spans="1:58" s="67" customFormat="1" ht="18" customHeight="1" x14ac:dyDescent="0.2">
      <c r="A10" s="66"/>
      <c r="B10" s="29" t="str">
        <f>'Capex Model Category Index'!B8</f>
        <v>01</v>
      </c>
      <c r="C10" s="29" t="str">
        <f>'Capex Model Category Index'!C8</f>
        <v>Meter Replacement - Meters &lt; 25m3</v>
      </c>
      <c r="D10" s="15"/>
      <c r="E10" s="15"/>
      <c r="F10" s="624" t="s">
        <v>445</v>
      </c>
      <c r="G10" s="625" t="s">
        <v>445</v>
      </c>
      <c r="H10" s="625" t="s">
        <v>445</v>
      </c>
      <c r="I10" s="625" t="s">
        <v>445</v>
      </c>
      <c r="J10" s="626" t="s">
        <v>445</v>
      </c>
      <c r="K10" s="14">
        <v>152621</v>
      </c>
      <c r="L10" s="409" t="str">
        <f>'Capex Category Summary (Alb)'!L10</f>
        <v>Attachment 8.3 Meter Replacement Plan</v>
      </c>
      <c r="M10" s="32"/>
      <c r="N10" s="29" t="str">
        <f>B10</f>
        <v>01</v>
      </c>
      <c r="O10" s="29" t="str">
        <f>C10</f>
        <v>Meter Replacement - Meters &lt; 25m3</v>
      </c>
      <c r="P10" s="41"/>
      <c r="Q10" s="41"/>
      <c r="R10" s="640" t="s">
        <v>445</v>
      </c>
      <c r="S10" s="634" t="s">
        <v>445</v>
      </c>
      <c r="T10" s="634" t="s">
        <v>445</v>
      </c>
      <c r="U10" s="634" t="s">
        <v>445</v>
      </c>
      <c r="V10" s="639" t="s">
        <v>445</v>
      </c>
      <c r="W10" s="62"/>
      <c r="X10" s="409" t="str">
        <f>'Capex Category Summary (Alb)'!X10</f>
        <v>Attachment 8.4 Unit Rates Forecast</v>
      </c>
      <c r="Y10" s="32"/>
      <c r="Z10" s="358" t="str">
        <f>B10</f>
        <v>01</v>
      </c>
      <c r="AA10" s="358" t="str">
        <f>C10</f>
        <v>Meter Replacement - Meters &lt; 25m3</v>
      </c>
      <c r="AB10" s="213"/>
      <c r="AC10" s="214"/>
      <c r="AD10" s="208">
        <v>5.0259851980000008</v>
      </c>
      <c r="AE10" s="208">
        <v>5.0259851980000008</v>
      </c>
      <c r="AF10" s="208">
        <v>5.0259851980000008</v>
      </c>
      <c r="AG10" s="208">
        <v>2.5738422840000004</v>
      </c>
      <c r="AH10" s="56">
        <v>2.5738422840000004</v>
      </c>
      <c r="AI10" s="212">
        <f>SUM(AD10:AH10)</f>
        <v>20.225640162000005</v>
      </c>
      <c r="AJ10" s="32"/>
      <c r="AK10" s="29" t="str">
        <f>N10</f>
        <v>01</v>
      </c>
      <c r="AL10" s="29" t="str">
        <f>O10</f>
        <v>Meter Replacement - Meters &lt; 25m3</v>
      </c>
      <c r="AM10" s="212"/>
      <c r="AN10" s="212"/>
      <c r="AO10" s="207">
        <f>AD10*(1-'Real Cost Escalation'!E$25)</f>
        <v>5.0259851980000008</v>
      </c>
      <c r="AP10" s="208">
        <f>AE10*(1-'Real Cost Escalation'!F$25)</f>
        <v>5.0079670410651707</v>
      </c>
      <c r="AQ10" s="208">
        <f>AF10*(1-'Real Cost Escalation'!G$25)</f>
        <v>5.0079024459725598</v>
      </c>
      <c r="AR10" s="208">
        <f>AG10*(1+'Real Cost Escalation'!H$18)</f>
        <v>2.6471438374463334</v>
      </c>
      <c r="AS10" s="56">
        <f>AH10*(1+'Real Cost Escalation'!I$18)</f>
        <v>2.6728548986699008</v>
      </c>
      <c r="AT10" s="212">
        <f>SUM(AO10:AS10)</f>
        <v>20.361853421153967</v>
      </c>
      <c r="AU10" s="66"/>
      <c r="AV10" s="358" t="str">
        <f>Z10</f>
        <v>01</v>
      </c>
      <c r="AW10" s="358" t="str">
        <f>AA10</f>
        <v>Meter Replacement - Meters &lt; 25m3</v>
      </c>
      <c r="AX10" s="213"/>
      <c r="AY10" s="214"/>
      <c r="AZ10" s="208">
        <f t="shared" ref="AZ10:BD11" si="4">AO10-AD10</f>
        <v>0</v>
      </c>
      <c r="BA10" s="208">
        <f t="shared" si="4"/>
        <v>-1.801815693483011E-2</v>
      </c>
      <c r="BB10" s="208">
        <f t="shared" si="4"/>
        <v>-1.8082752027440918E-2</v>
      </c>
      <c r="BC10" s="208">
        <f t="shared" si="4"/>
        <v>7.3301553446333045E-2</v>
      </c>
      <c r="BD10" s="56">
        <f t="shared" si="4"/>
        <v>9.9012614669900412E-2</v>
      </c>
      <c r="BE10" s="212">
        <f>SUM(AZ10:BD10)</f>
        <v>0.13621325915396243</v>
      </c>
      <c r="BF10" s="32"/>
    </row>
    <row r="11" spans="1:58" s="67" customFormat="1" ht="18" customHeight="1" x14ac:dyDescent="0.2">
      <c r="A11" s="66"/>
      <c r="B11" s="29" t="str">
        <f>'Capex Model Category Index'!B9</f>
        <v>02</v>
      </c>
      <c r="C11" s="29" t="str">
        <f>'Capex Model Category Index'!C9</f>
        <v>Meter Replacement - Meters &gt; 25m3</v>
      </c>
      <c r="D11" s="15"/>
      <c r="E11" s="15"/>
      <c r="F11" s="627" t="s">
        <v>445</v>
      </c>
      <c r="G11" s="628" t="s">
        <v>445</v>
      </c>
      <c r="H11" s="628" t="s">
        <v>445</v>
      </c>
      <c r="I11" s="628" t="s">
        <v>445</v>
      </c>
      <c r="J11" s="629" t="s">
        <v>445</v>
      </c>
      <c r="K11" s="17">
        <v>7055</v>
      </c>
      <c r="L11" s="409" t="str">
        <f>'Capex Category Summary (Alb)'!L11</f>
        <v>Attachment 8.3 Meter Replacement Plan</v>
      </c>
      <c r="M11" s="32"/>
      <c r="N11" s="359" t="str">
        <f>B11</f>
        <v>02</v>
      </c>
      <c r="O11" s="359" t="str">
        <f>C11</f>
        <v>Meter Replacement - Meters &gt; 25m3</v>
      </c>
      <c r="P11" s="507"/>
      <c r="Q11" s="507"/>
      <c r="R11" s="641" t="s">
        <v>445</v>
      </c>
      <c r="S11" s="638" t="s">
        <v>445</v>
      </c>
      <c r="T11" s="638" t="s">
        <v>445</v>
      </c>
      <c r="U11" s="638" t="s">
        <v>445</v>
      </c>
      <c r="V11" s="642" t="s">
        <v>445</v>
      </c>
      <c r="W11" s="507"/>
      <c r="X11" s="509" t="str">
        <f>'Capex Category Summary (Alb)'!X11</f>
        <v>Attachment 8.4 Unit Rates Forecast</v>
      </c>
      <c r="Y11" s="32"/>
      <c r="Z11" s="359" t="str">
        <f>B11</f>
        <v>02</v>
      </c>
      <c r="AA11" s="359" t="str">
        <f>C11</f>
        <v>Meter Replacement - Meters &gt; 25m3</v>
      </c>
      <c r="AB11" s="216"/>
      <c r="AC11" s="217"/>
      <c r="AD11" s="208">
        <v>2.469368116113106</v>
      </c>
      <c r="AE11" s="208">
        <v>2.469368116113106</v>
      </c>
      <c r="AF11" s="208">
        <v>2.469368116113106</v>
      </c>
      <c r="AG11" s="208">
        <v>2.469368116113106</v>
      </c>
      <c r="AH11" s="56">
        <v>2.469368116113106</v>
      </c>
      <c r="AI11" s="212">
        <f>SUM(AD11:AH11)</f>
        <v>12.34684058056553</v>
      </c>
      <c r="AJ11" s="32"/>
      <c r="AK11" s="29" t="str">
        <f>N11</f>
        <v>02</v>
      </c>
      <c r="AL11" s="29" t="str">
        <f>O11</f>
        <v>Meter Replacement - Meters &gt; 25m3</v>
      </c>
      <c r="AM11" s="212"/>
      <c r="AN11" s="212"/>
      <c r="AO11" s="207">
        <f>AD11*(1+'Real Cost Escalation'!E$18)</f>
        <v>2.4859917065898762</v>
      </c>
      <c r="AP11" s="208">
        <f>AE11*(1+'Real Cost Escalation'!F$18)</f>
        <v>2.500200792128183</v>
      </c>
      <c r="AQ11" s="208">
        <f>AF11*(1+'Real Cost Escalation'!G$18)</f>
        <v>2.5178592630004601</v>
      </c>
      <c r="AR11" s="208">
        <f>AG11*(1+'Real Cost Escalation'!H$18)</f>
        <v>2.5396943051213272</v>
      </c>
      <c r="AS11" s="56">
        <f>AH11*(1+'Real Cost Escalation'!I$18)</f>
        <v>2.5643617352943369</v>
      </c>
      <c r="AT11" s="212">
        <f>SUM(AO11:AS11)</f>
        <v>12.608107802134185</v>
      </c>
      <c r="AU11" s="66"/>
      <c r="AV11" s="359" t="str">
        <f>Z11</f>
        <v>02</v>
      </c>
      <c r="AW11" s="359" t="str">
        <f>AA11</f>
        <v>Meter Replacement - Meters &gt; 25m3</v>
      </c>
      <c r="AX11" s="216"/>
      <c r="AY11" s="217"/>
      <c r="AZ11" s="208">
        <f t="shared" si="4"/>
        <v>1.66235904767702E-2</v>
      </c>
      <c r="BA11" s="208">
        <f t="shared" si="4"/>
        <v>3.0832676015076999E-2</v>
      </c>
      <c r="BB11" s="208">
        <f t="shared" si="4"/>
        <v>4.849114688735412E-2</v>
      </c>
      <c r="BC11" s="208">
        <f t="shared" si="4"/>
        <v>7.0326189008221185E-2</v>
      </c>
      <c r="BD11" s="56">
        <f t="shared" si="4"/>
        <v>9.4993619181230837E-2</v>
      </c>
      <c r="BE11" s="212">
        <f>SUM(AZ11:BD11)</f>
        <v>0.26126722156865334</v>
      </c>
      <c r="BF11" s="32"/>
    </row>
    <row r="12" spans="1:58" s="67" customFormat="1" ht="18" customHeight="1" thickBot="1" x14ac:dyDescent="0.25">
      <c r="A12" s="66"/>
      <c r="B12" s="24"/>
      <c r="C12" s="24" t="s">
        <v>75</v>
      </c>
      <c r="D12" s="22"/>
      <c r="E12" s="22"/>
      <c r="F12" s="26">
        <v>39336.666666666664</v>
      </c>
      <c r="G12" s="27">
        <v>39336.666666666664</v>
      </c>
      <c r="H12" s="27">
        <v>39336.666666666664</v>
      </c>
      <c r="I12" s="27">
        <v>20833</v>
      </c>
      <c r="J12" s="28">
        <v>20833</v>
      </c>
      <c r="K12" s="27">
        <v>159676</v>
      </c>
      <c r="L12" s="26"/>
      <c r="M12" s="32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32"/>
      <c r="Z12" s="357"/>
      <c r="AA12" s="357" t="s">
        <v>75</v>
      </c>
      <c r="AB12" s="325"/>
      <c r="AC12" s="325"/>
      <c r="AD12" s="209">
        <f>SUM(AD10:AD11)</f>
        <v>7.4953533141131068</v>
      </c>
      <c r="AE12" s="210">
        <f t="shared" ref="AE12:AI12" si="5">SUM(AE10:AE11)</f>
        <v>7.4953533141131068</v>
      </c>
      <c r="AF12" s="210">
        <f t="shared" si="5"/>
        <v>7.4953533141131068</v>
      </c>
      <c r="AG12" s="210">
        <f t="shared" si="5"/>
        <v>5.0432104001131064</v>
      </c>
      <c r="AH12" s="211">
        <f t="shared" si="5"/>
        <v>5.0432104001131064</v>
      </c>
      <c r="AI12" s="210">
        <f t="shared" si="5"/>
        <v>32.572480742565531</v>
      </c>
      <c r="AJ12" s="32"/>
      <c r="AK12" s="24"/>
      <c r="AL12" s="24" t="s">
        <v>75</v>
      </c>
      <c r="AM12" s="210"/>
      <c r="AN12" s="210"/>
      <c r="AO12" s="209">
        <f>SUM(AO10:AO11)</f>
        <v>7.5119769045898774</v>
      </c>
      <c r="AP12" s="210">
        <f t="shared" ref="AP12:AT12" si="6">SUM(AP10:AP11)</f>
        <v>7.5081678331933537</v>
      </c>
      <c r="AQ12" s="210">
        <f t="shared" si="6"/>
        <v>7.52576170897302</v>
      </c>
      <c r="AR12" s="210">
        <f t="shared" si="6"/>
        <v>5.1868381425676606</v>
      </c>
      <c r="AS12" s="211">
        <f t="shared" si="6"/>
        <v>5.2372166339642376</v>
      </c>
      <c r="AT12" s="210">
        <f t="shared" si="6"/>
        <v>32.969961223288152</v>
      </c>
      <c r="AU12" s="66"/>
      <c r="AV12" s="357"/>
      <c r="AW12" s="357" t="s">
        <v>75</v>
      </c>
      <c r="AX12" s="325"/>
      <c r="AY12" s="325"/>
      <c r="AZ12" s="209">
        <f>SUM(AZ10:AZ11)</f>
        <v>1.66235904767702E-2</v>
      </c>
      <c r="BA12" s="210">
        <f t="shared" ref="BA12:BE12" si="7">SUM(BA10:BA11)</f>
        <v>1.2814519080246889E-2</v>
      </c>
      <c r="BB12" s="210">
        <f t="shared" si="7"/>
        <v>3.0408394859913201E-2</v>
      </c>
      <c r="BC12" s="210">
        <f t="shared" si="7"/>
        <v>0.14362774245455423</v>
      </c>
      <c r="BD12" s="211">
        <f t="shared" si="7"/>
        <v>0.19400623385113125</v>
      </c>
      <c r="BE12" s="210">
        <f t="shared" si="7"/>
        <v>0.39748048072261577</v>
      </c>
      <c r="BF12" s="32"/>
    </row>
    <row r="13" spans="1:58" s="67" customFormat="1" ht="18" customHeight="1" x14ac:dyDescent="0.2">
      <c r="A13" s="66"/>
      <c r="B13" s="68"/>
      <c r="C13" s="68"/>
      <c r="D13" s="12"/>
      <c r="E13" s="12"/>
      <c r="F13" s="12"/>
      <c r="G13" s="12"/>
      <c r="H13" s="12"/>
      <c r="I13" s="12"/>
      <c r="J13" s="12"/>
      <c r="K13" s="12"/>
      <c r="L13" s="12"/>
      <c r="M13" s="32"/>
      <c r="N13" s="66"/>
      <c r="O13" s="66"/>
      <c r="P13" s="580"/>
      <c r="Q13" s="580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337"/>
      <c r="AC13" s="337"/>
      <c r="AD13" s="66"/>
      <c r="AE13" s="66"/>
      <c r="AF13" s="66"/>
      <c r="AG13" s="66"/>
      <c r="AH13" s="66"/>
      <c r="AI13" s="66"/>
      <c r="AJ13" s="32"/>
      <c r="AK13" s="66"/>
      <c r="AL13" s="66"/>
      <c r="AM13" s="577"/>
      <c r="AN13" s="577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32"/>
    </row>
    <row r="14" spans="1:58" s="71" customFormat="1" ht="24" customHeight="1" x14ac:dyDescent="0.2">
      <c r="A14" s="69"/>
      <c r="B14" s="354" t="s">
        <v>173</v>
      </c>
      <c r="C14" s="354"/>
      <c r="D14" s="355"/>
      <c r="E14" s="355"/>
      <c r="F14" s="355"/>
      <c r="G14" s="355"/>
      <c r="H14" s="355"/>
      <c r="I14" s="355"/>
      <c r="J14" s="355"/>
      <c r="K14" s="355"/>
      <c r="L14" s="355"/>
      <c r="M14" s="32"/>
      <c r="N14" s="354" t="s">
        <v>179</v>
      </c>
      <c r="O14" s="354"/>
      <c r="P14" s="355"/>
      <c r="Q14" s="355"/>
      <c r="R14" s="355"/>
      <c r="S14" s="355"/>
      <c r="T14" s="355"/>
      <c r="U14" s="355"/>
      <c r="V14" s="355"/>
      <c r="W14" s="355"/>
      <c r="X14" s="355"/>
      <c r="Y14" s="70"/>
      <c r="Z14" s="354" t="s">
        <v>196</v>
      </c>
      <c r="AA14" s="354"/>
      <c r="AB14" s="355"/>
      <c r="AC14" s="355"/>
      <c r="AD14" s="355"/>
      <c r="AE14" s="355"/>
      <c r="AF14" s="355"/>
      <c r="AG14" s="355"/>
      <c r="AH14" s="355"/>
      <c r="AI14" s="355"/>
      <c r="AJ14" s="32"/>
      <c r="AK14" s="354" t="s">
        <v>310</v>
      </c>
      <c r="AL14" s="354"/>
      <c r="AM14" s="355"/>
      <c r="AN14" s="355"/>
      <c r="AO14" s="355"/>
      <c r="AP14" s="355"/>
      <c r="AQ14" s="355"/>
      <c r="AR14" s="355"/>
      <c r="AS14" s="355"/>
      <c r="AT14" s="355"/>
      <c r="AU14" s="66"/>
      <c r="AV14" s="354" t="s">
        <v>251</v>
      </c>
      <c r="AW14" s="354"/>
      <c r="AX14" s="355"/>
      <c r="AY14" s="355"/>
      <c r="AZ14" s="355"/>
      <c r="BA14" s="355"/>
      <c r="BB14" s="355"/>
      <c r="BC14" s="355"/>
      <c r="BD14" s="355"/>
      <c r="BE14" s="355"/>
      <c r="BF14" s="32"/>
    </row>
    <row r="15" spans="1:58" s="67" customFormat="1" ht="18" customHeight="1" x14ac:dyDescent="0.2">
      <c r="A15" s="6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6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66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32"/>
    </row>
    <row r="16" spans="1:58" s="67" customFormat="1" ht="27.75" customHeight="1" x14ac:dyDescent="0.2">
      <c r="A16" s="66"/>
      <c r="B16" s="10" t="s">
        <v>169</v>
      </c>
      <c r="C16" s="11"/>
      <c r="D16" s="3"/>
      <c r="E16" s="4"/>
      <c r="F16" s="5">
        <v>2018</v>
      </c>
      <c r="G16" s="4">
        <v>2019</v>
      </c>
      <c r="H16" s="4">
        <v>2020</v>
      </c>
      <c r="I16" s="4">
        <v>2021</v>
      </c>
      <c r="J16" s="6">
        <v>2022</v>
      </c>
      <c r="K16" s="3" t="s">
        <v>73</v>
      </c>
      <c r="L16" s="30" t="s">
        <v>100</v>
      </c>
      <c r="M16" s="32"/>
      <c r="N16" s="10" t="s">
        <v>171</v>
      </c>
      <c r="O16" s="11"/>
      <c r="P16" s="3"/>
      <c r="Q16" s="3"/>
      <c r="R16" s="30">
        <f t="shared" ref="R16:X16" si="8">F16</f>
        <v>2018</v>
      </c>
      <c r="S16" s="3">
        <f t="shared" si="8"/>
        <v>2019</v>
      </c>
      <c r="T16" s="3">
        <f t="shared" si="8"/>
        <v>2020</v>
      </c>
      <c r="U16" s="3">
        <f t="shared" si="8"/>
        <v>2021</v>
      </c>
      <c r="V16" s="31">
        <f t="shared" si="8"/>
        <v>2022</v>
      </c>
      <c r="W16" s="3" t="str">
        <f t="shared" si="8"/>
        <v>Total for 
2018-2022</v>
      </c>
      <c r="X16" s="30" t="str">
        <f t="shared" si="8"/>
        <v>Source</v>
      </c>
      <c r="Y16" s="66"/>
      <c r="Z16" s="10"/>
      <c r="AA16" s="11"/>
      <c r="AB16" s="3"/>
      <c r="AC16" s="4"/>
      <c r="AD16" s="5">
        <f t="shared" ref="AD16:AI16" si="9">R16</f>
        <v>2018</v>
      </c>
      <c r="AE16" s="4">
        <f t="shared" si="9"/>
        <v>2019</v>
      </c>
      <c r="AF16" s="4">
        <f t="shared" si="9"/>
        <v>2020</v>
      </c>
      <c r="AG16" s="4">
        <f t="shared" si="9"/>
        <v>2021</v>
      </c>
      <c r="AH16" s="6">
        <f t="shared" si="9"/>
        <v>2022</v>
      </c>
      <c r="AI16" s="3" t="str">
        <f t="shared" si="9"/>
        <v>Total for 
2018-2022</v>
      </c>
      <c r="AJ16" s="32"/>
      <c r="AK16" s="10"/>
      <c r="AL16" s="11"/>
      <c r="AM16" s="301"/>
      <c r="AN16" s="4"/>
      <c r="AO16" s="5">
        <f t="shared" ref="AO16:AT16" si="10">AD16</f>
        <v>2018</v>
      </c>
      <c r="AP16" s="4">
        <f t="shared" si="10"/>
        <v>2019</v>
      </c>
      <c r="AQ16" s="4">
        <f t="shared" si="10"/>
        <v>2020</v>
      </c>
      <c r="AR16" s="4">
        <f t="shared" si="10"/>
        <v>2021</v>
      </c>
      <c r="AS16" s="6">
        <f t="shared" si="10"/>
        <v>2022</v>
      </c>
      <c r="AT16" s="3" t="str">
        <f t="shared" si="10"/>
        <v>Total for 
2018-2022</v>
      </c>
      <c r="AU16" s="66"/>
      <c r="AV16" s="10"/>
      <c r="AW16" s="11"/>
      <c r="AX16" s="3"/>
      <c r="AY16" s="4"/>
      <c r="AZ16" s="5">
        <f t="shared" ref="AZ16:BE16" si="11">AO16</f>
        <v>2018</v>
      </c>
      <c r="BA16" s="4">
        <f t="shared" si="11"/>
        <v>2019</v>
      </c>
      <c r="BB16" s="4">
        <f t="shared" si="11"/>
        <v>2020</v>
      </c>
      <c r="BC16" s="4">
        <f t="shared" si="11"/>
        <v>2021</v>
      </c>
      <c r="BD16" s="6">
        <f t="shared" si="11"/>
        <v>2022</v>
      </c>
      <c r="BE16" s="3" t="str">
        <f t="shared" si="11"/>
        <v>Total for 
2018-2022</v>
      </c>
      <c r="BF16" s="32"/>
    </row>
    <row r="17" spans="1:58" s="67" customFormat="1" ht="18" customHeight="1" x14ac:dyDescent="0.2">
      <c r="A17" s="66"/>
      <c r="B17" s="29" t="str">
        <f>'Capex Model Category Index'!B10</f>
        <v>03</v>
      </c>
      <c r="C17" s="29" t="str">
        <f>'Capex Model Category Index'!C10</f>
        <v>Mains Replacement - General Trunk Replacement</v>
      </c>
      <c r="D17" s="15"/>
      <c r="E17" s="15"/>
      <c r="F17" s="624" t="s">
        <v>445</v>
      </c>
      <c r="G17" s="625" t="s">
        <v>445</v>
      </c>
      <c r="H17" s="625" t="s">
        <v>445</v>
      </c>
      <c r="I17" s="625" t="s">
        <v>445</v>
      </c>
      <c r="J17" s="626" t="s">
        <v>445</v>
      </c>
      <c r="K17" s="15">
        <v>10200</v>
      </c>
      <c r="L17" s="409" t="str">
        <f>'Capex Category Summary (Alb)'!L17</f>
        <v>Attachment 8.2 Distribution Mains and Services Integrity Plan</v>
      </c>
      <c r="M17" s="32"/>
      <c r="N17" s="29" t="str">
        <f>B17</f>
        <v>03</v>
      </c>
      <c r="O17" s="29" t="str">
        <f>C17</f>
        <v>Mains Replacement - General Trunk Replacement</v>
      </c>
      <c r="P17" s="41"/>
      <c r="Q17" s="41"/>
      <c r="R17" s="640" t="s">
        <v>445</v>
      </c>
      <c r="S17" s="634" t="s">
        <v>445</v>
      </c>
      <c r="T17" s="634" t="s">
        <v>445</v>
      </c>
      <c r="U17" s="634" t="s">
        <v>445</v>
      </c>
      <c r="V17" s="639" t="s">
        <v>445</v>
      </c>
      <c r="W17" s="41"/>
      <c r="X17" s="409" t="str">
        <f>'Capex Category Summary (Alb)'!X17</f>
        <v>Attachment 8.4 Unit Rates Forecast</v>
      </c>
      <c r="Y17" s="66"/>
      <c r="Z17" s="29" t="str">
        <f t="shared" ref="Z17:AA23" si="12">B17</f>
        <v>03</v>
      </c>
      <c r="AA17" s="29" t="str">
        <f t="shared" si="12"/>
        <v>Mains Replacement - General Trunk Replacement</v>
      </c>
      <c r="AB17" s="212"/>
      <c r="AC17" s="212"/>
      <c r="AD17" s="207">
        <v>2.1203520000000005</v>
      </c>
      <c r="AE17" s="208">
        <v>2.1203520000000005</v>
      </c>
      <c r="AF17" s="208">
        <v>2.1203520000000005</v>
      </c>
      <c r="AG17" s="208">
        <v>1.6310400000000003</v>
      </c>
      <c r="AH17" s="56">
        <v>0.32620800000000005</v>
      </c>
      <c r="AI17" s="212">
        <f>SUM(AD17:AH17)</f>
        <v>8.3183040000000013</v>
      </c>
      <c r="AJ17" s="32"/>
      <c r="AK17" s="29" t="str">
        <f t="shared" ref="AK17:AL23" si="13">N17</f>
        <v>03</v>
      </c>
      <c r="AL17" s="29" t="str">
        <f t="shared" si="13"/>
        <v>Mains Replacement - General Trunk Replacement</v>
      </c>
      <c r="AM17" s="62"/>
      <c r="AN17" s="208"/>
      <c r="AO17" s="207">
        <f>AD17*(1+'Real Cost Escalation'!E$18)</f>
        <v>2.1346260416402898</v>
      </c>
      <c r="AP17" s="208">
        <f>AE17*(1+'Real Cost Escalation'!F$18)</f>
        <v>2.1468268401938655</v>
      </c>
      <c r="AQ17" s="208">
        <f>AF17*(1+'Real Cost Escalation'!G$18)</f>
        <v>2.161989494067404</v>
      </c>
      <c r="AR17" s="208">
        <f>AG17*(1+'Real Cost Escalation'!H$18)</f>
        <v>1.6774910846201903</v>
      </c>
      <c r="AS17" s="56">
        <f>AH17*(1+'Real Cost Escalation'!I$18)</f>
        <v>0.33875682912096838</v>
      </c>
      <c r="AT17" s="212">
        <f>SUM(AO17:AS17)</f>
        <v>8.4596902896427189</v>
      </c>
      <c r="AU17" s="66"/>
      <c r="AV17" s="29" t="str">
        <f t="shared" ref="AV17:AV23" si="14">Z17</f>
        <v>03</v>
      </c>
      <c r="AW17" s="29" t="str">
        <f t="shared" ref="AW17:AW23" si="15">AA17</f>
        <v>Mains Replacement - General Trunk Replacement</v>
      </c>
      <c r="AX17" s="212"/>
      <c r="AY17" s="212"/>
      <c r="AZ17" s="207">
        <f t="shared" ref="AZ17:AZ23" si="16">AO17-AD17</f>
        <v>1.4274041640289337E-2</v>
      </c>
      <c r="BA17" s="208">
        <f t="shared" ref="BA17:BA23" si="17">AP17-AE17</f>
        <v>2.6474840193865035E-2</v>
      </c>
      <c r="BB17" s="208">
        <f t="shared" ref="BB17:BB23" si="18">AQ17-AF17</f>
        <v>4.163749406740358E-2</v>
      </c>
      <c r="BC17" s="208">
        <f t="shared" ref="BC17:BC23" si="19">AR17-AG17</f>
        <v>4.6451084620189986E-2</v>
      </c>
      <c r="BD17" s="56">
        <f t="shared" ref="BD17:BD23" si="20">AS17-AH17</f>
        <v>1.254882912096833E-2</v>
      </c>
      <c r="BE17" s="212">
        <f>SUM(AZ17:BD17)</f>
        <v>0.14138628964271627</v>
      </c>
      <c r="BF17" s="32"/>
    </row>
    <row r="18" spans="1:58" s="67" customFormat="1" ht="18" customHeight="1" x14ac:dyDescent="0.2">
      <c r="A18" s="66"/>
      <c r="B18" s="29" t="str">
        <f>'Capex Model Category Index'!B11</f>
        <v>04</v>
      </c>
      <c r="C18" s="29" t="str">
        <f>'Capex Model Category Index'!C11</f>
        <v>Mains Replacement - Decommissioned Trunk Replacement</v>
      </c>
      <c r="D18" s="15"/>
      <c r="E18" s="15"/>
      <c r="F18" s="627" t="s">
        <v>445</v>
      </c>
      <c r="G18" s="628" t="s">
        <v>445</v>
      </c>
      <c r="H18" s="628" t="s">
        <v>445</v>
      </c>
      <c r="I18" s="628" t="s">
        <v>445</v>
      </c>
      <c r="J18" s="628" t="s">
        <v>445</v>
      </c>
      <c r="K18" s="16">
        <v>32400</v>
      </c>
      <c r="L18" s="409" t="str">
        <f>'Capex Category Summary (Alb)'!L18</f>
        <v>Attachment 8.2 Distribution Mains and Services Integrity Plan</v>
      </c>
      <c r="M18" s="32"/>
      <c r="N18" s="29" t="str">
        <f t="shared" ref="N18:O23" si="21">B18</f>
        <v>04</v>
      </c>
      <c r="O18" s="29" t="str">
        <f t="shared" si="21"/>
        <v>Mains Replacement - Decommissioned Trunk Replacement</v>
      </c>
      <c r="P18" s="41"/>
      <c r="Q18" s="41"/>
      <c r="R18" s="640" t="s">
        <v>445</v>
      </c>
      <c r="S18" s="634" t="s">
        <v>445</v>
      </c>
      <c r="T18" s="634" t="s">
        <v>445</v>
      </c>
      <c r="U18" s="634" t="s">
        <v>445</v>
      </c>
      <c r="V18" s="639" t="s">
        <v>445</v>
      </c>
      <c r="W18" s="41"/>
      <c r="X18" s="409" t="str">
        <f>'Capex Category Summary (Alb)'!X18</f>
        <v>Attachment 8.4 Unit Rates Forecast</v>
      </c>
      <c r="Y18" s="66"/>
      <c r="Z18" s="29" t="str">
        <f t="shared" si="12"/>
        <v>04</v>
      </c>
      <c r="AA18" s="29" t="str">
        <f t="shared" si="12"/>
        <v>Mains Replacement - Decommissioned Trunk Replacement</v>
      </c>
      <c r="AB18" s="212"/>
      <c r="AC18" s="212"/>
      <c r="AD18" s="207">
        <v>1.2715995600000001</v>
      </c>
      <c r="AE18" s="208">
        <v>1.2715995600000001</v>
      </c>
      <c r="AF18" s="208">
        <v>1.2715995600000001</v>
      </c>
      <c r="AG18" s="208">
        <v>1.2715995600000001</v>
      </c>
      <c r="AH18" s="56">
        <v>0</v>
      </c>
      <c r="AI18" s="212">
        <f t="shared" ref="AI18:AI23" si="22">SUM(AD18:AH18)</f>
        <v>5.0863982400000003</v>
      </c>
      <c r="AJ18" s="32"/>
      <c r="AK18" s="29" t="str">
        <f t="shared" si="13"/>
        <v>04</v>
      </c>
      <c r="AL18" s="29" t="str">
        <f t="shared" si="13"/>
        <v>Mains Replacement - Decommissioned Trunk Replacement</v>
      </c>
      <c r="AM18" s="212"/>
      <c r="AN18" s="212"/>
      <c r="AO18" s="207">
        <f>AD18*(1+'Real Cost Escalation'!E$18)</f>
        <v>1.2801598674721619</v>
      </c>
      <c r="AP18" s="208">
        <f>AE18*(1+'Real Cost Escalation'!F$18)</f>
        <v>1.2874768271431862</v>
      </c>
      <c r="AQ18" s="208">
        <f>AF18*(1+'Real Cost Escalation'!G$18)</f>
        <v>1.2965700456248459</v>
      </c>
      <c r="AR18" s="208">
        <f>AG18*(1+'Real Cost Escalation'!H$18)</f>
        <v>1.3078139868470158</v>
      </c>
      <c r="AS18" s="56">
        <f>AH18*(1+'Real Cost Escalation'!I$18)</f>
        <v>0</v>
      </c>
      <c r="AT18" s="212">
        <f t="shared" ref="AT18:AT23" si="23">SUM(AO18:AS18)</f>
        <v>5.1720207270872098</v>
      </c>
      <c r="AU18" s="66"/>
      <c r="AV18" s="29" t="str">
        <f t="shared" si="14"/>
        <v>04</v>
      </c>
      <c r="AW18" s="29" t="str">
        <f t="shared" si="15"/>
        <v>Mains Replacement - Decommissioned Trunk Replacement</v>
      </c>
      <c r="AX18" s="212"/>
      <c r="AY18" s="212"/>
      <c r="AZ18" s="207">
        <f t="shared" si="16"/>
        <v>8.5603074721618544E-3</v>
      </c>
      <c r="BA18" s="208">
        <f t="shared" si="17"/>
        <v>1.5877267143186158E-2</v>
      </c>
      <c r="BB18" s="208">
        <f t="shared" si="18"/>
        <v>2.4970485624845828E-2</v>
      </c>
      <c r="BC18" s="208">
        <f t="shared" si="19"/>
        <v>3.6214426847015702E-2</v>
      </c>
      <c r="BD18" s="56">
        <f t="shared" si="20"/>
        <v>0</v>
      </c>
      <c r="BE18" s="212">
        <f t="shared" ref="BE18:BE23" si="24">SUM(AZ18:BD18)</f>
        <v>8.5622487087209542E-2</v>
      </c>
      <c r="BF18" s="32"/>
    </row>
    <row r="19" spans="1:58" s="67" customFormat="1" ht="18" customHeight="1" x14ac:dyDescent="0.2">
      <c r="A19" s="66"/>
      <c r="B19" s="29" t="str">
        <f>'Capex Model Category Index'!B12</f>
        <v>05</v>
      </c>
      <c r="C19" s="29" t="str">
        <f>'Capex Model Category Index'!C12</f>
        <v>Mains Replacement - Piecemeal Replacement</v>
      </c>
      <c r="D19" s="15"/>
      <c r="E19" s="15"/>
      <c r="F19" s="627" t="s">
        <v>445</v>
      </c>
      <c r="G19" s="628" t="s">
        <v>445</v>
      </c>
      <c r="H19" s="628" t="s">
        <v>445</v>
      </c>
      <c r="I19" s="628" t="s">
        <v>445</v>
      </c>
      <c r="J19" s="628" t="s">
        <v>445</v>
      </c>
      <c r="K19" s="16">
        <v>2000</v>
      </c>
      <c r="L19" s="409" t="str">
        <f>'Capex Category Summary (Alb)'!L19</f>
        <v>Attachment 8.2 Distribution Mains and Services Integrity Plan</v>
      </c>
      <c r="M19" s="32"/>
      <c r="N19" s="29" t="str">
        <f t="shared" si="21"/>
        <v>05</v>
      </c>
      <c r="O19" s="29" t="str">
        <f t="shared" si="21"/>
        <v>Mains Replacement - Piecemeal Replacement</v>
      </c>
      <c r="P19" s="43"/>
      <c r="Q19" s="43"/>
      <c r="R19" s="640" t="s">
        <v>445</v>
      </c>
      <c r="S19" s="634" t="s">
        <v>445</v>
      </c>
      <c r="T19" s="634" t="s">
        <v>445</v>
      </c>
      <c r="U19" s="634" t="s">
        <v>445</v>
      </c>
      <c r="V19" s="639" t="s">
        <v>445</v>
      </c>
      <c r="W19" s="41"/>
      <c r="X19" s="409" t="str">
        <f>'Capex Category Summary (Alb)'!X19</f>
        <v>Attachment 8.4 Unit Rates Forecast</v>
      </c>
      <c r="Y19" s="66"/>
      <c r="Z19" s="29" t="str">
        <f t="shared" si="12"/>
        <v>05</v>
      </c>
      <c r="AA19" s="29" t="str">
        <f t="shared" si="12"/>
        <v>Mains Replacement - Piecemeal Replacement</v>
      </c>
      <c r="AB19" s="212"/>
      <c r="AC19" s="212"/>
      <c r="AD19" s="207">
        <v>0.27975908818985856</v>
      </c>
      <c r="AE19" s="208">
        <v>0.27975908818985856</v>
      </c>
      <c r="AF19" s="208">
        <v>0.27975908818985856</v>
      </c>
      <c r="AG19" s="208">
        <v>0.27975908818985856</v>
      </c>
      <c r="AH19" s="56">
        <v>0</v>
      </c>
      <c r="AI19" s="212">
        <f t="shared" si="22"/>
        <v>1.1190363527594342</v>
      </c>
      <c r="AJ19" s="32"/>
      <c r="AK19" s="29" t="str">
        <f t="shared" si="13"/>
        <v>05</v>
      </c>
      <c r="AL19" s="29" t="str">
        <f t="shared" si="13"/>
        <v>Mains Replacement - Piecemeal Replacement</v>
      </c>
      <c r="AM19" s="212"/>
      <c r="AN19" s="212"/>
      <c r="AO19" s="207">
        <f>AD19*(1+'Real Cost Escalation'!E$18)</f>
        <v>0.28164240420251657</v>
      </c>
      <c r="AP19" s="208">
        <f>AE19*(1+'Real Cost Escalation'!F$18)</f>
        <v>0.28325217667356689</v>
      </c>
      <c r="AQ19" s="208">
        <f>AF19*(1+'Real Cost Escalation'!G$18)</f>
        <v>0.28525273611945112</v>
      </c>
      <c r="AR19" s="208">
        <f>AG19*(1+'Real Cost Escalation'!H$18)</f>
        <v>0.28772646672059621</v>
      </c>
      <c r="AS19" s="56">
        <f>AH19*(1+'Real Cost Escalation'!I$18)</f>
        <v>0</v>
      </c>
      <c r="AT19" s="212">
        <f>SUM(AO19:AS19)</f>
        <v>1.1378737837161308</v>
      </c>
      <c r="AU19" s="66"/>
      <c r="AV19" s="29" t="str">
        <f t="shared" si="14"/>
        <v>05</v>
      </c>
      <c r="AW19" s="29" t="str">
        <f t="shared" si="15"/>
        <v>Mains Replacement - Piecemeal Replacement</v>
      </c>
      <c r="AX19" s="212"/>
      <c r="AY19" s="212"/>
      <c r="AZ19" s="207">
        <f t="shared" si="16"/>
        <v>1.8833160126580095E-3</v>
      </c>
      <c r="BA19" s="208">
        <f t="shared" si="17"/>
        <v>3.4930884837083287E-3</v>
      </c>
      <c r="BB19" s="208">
        <f t="shared" si="18"/>
        <v>5.49364792959256E-3</v>
      </c>
      <c r="BC19" s="208">
        <f t="shared" si="19"/>
        <v>7.9673785307376455E-3</v>
      </c>
      <c r="BD19" s="56">
        <f t="shared" si="20"/>
        <v>0</v>
      </c>
      <c r="BE19" s="212">
        <f t="shared" si="24"/>
        <v>1.8837430956696544E-2</v>
      </c>
      <c r="BF19" s="32"/>
    </row>
    <row r="20" spans="1:58" s="67" customFormat="1" ht="18" customHeight="1" x14ac:dyDescent="0.2">
      <c r="A20" s="66"/>
      <c r="B20" s="29" t="str">
        <f>'Capex Model Category Index'!B13</f>
        <v>06</v>
      </c>
      <c r="C20" s="29" t="str">
        <f>'Capex Model Category Index'!C13</f>
        <v>Mains Replacement - HDPE Replacement</v>
      </c>
      <c r="D20" s="15"/>
      <c r="E20" s="15"/>
      <c r="F20" s="627" t="s">
        <v>445</v>
      </c>
      <c r="G20" s="628" t="s">
        <v>445</v>
      </c>
      <c r="H20" s="628" t="s">
        <v>445</v>
      </c>
      <c r="I20" s="628" t="s">
        <v>445</v>
      </c>
      <c r="J20" s="628" t="s">
        <v>445</v>
      </c>
      <c r="K20" s="16">
        <v>10000</v>
      </c>
      <c r="L20" s="409" t="str">
        <f>'Capex Category Summary (Alb)'!L20</f>
        <v>Attachment 8.2 Distribution Mains and Services Integrity Plan</v>
      </c>
      <c r="M20" s="32"/>
      <c r="N20" s="29" t="str">
        <f>B20</f>
        <v>06</v>
      </c>
      <c r="O20" s="29" t="str">
        <f>C20</f>
        <v>Mains Replacement - HDPE Replacement</v>
      </c>
      <c r="P20" s="41"/>
      <c r="Q20" s="41"/>
      <c r="R20" s="640" t="s">
        <v>445</v>
      </c>
      <c r="S20" s="634" t="s">
        <v>445</v>
      </c>
      <c r="T20" s="634" t="s">
        <v>445</v>
      </c>
      <c r="U20" s="634" t="s">
        <v>445</v>
      </c>
      <c r="V20" s="639" t="s">
        <v>445</v>
      </c>
      <c r="W20" s="41"/>
      <c r="X20" s="409" t="str">
        <f>'Capex Category Summary (Alb)'!X20</f>
        <v>Attachment 8.4 Unit Rates Forecast</v>
      </c>
      <c r="Y20" s="66"/>
      <c r="Z20" s="29" t="str">
        <f>B20</f>
        <v>06</v>
      </c>
      <c r="AA20" s="29" t="str">
        <f>C20</f>
        <v>Mains Replacement - HDPE Replacement</v>
      </c>
      <c r="AB20" s="212"/>
      <c r="AC20" s="212"/>
      <c r="AD20" s="207">
        <v>1.1190363527594342</v>
      </c>
      <c r="AE20" s="208">
        <v>1.1190363527594342</v>
      </c>
      <c r="AF20" s="208">
        <v>1.1190363527594342</v>
      </c>
      <c r="AG20" s="208">
        <v>1.1190363527594342</v>
      </c>
      <c r="AH20" s="56">
        <v>1.1190363527594342</v>
      </c>
      <c r="AI20" s="212">
        <f>SUM(AD20:AH20)</f>
        <v>5.5951817637971715</v>
      </c>
      <c r="AJ20" s="32"/>
      <c r="AK20" s="29" t="str">
        <f>N20</f>
        <v>06</v>
      </c>
      <c r="AL20" s="29" t="str">
        <f>O20</f>
        <v>Mains Replacement - HDPE Replacement</v>
      </c>
      <c r="AM20" s="212"/>
      <c r="AN20" s="212"/>
      <c r="AO20" s="207">
        <f>AD20*(1+'Real Cost Escalation'!E$18)</f>
        <v>1.1265696168100663</v>
      </c>
      <c r="AP20" s="208">
        <f>AE20*(1+'Real Cost Escalation'!F$18)</f>
        <v>1.1330087066942676</v>
      </c>
      <c r="AQ20" s="208">
        <f>AF20*(1+'Real Cost Escalation'!G$18)</f>
        <v>1.1410109444778045</v>
      </c>
      <c r="AR20" s="208">
        <f>AG20*(1+'Real Cost Escalation'!H$18)</f>
        <v>1.1509058668823848</v>
      </c>
      <c r="AS20" s="56">
        <f>AH20*(1+'Real Cost Escalation'!I$18)</f>
        <v>1.1620843343261946</v>
      </c>
      <c r="AT20" s="212">
        <f>SUM(AO20:AS20)</f>
        <v>5.7135794691907176</v>
      </c>
      <c r="AU20" s="66"/>
      <c r="AV20" s="29" t="str">
        <f>Z20</f>
        <v>06</v>
      </c>
      <c r="AW20" s="29" t="str">
        <f>AA20</f>
        <v>Mains Replacement - HDPE Replacement</v>
      </c>
      <c r="AX20" s="212"/>
      <c r="AY20" s="212"/>
      <c r="AZ20" s="207">
        <f>AO20-AD20</f>
        <v>7.5332640506320381E-3</v>
      </c>
      <c r="BA20" s="208">
        <f>AP20-AE20</f>
        <v>1.3972353934833315E-2</v>
      </c>
      <c r="BB20" s="208">
        <f>AQ20-AF20</f>
        <v>2.197459171837024E-2</v>
      </c>
      <c r="BC20" s="208">
        <f>AR20-AG20</f>
        <v>3.1869514122950582E-2</v>
      </c>
      <c r="BD20" s="56">
        <f>AS20-AH20</f>
        <v>4.3047981566760374E-2</v>
      </c>
      <c r="BE20" s="212">
        <f>SUM(AZ20:BD20)</f>
        <v>0.11839770539354655</v>
      </c>
      <c r="BF20" s="32"/>
    </row>
    <row r="21" spans="1:58" s="67" customFormat="1" ht="18" customHeight="1" x14ac:dyDescent="0.2">
      <c r="A21" s="66"/>
      <c r="B21" s="29" t="str">
        <f>'Capex Model Category Index'!B14</f>
        <v>07</v>
      </c>
      <c r="C21" s="29" t="str">
        <f>'Capex Model Category Index'!C14</f>
        <v>Mains Replacement - HDICS Block Replacement</v>
      </c>
      <c r="D21" s="15"/>
      <c r="E21" s="15"/>
      <c r="F21" s="627" t="s">
        <v>445</v>
      </c>
      <c r="G21" s="628" t="s">
        <v>445</v>
      </c>
      <c r="H21" s="628" t="s">
        <v>445</v>
      </c>
      <c r="I21" s="628" t="s">
        <v>445</v>
      </c>
      <c r="J21" s="628" t="s">
        <v>445</v>
      </c>
      <c r="K21" s="16">
        <v>178458</v>
      </c>
      <c r="L21" s="409" t="str">
        <f>'Capex Category Summary (Alb)'!L21</f>
        <v>Attachment 8.2 Distribution Mains and Services Integrity Plan</v>
      </c>
      <c r="M21" s="32"/>
      <c r="N21" s="29" t="str">
        <f t="shared" si="21"/>
        <v>07</v>
      </c>
      <c r="O21" s="29" t="str">
        <f t="shared" si="21"/>
        <v>Mains Replacement - HDICS Block Replacement</v>
      </c>
      <c r="P21" s="41"/>
      <c r="Q21" s="41"/>
      <c r="R21" s="640" t="s">
        <v>445</v>
      </c>
      <c r="S21" s="634" t="s">
        <v>445</v>
      </c>
      <c r="T21" s="634" t="s">
        <v>445</v>
      </c>
      <c r="U21" s="634" t="s">
        <v>445</v>
      </c>
      <c r="V21" s="639" t="s">
        <v>445</v>
      </c>
      <c r="W21" s="41"/>
      <c r="X21" s="409" t="str">
        <f>'Capex Category Summary (Alb)'!X21</f>
        <v>Attachment 8.4 Unit Rates Forecast</v>
      </c>
      <c r="Y21" s="66"/>
      <c r="Z21" s="29" t="str">
        <f t="shared" si="12"/>
        <v>07</v>
      </c>
      <c r="AA21" s="29" t="str">
        <f t="shared" si="12"/>
        <v>Mains Replacement - HDICS Block Replacement</v>
      </c>
      <c r="AB21" s="212"/>
      <c r="AC21" s="212"/>
      <c r="AD21" s="207">
        <v>19.28581950209934</v>
      </c>
      <c r="AE21" s="208">
        <v>19.28581950209934</v>
      </c>
      <c r="AF21" s="208">
        <v>19.28581950209934</v>
      </c>
      <c r="AG21" s="208">
        <v>19.28581950209934</v>
      </c>
      <c r="AH21" s="56">
        <v>0</v>
      </c>
      <c r="AI21" s="212">
        <f t="shared" si="22"/>
        <v>77.14327800839736</v>
      </c>
      <c r="AJ21" s="32"/>
      <c r="AK21" s="29" t="str">
        <f t="shared" si="13"/>
        <v>07</v>
      </c>
      <c r="AL21" s="29" t="str">
        <f t="shared" si="13"/>
        <v>Mains Replacement - HDICS Block Replacement</v>
      </c>
      <c r="AM21" s="212"/>
      <c r="AN21" s="212"/>
      <c r="AO21" s="207">
        <f>AD21*(1+'Real Cost Escalation'!E$18)</f>
        <v>19.415650110715301</v>
      </c>
      <c r="AP21" s="208">
        <f>AE21*(1+'Real Cost Escalation'!F$18)</f>
        <v>19.526623382457792</v>
      </c>
      <c r="AQ21" s="208">
        <f>AF21*(1+'Real Cost Escalation'!G$18)</f>
        <v>19.664536429809303</v>
      </c>
      <c r="AR21" s="208">
        <f>AG21*(1+'Real Cost Escalation'!H$18)</f>
        <v>19.8350685908168</v>
      </c>
      <c r="AS21" s="56">
        <f>AH21*(1+'Real Cost Escalation'!I$18)</f>
        <v>0</v>
      </c>
      <c r="AT21" s="212">
        <f t="shared" si="23"/>
        <v>78.441878513799196</v>
      </c>
      <c r="AU21" s="66"/>
      <c r="AV21" s="29" t="str">
        <f t="shared" si="14"/>
        <v>07</v>
      </c>
      <c r="AW21" s="29" t="str">
        <f t="shared" si="15"/>
        <v>Mains Replacement - HDICS Block Replacement</v>
      </c>
      <c r="AX21" s="212"/>
      <c r="AY21" s="212"/>
      <c r="AZ21" s="207">
        <f t="shared" si="16"/>
        <v>0.1298306086159613</v>
      </c>
      <c r="BA21" s="208">
        <f t="shared" si="17"/>
        <v>0.24080388035845246</v>
      </c>
      <c r="BB21" s="208">
        <f t="shared" si="18"/>
        <v>0.3787169277099629</v>
      </c>
      <c r="BC21" s="208">
        <f t="shared" si="19"/>
        <v>0.5492490887174597</v>
      </c>
      <c r="BD21" s="56">
        <f t="shared" si="20"/>
        <v>0</v>
      </c>
      <c r="BE21" s="212">
        <f t="shared" si="24"/>
        <v>1.2986005054018364</v>
      </c>
      <c r="BF21" s="32"/>
    </row>
    <row r="22" spans="1:58" s="67" customFormat="1" ht="18" customHeight="1" x14ac:dyDescent="0.2">
      <c r="A22" s="66"/>
      <c r="B22" s="29" t="str">
        <f>'Capex Model Category Index'!B15</f>
        <v>08</v>
      </c>
      <c r="C22" s="29" t="str">
        <f>'Capex Model Category Index'!C15</f>
        <v>Mains Replacement - LDS Block Replacement</v>
      </c>
      <c r="D22" s="15"/>
      <c r="E22" s="15"/>
      <c r="F22" s="627" t="s">
        <v>445</v>
      </c>
      <c r="G22" s="628" t="s">
        <v>445</v>
      </c>
      <c r="H22" s="628" t="s">
        <v>445</v>
      </c>
      <c r="I22" s="628" t="s">
        <v>445</v>
      </c>
      <c r="J22" s="628" t="s">
        <v>445</v>
      </c>
      <c r="K22" s="16">
        <v>36874</v>
      </c>
      <c r="L22" s="409" t="str">
        <f>'Capex Category Summary (Alb)'!L22</f>
        <v>Attachment 8.2 Distribution Mains and Services Integrity Plan</v>
      </c>
      <c r="M22" s="32"/>
      <c r="N22" s="29" t="str">
        <f t="shared" ref="N22" si="25">B22</f>
        <v>08</v>
      </c>
      <c r="O22" s="29" t="str">
        <f t="shared" ref="O22" si="26">C22</f>
        <v>Mains Replacement - LDS Block Replacement</v>
      </c>
      <c r="P22" s="41"/>
      <c r="Q22" s="41"/>
      <c r="R22" s="640" t="s">
        <v>445</v>
      </c>
      <c r="S22" s="634" t="s">
        <v>445</v>
      </c>
      <c r="T22" s="634" t="s">
        <v>445</v>
      </c>
      <c r="U22" s="634" t="s">
        <v>445</v>
      </c>
      <c r="V22" s="639" t="s">
        <v>445</v>
      </c>
      <c r="W22" s="41"/>
      <c r="X22" s="409" t="str">
        <f>'Capex Category Summary (Alb)'!X22</f>
        <v>Attachment 8.4 Unit Rates Forecast</v>
      </c>
      <c r="Y22" s="66"/>
      <c r="Z22" s="29" t="str">
        <f t="shared" ref="Z22" si="27">B22</f>
        <v>08</v>
      </c>
      <c r="AA22" s="29" t="str">
        <f t="shared" ref="AA22" si="28">C22</f>
        <v>Mains Replacement - LDS Block Replacement</v>
      </c>
      <c r="AB22" s="212"/>
      <c r="AC22" s="212"/>
      <c r="AD22" s="207">
        <v>2.8339698134266142</v>
      </c>
      <c r="AE22" s="208">
        <v>2.8339698134266142</v>
      </c>
      <c r="AF22" s="208">
        <v>2.8339698134266142</v>
      </c>
      <c r="AG22" s="208">
        <v>2.8339698134266142</v>
      </c>
      <c r="AH22" s="56">
        <v>0</v>
      </c>
      <c r="AI22" s="212">
        <f t="shared" ref="AI22" si="29">SUM(AD22:AH22)</f>
        <v>11.335879253706457</v>
      </c>
      <c r="AJ22" s="32"/>
      <c r="AK22" s="29" t="str">
        <f t="shared" ref="AK22" si="30">N22</f>
        <v>08</v>
      </c>
      <c r="AL22" s="29" t="str">
        <f t="shared" ref="AL22" si="31">O22</f>
        <v>Mains Replacement - LDS Block Replacement</v>
      </c>
      <c r="AM22" s="212"/>
      <c r="AN22" s="212"/>
      <c r="AO22" s="207">
        <f>AD22*(1+'Real Cost Escalation'!E$18)</f>
        <v>2.853047873637454</v>
      </c>
      <c r="AP22" s="208">
        <f>AE22*(1+'Real Cost Escalation'!F$18)</f>
        <v>2.8693549277494754</v>
      </c>
      <c r="AQ22" s="208">
        <f>AF22*(1+'Real Cost Escalation'!G$18)</f>
        <v>2.8896206682345666</v>
      </c>
      <c r="AR22" s="208">
        <f>AG22*(1+'Real Cost Escalation'!H$18)</f>
        <v>2.9146796498589174</v>
      </c>
      <c r="AS22" s="56">
        <f>AH22*(1+'Real Cost Escalation'!I$18)</f>
        <v>0</v>
      </c>
      <c r="AT22" s="212">
        <f t="shared" ref="AT22" si="32">SUM(AO22:AS22)</f>
        <v>11.526703119480413</v>
      </c>
      <c r="AU22" s="66"/>
      <c r="AV22" s="29" t="str">
        <f t="shared" ref="AV22" si="33">Z22</f>
        <v>08</v>
      </c>
      <c r="AW22" s="29" t="str">
        <f t="shared" ref="AW22" si="34">AA22</f>
        <v>Mains Replacement - LDS Block Replacement</v>
      </c>
      <c r="AX22" s="212"/>
      <c r="AY22" s="212"/>
      <c r="AZ22" s="207">
        <f t="shared" ref="AZ22" si="35">AO22-AD22</f>
        <v>1.9078060210839798E-2</v>
      </c>
      <c r="BA22" s="208">
        <f t="shared" ref="BA22" si="36">AP22-AE22</f>
        <v>3.5385114322861178E-2</v>
      </c>
      <c r="BB22" s="208">
        <f t="shared" ref="BB22" si="37">AQ22-AF22</f>
        <v>5.5650854807952399E-2</v>
      </c>
      <c r="BC22" s="208">
        <f t="shared" ref="BC22" si="38">AR22-AG22</f>
        <v>8.0709836432303117E-2</v>
      </c>
      <c r="BD22" s="56">
        <f t="shared" ref="BD22" si="39">AS22-AH22</f>
        <v>0</v>
      </c>
      <c r="BE22" s="212">
        <f t="shared" ref="BE22" si="40">SUM(AZ22:BD22)</f>
        <v>0.19082386577395649</v>
      </c>
      <c r="BF22" s="32"/>
    </row>
    <row r="23" spans="1:58" s="67" customFormat="1" ht="18" customHeight="1" x14ac:dyDescent="0.2">
      <c r="A23" s="66"/>
      <c r="B23" s="29" t="str">
        <f>'Capex Model Category Index'!B16</f>
        <v>09</v>
      </c>
      <c r="C23" s="29" t="str">
        <f>'Capex Model Category Index'!C16</f>
        <v>Mains Replacement - CBD Block Replacement</v>
      </c>
      <c r="D23" s="15"/>
      <c r="E23" s="15"/>
      <c r="F23" s="627" t="s">
        <v>445</v>
      </c>
      <c r="G23" s="628" t="s">
        <v>445</v>
      </c>
      <c r="H23" s="628" t="s">
        <v>445</v>
      </c>
      <c r="I23" s="628" t="s">
        <v>445</v>
      </c>
      <c r="J23" s="628" t="s">
        <v>445</v>
      </c>
      <c r="K23" s="16">
        <v>25300</v>
      </c>
      <c r="L23" s="409" t="str">
        <f>'Capex Category Summary (Alb)'!L23</f>
        <v>Attachment 8.2 Distribution Mains and Services Integrity Plan</v>
      </c>
      <c r="M23" s="32"/>
      <c r="N23" s="29" t="str">
        <f t="shared" si="21"/>
        <v>09</v>
      </c>
      <c r="O23" s="29" t="str">
        <f t="shared" si="21"/>
        <v>Mains Replacement - CBD Block Replacement</v>
      </c>
      <c r="P23" s="41"/>
      <c r="Q23" s="41"/>
      <c r="R23" s="640" t="s">
        <v>445</v>
      </c>
      <c r="S23" s="634" t="s">
        <v>445</v>
      </c>
      <c r="T23" s="634" t="s">
        <v>445</v>
      </c>
      <c r="U23" s="634" t="s">
        <v>445</v>
      </c>
      <c r="V23" s="639" t="s">
        <v>445</v>
      </c>
      <c r="W23" s="41"/>
      <c r="X23" s="409" t="str">
        <f>'Capex Category Summary (Alb)'!X23</f>
        <v>Attachment 8.4 Unit Rates Forecast</v>
      </c>
      <c r="Y23" s="66"/>
      <c r="Z23" s="29" t="str">
        <f t="shared" si="12"/>
        <v>09</v>
      </c>
      <c r="AA23" s="29" t="str">
        <f t="shared" si="12"/>
        <v>Mains Replacement - CBD Block Replacement</v>
      </c>
      <c r="AB23" s="212"/>
      <c r="AC23" s="212"/>
      <c r="AD23" s="207">
        <v>6.1367880000000001</v>
      </c>
      <c r="AE23" s="208">
        <v>6.1367880000000001</v>
      </c>
      <c r="AF23" s="208">
        <v>6.1367880000000001</v>
      </c>
      <c r="AG23" s="208">
        <v>6.2595237600000004</v>
      </c>
      <c r="AH23" s="56">
        <v>6.3822595200000007</v>
      </c>
      <c r="AI23" s="212">
        <f t="shared" si="22"/>
        <v>31.052147280000003</v>
      </c>
      <c r="AJ23" s="32"/>
      <c r="AK23" s="29" t="str">
        <f t="shared" si="13"/>
        <v>09</v>
      </c>
      <c r="AL23" s="29" t="str">
        <f t="shared" si="13"/>
        <v>Mains Replacement - CBD Block Replacement</v>
      </c>
      <c r="AM23" s="212"/>
      <c r="AN23" s="212"/>
      <c r="AO23" s="207">
        <f>AD23*(1+'Real Cost Escalation'!E$18)</f>
        <v>6.1781003705166064</v>
      </c>
      <c r="AP23" s="208">
        <f>AE23*(1+'Real Cost Escalation'!F$18)</f>
        <v>6.213412297099552</v>
      </c>
      <c r="AQ23" s="208">
        <f>AF23*(1+'Real Cost Escalation'!G$18)</f>
        <v>6.2572965164835432</v>
      </c>
      <c r="AR23" s="208">
        <f>AG23*(1+'Real Cost Escalation'!H$18)</f>
        <v>6.4377914100011342</v>
      </c>
      <c r="AS23" s="56">
        <f>AH23*(1+'Real Cost Escalation'!I$18)</f>
        <v>6.6277773617517468</v>
      </c>
      <c r="AT23" s="212">
        <f t="shared" si="23"/>
        <v>31.714377955852584</v>
      </c>
      <c r="AU23" s="66"/>
      <c r="AV23" s="29" t="str">
        <f t="shared" si="14"/>
        <v>09</v>
      </c>
      <c r="AW23" s="29" t="str">
        <f t="shared" si="15"/>
        <v>Mains Replacement - CBD Block Replacement</v>
      </c>
      <c r="AX23" s="212"/>
      <c r="AY23" s="212"/>
      <c r="AZ23" s="207">
        <f t="shared" si="16"/>
        <v>4.13123705166063E-2</v>
      </c>
      <c r="BA23" s="208">
        <f t="shared" si="17"/>
        <v>7.6624297099551875E-2</v>
      </c>
      <c r="BB23" s="208">
        <f t="shared" si="18"/>
        <v>0.1205085164835431</v>
      </c>
      <c r="BC23" s="208">
        <f t="shared" si="19"/>
        <v>0.17826765000113376</v>
      </c>
      <c r="BD23" s="56">
        <f t="shared" si="20"/>
        <v>0.24551784175174607</v>
      </c>
      <c r="BE23" s="212">
        <f t="shared" si="24"/>
        <v>0.66223067585258111</v>
      </c>
      <c r="BF23" s="32"/>
    </row>
    <row r="24" spans="1:58" s="67" customFormat="1" ht="18" customHeight="1" x14ac:dyDescent="0.2">
      <c r="A24" s="66"/>
      <c r="B24" s="29" t="str">
        <f>'Capex Model Category Index'!B17</f>
        <v>10</v>
      </c>
      <c r="C24" s="29" t="str">
        <f>'Capex Model Category Index'!C17</f>
        <v>Mains Replacement - CBD Trunk Replacement</v>
      </c>
      <c r="D24" s="15"/>
      <c r="E24" s="15"/>
      <c r="F24" s="627" t="s">
        <v>445</v>
      </c>
      <c r="G24" s="628" t="s">
        <v>445</v>
      </c>
      <c r="H24" s="628" t="s">
        <v>445</v>
      </c>
      <c r="I24" s="628" t="s">
        <v>445</v>
      </c>
      <c r="J24" s="628" t="s">
        <v>445</v>
      </c>
      <c r="K24" s="61">
        <v>1600</v>
      </c>
      <c r="L24" s="409" t="str">
        <f>'Capex Category Summary (Alb)'!L24</f>
        <v>Attachment 8.2 Distribution Mains and Services Integrity Plan</v>
      </c>
      <c r="M24" s="32"/>
      <c r="N24" s="359" t="str">
        <f t="shared" ref="N24" si="41">B24</f>
        <v>10</v>
      </c>
      <c r="O24" s="359" t="str">
        <f t="shared" ref="O24" si="42">C24</f>
        <v>Mains Replacement - CBD Trunk Replacement</v>
      </c>
      <c r="P24" s="507"/>
      <c r="Q24" s="507"/>
      <c r="R24" s="641" t="s">
        <v>445</v>
      </c>
      <c r="S24" s="638" t="s">
        <v>445</v>
      </c>
      <c r="T24" s="638" t="s">
        <v>445</v>
      </c>
      <c r="U24" s="638" t="s">
        <v>445</v>
      </c>
      <c r="V24" s="642" t="s">
        <v>445</v>
      </c>
      <c r="W24" s="507"/>
      <c r="X24" s="509" t="str">
        <f>'Capex Category Summary (Alb)'!X24</f>
        <v>Attachment 8.4 Unit Rates Forecast</v>
      </c>
      <c r="Y24" s="66"/>
      <c r="Z24" s="29" t="str">
        <f t="shared" ref="Z24" si="43">B24</f>
        <v>10</v>
      </c>
      <c r="AA24" s="29" t="str">
        <f t="shared" ref="AA24" si="44">C24</f>
        <v>Mains Replacement - CBD Trunk Replacement</v>
      </c>
      <c r="AB24" s="212"/>
      <c r="AC24" s="212"/>
      <c r="AD24" s="207">
        <v>0</v>
      </c>
      <c r="AE24" s="208">
        <v>1.9664615003040002</v>
      </c>
      <c r="AF24" s="208">
        <v>1.9664615003040002</v>
      </c>
      <c r="AG24" s="208">
        <v>0</v>
      </c>
      <c r="AH24" s="56">
        <v>0</v>
      </c>
      <c r="AI24" s="212">
        <f t="shared" ref="AI24" si="45">SUM(AD24:AH24)</f>
        <v>3.9329230006080005</v>
      </c>
      <c r="AJ24" s="32"/>
      <c r="AK24" s="29" t="str">
        <f t="shared" ref="AK24" si="46">N24</f>
        <v>10</v>
      </c>
      <c r="AL24" s="29" t="str">
        <f t="shared" ref="AL24" si="47">O24</f>
        <v>Mains Replacement - CBD Trunk Replacement</v>
      </c>
      <c r="AM24" s="212"/>
      <c r="AN24" s="212"/>
      <c r="AO24" s="207">
        <f>AD24*(1+'Real Cost Escalation'!E$18)</f>
        <v>0</v>
      </c>
      <c r="AP24" s="208">
        <f>AE24*(1+'Real Cost Escalation'!F$18)</f>
        <v>1.9910148546375905</v>
      </c>
      <c r="AQ24" s="208">
        <f>AF24*(1+'Real Cost Escalation'!G$18)</f>
        <v>2.0050770363341903</v>
      </c>
      <c r="AR24" s="208">
        <f>AG24*(1+'Real Cost Escalation'!H$18)</f>
        <v>0</v>
      </c>
      <c r="AS24" s="56">
        <f>AH24*(1+'Real Cost Escalation'!I$18)</f>
        <v>0</v>
      </c>
      <c r="AT24" s="212">
        <f t="shared" ref="AT24" si="48">SUM(AO24:AS24)</f>
        <v>3.9960918909717806</v>
      </c>
      <c r="AU24" s="66"/>
      <c r="AV24" s="29" t="str">
        <f t="shared" ref="AV24" si="49">Z24</f>
        <v>10</v>
      </c>
      <c r="AW24" s="29" t="str">
        <f t="shared" ref="AW24" si="50">AA24</f>
        <v>Mains Replacement - CBD Trunk Replacement</v>
      </c>
      <c r="AX24" s="212"/>
      <c r="AY24" s="212"/>
      <c r="AZ24" s="207">
        <f t="shared" ref="AZ24" si="51">AO24-AD24</f>
        <v>0</v>
      </c>
      <c r="BA24" s="208">
        <f t="shared" ref="BA24" si="52">AP24-AE24</f>
        <v>2.4553354333590294E-2</v>
      </c>
      <c r="BB24" s="208">
        <f t="shared" ref="BB24" si="53">AQ24-AF24</f>
        <v>3.8615536030190079E-2</v>
      </c>
      <c r="BC24" s="208">
        <f t="shared" ref="BC24" si="54">AR24-AG24</f>
        <v>0</v>
      </c>
      <c r="BD24" s="56">
        <f t="shared" ref="BD24" si="55">AS24-AH24</f>
        <v>0</v>
      </c>
      <c r="BE24" s="212">
        <f t="shared" ref="BE24" si="56">SUM(AZ24:BD24)</f>
        <v>6.3168890363780372E-2</v>
      </c>
      <c r="BF24" s="32"/>
    </row>
    <row r="25" spans="1:58" s="67" customFormat="1" ht="18" customHeight="1" thickBot="1" x14ac:dyDescent="0.25">
      <c r="A25" s="66"/>
      <c r="B25" s="19"/>
      <c r="C25" s="20" t="s">
        <v>74</v>
      </c>
      <c r="D25" s="22"/>
      <c r="E25" s="22"/>
      <c r="F25" s="21">
        <v>72033</v>
      </c>
      <c r="G25" s="22">
        <v>72833</v>
      </c>
      <c r="H25" s="22">
        <v>72833</v>
      </c>
      <c r="I25" s="22">
        <v>71533</v>
      </c>
      <c r="J25" s="23">
        <v>7600</v>
      </c>
      <c r="K25" s="22">
        <v>296832</v>
      </c>
      <c r="L25" s="21"/>
      <c r="M25" s="32"/>
      <c r="N25" s="72"/>
      <c r="O25" s="73"/>
      <c r="P25" s="12"/>
      <c r="Q25" s="12"/>
      <c r="R25" s="12"/>
      <c r="S25" s="12"/>
      <c r="T25" s="52"/>
      <c r="U25" s="12"/>
      <c r="V25" s="487"/>
      <c r="W25" s="12"/>
      <c r="X25" s="12"/>
      <c r="Y25" s="66"/>
      <c r="Z25" s="19"/>
      <c r="AA25" s="20" t="s">
        <v>74</v>
      </c>
      <c r="AB25" s="210"/>
      <c r="AC25" s="210"/>
      <c r="AD25" s="209">
        <f t="shared" ref="AD25:AI25" si="57">SUM(AD17:AD24)</f>
        <v>33.047324316475247</v>
      </c>
      <c r="AE25" s="210">
        <f t="shared" si="57"/>
        <v>35.013785816779247</v>
      </c>
      <c r="AF25" s="210">
        <f t="shared" si="57"/>
        <v>35.013785816779247</v>
      </c>
      <c r="AG25" s="210">
        <f t="shared" si="57"/>
        <v>32.680748076475247</v>
      </c>
      <c r="AH25" s="211">
        <f t="shared" si="57"/>
        <v>7.8275038727594346</v>
      </c>
      <c r="AI25" s="210">
        <f t="shared" si="57"/>
        <v>143.58314789926845</v>
      </c>
      <c r="AJ25" s="32"/>
      <c r="AK25" s="19"/>
      <c r="AL25" s="20" t="s">
        <v>74</v>
      </c>
      <c r="AM25" s="210"/>
      <c r="AN25" s="210"/>
      <c r="AO25" s="209">
        <f t="shared" ref="AO25:AT25" si="58">SUM(AO17:AO24)</f>
        <v>33.269796284994399</v>
      </c>
      <c r="AP25" s="210">
        <f t="shared" si="58"/>
        <v>35.4509700126493</v>
      </c>
      <c r="AQ25" s="210">
        <f t="shared" si="58"/>
        <v>35.701353871151113</v>
      </c>
      <c r="AR25" s="210">
        <f t="shared" si="58"/>
        <v>33.611477055747038</v>
      </c>
      <c r="AS25" s="211">
        <f t="shared" si="58"/>
        <v>8.1286185251989096</v>
      </c>
      <c r="AT25" s="210">
        <f t="shared" si="58"/>
        <v>146.16221574974074</v>
      </c>
      <c r="AU25" s="66"/>
      <c r="AV25" s="19"/>
      <c r="AW25" s="20" t="s">
        <v>74</v>
      </c>
      <c r="AX25" s="266"/>
      <c r="AY25" s="266"/>
      <c r="AZ25" s="267">
        <f>SUM(AZ17:AZ24)</f>
        <v>0.22247196851914863</v>
      </c>
      <c r="BA25" s="266">
        <f t="shared" ref="BA25:BE25" si="59">SUM(BA17:BA24)</f>
        <v>0.43718419587004864</v>
      </c>
      <c r="BB25" s="266">
        <f t="shared" si="59"/>
        <v>0.68756805437186075</v>
      </c>
      <c r="BC25" s="266">
        <f t="shared" si="59"/>
        <v>0.93072897927179055</v>
      </c>
      <c r="BD25" s="268">
        <f t="shared" si="59"/>
        <v>0.30111465243947477</v>
      </c>
      <c r="BE25" s="210">
        <f t="shared" si="59"/>
        <v>2.579067850472323</v>
      </c>
      <c r="BF25" s="32"/>
    </row>
    <row r="26" spans="1:58" s="67" customFormat="1" ht="18" customHeight="1" x14ac:dyDescent="0.2">
      <c r="A26" s="66"/>
      <c r="B26" s="72"/>
      <c r="C26" s="73"/>
      <c r="D26" s="12"/>
      <c r="E26" s="12"/>
      <c r="F26" s="12"/>
      <c r="G26" s="12"/>
      <c r="H26" s="12"/>
      <c r="I26" s="12"/>
      <c r="J26" s="12"/>
      <c r="K26" s="467"/>
      <c r="L26" s="467"/>
      <c r="M26" s="32"/>
      <c r="N26" s="72"/>
      <c r="O26" s="73"/>
      <c r="P26" s="12"/>
      <c r="Q26" s="12"/>
      <c r="R26" s="12"/>
      <c r="S26" s="12"/>
      <c r="T26" s="52"/>
      <c r="U26" s="12"/>
      <c r="V26" s="487"/>
      <c r="W26" s="12"/>
      <c r="X26" s="12"/>
      <c r="Y26" s="66"/>
      <c r="Z26" s="72"/>
      <c r="AA26" s="73"/>
      <c r="AB26" s="12"/>
      <c r="AC26" s="12"/>
      <c r="AD26" s="12"/>
      <c r="AE26" s="12"/>
      <c r="AF26" s="12"/>
      <c r="AG26" s="12"/>
      <c r="AH26" s="12"/>
      <c r="AI26" s="12"/>
      <c r="AJ26" s="32"/>
      <c r="AK26" s="72"/>
      <c r="AL26" s="73"/>
      <c r="AM26" s="12"/>
      <c r="AN26" s="12"/>
      <c r="AO26" s="12"/>
      <c r="AP26" s="12"/>
      <c r="AQ26" s="12"/>
      <c r="AR26" s="12"/>
      <c r="AS26" s="12"/>
      <c r="AT26" s="12"/>
      <c r="AU26" s="66"/>
      <c r="AV26" s="72"/>
      <c r="AW26" s="73"/>
      <c r="AX26" s="12"/>
      <c r="AY26" s="12"/>
      <c r="AZ26" s="12"/>
      <c r="BA26" s="12"/>
      <c r="BB26" s="12"/>
      <c r="BC26" s="12"/>
      <c r="BD26" s="12"/>
      <c r="BE26" s="12"/>
      <c r="BF26" s="32"/>
    </row>
    <row r="27" spans="1:58" s="67" customFormat="1" ht="24" customHeight="1" x14ac:dyDescent="0.2">
      <c r="A27" s="66"/>
      <c r="B27" s="354" t="s">
        <v>167</v>
      </c>
      <c r="C27" s="354"/>
      <c r="D27" s="355"/>
      <c r="E27" s="355"/>
      <c r="F27" s="355"/>
      <c r="G27" s="355"/>
      <c r="H27" s="355"/>
      <c r="I27" s="355"/>
      <c r="J27" s="355"/>
      <c r="K27" s="355"/>
      <c r="L27" s="355"/>
      <c r="M27" s="32"/>
      <c r="N27" s="354" t="s">
        <v>180</v>
      </c>
      <c r="O27" s="354"/>
      <c r="P27" s="355"/>
      <c r="Q27" s="355"/>
      <c r="R27" s="355"/>
      <c r="S27" s="355"/>
      <c r="T27" s="355"/>
      <c r="U27" s="355"/>
      <c r="V27" s="355"/>
      <c r="W27" s="355"/>
      <c r="X27" s="355"/>
      <c r="Y27" s="70"/>
      <c r="Z27" s="354" t="s">
        <v>197</v>
      </c>
      <c r="AA27" s="354"/>
      <c r="AB27" s="355"/>
      <c r="AC27" s="355"/>
      <c r="AD27" s="355"/>
      <c r="AE27" s="355"/>
      <c r="AF27" s="355"/>
      <c r="AG27" s="355"/>
      <c r="AH27" s="355"/>
      <c r="AI27" s="355"/>
      <c r="AJ27" s="32"/>
      <c r="AK27" s="354" t="s">
        <v>247</v>
      </c>
      <c r="AL27" s="354"/>
      <c r="AM27" s="355"/>
      <c r="AN27" s="355"/>
      <c r="AO27" s="355"/>
      <c r="AP27" s="355"/>
      <c r="AQ27" s="355"/>
      <c r="AR27" s="355"/>
      <c r="AS27" s="355"/>
      <c r="AT27" s="355"/>
      <c r="AU27" s="66"/>
      <c r="AV27" s="354" t="s">
        <v>252</v>
      </c>
      <c r="AW27" s="354"/>
      <c r="AX27" s="355"/>
      <c r="AY27" s="355"/>
      <c r="AZ27" s="355"/>
      <c r="BA27" s="355"/>
      <c r="BB27" s="355"/>
      <c r="BC27" s="355"/>
      <c r="BD27" s="355"/>
      <c r="BE27" s="355"/>
      <c r="BF27" s="32"/>
    </row>
    <row r="28" spans="1:58" s="67" customFormat="1" ht="18" customHeight="1" x14ac:dyDescent="0.2">
      <c r="A28" s="66"/>
      <c r="B28" s="72"/>
      <c r="C28" s="73"/>
      <c r="D28" s="12"/>
      <c r="E28" s="12"/>
      <c r="F28" s="12"/>
      <c r="G28" s="12"/>
      <c r="H28" s="12"/>
      <c r="I28" s="12"/>
      <c r="J28" s="12"/>
      <c r="K28" s="12"/>
      <c r="L28" s="12"/>
      <c r="M28" s="32"/>
      <c r="N28" s="72"/>
      <c r="O28" s="73"/>
      <c r="P28" s="12"/>
      <c r="Q28" s="12"/>
      <c r="R28" s="12"/>
      <c r="S28" s="12"/>
      <c r="T28" s="12"/>
      <c r="U28" s="12"/>
      <c r="V28" s="12"/>
      <c r="W28" s="12"/>
      <c r="X28" s="12"/>
      <c r="Y28" s="66"/>
      <c r="Z28" s="72"/>
      <c r="AA28" s="73"/>
      <c r="AB28" s="12"/>
      <c r="AC28" s="12"/>
      <c r="AD28" s="12"/>
      <c r="AE28" s="12"/>
      <c r="AF28" s="12"/>
      <c r="AG28" s="12"/>
      <c r="AH28" s="12"/>
      <c r="AI28" s="12"/>
      <c r="AJ28" s="32"/>
      <c r="AK28" s="72"/>
      <c r="AL28" s="73"/>
      <c r="AM28" s="12"/>
      <c r="AN28" s="12"/>
      <c r="AO28" s="12"/>
      <c r="AP28" s="12"/>
      <c r="AQ28" s="12"/>
      <c r="AR28" s="12"/>
      <c r="AS28" s="12"/>
      <c r="AT28" s="12"/>
      <c r="AU28" s="66"/>
      <c r="AV28" s="72"/>
      <c r="AW28" s="73"/>
      <c r="AX28" s="12"/>
      <c r="AY28" s="12"/>
      <c r="AZ28" s="12"/>
      <c r="BA28" s="12"/>
      <c r="BB28" s="12"/>
      <c r="BC28" s="12"/>
      <c r="BD28" s="12"/>
      <c r="BE28" s="12"/>
      <c r="BF28" s="32"/>
    </row>
    <row r="29" spans="1:58" s="67" customFormat="1" ht="22.5" x14ac:dyDescent="0.2">
      <c r="A29" s="66"/>
      <c r="B29" s="10" t="s">
        <v>168</v>
      </c>
      <c r="C29" s="11"/>
      <c r="D29" s="3"/>
      <c r="E29" s="3"/>
      <c r="F29" s="30">
        <f t="shared" ref="F29:L29" si="60">F16</f>
        <v>2018</v>
      </c>
      <c r="G29" s="3">
        <f t="shared" si="60"/>
        <v>2019</v>
      </c>
      <c r="H29" s="3">
        <f t="shared" si="60"/>
        <v>2020</v>
      </c>
      <c r="I29" s="3">
        <f t="shared" si="60"/>
        <v>2021</v>
      </c>
      <c r="J29" s="31">
        <f t="shared" si="60"/>
        <v>2022</v>
      </c>
      <c r="K29" s="363" t="str">
        <f t="shared" si="60"/>
        <v>Total for 
2018-2022</v>
      </c>
      <c r="L29" s="3" t="str">
        <f t="shared" si="60"/>
        <v>Source</v>
      </c>
      <c r="M29" s="32"/>
      <c r="N29" s="10" t="s">
        <v>172</v>
      </c>
      <c r="O29" s="11"/>
      <c r="P29" s="3"/>
      <c r="Q29" s="3"/>
      <c r="R29" s="30">
        <f t="shared" ref="R29:W29" si="61">R16</f>
        <v>2018</v>
      </c>
      <c r="S29" s="3">
        <f t="shared" si="61"/>
        <v>2019</v>
      </c>
      <c r="T29" s="3">
        <f t="shared" si="61"/>
        <v>2020</v>
      </c>
      <c r="U29" s="3">
        <f t="shared" si="61"/>
        <v>2021</v>
      </c>
      <c r="V29" s="31">
        <f t="shared" si="61"/>
        <v>2022</v>
      </c>
      <c r="W29" s="3" t="str">
        <f t="shared" si="61"/>
        <v>Total for 
2018-2022</v>
      </c>
      <c r="X29" s="30" t="s">
        <v>100</v>
      </c>
      <c r="Y29" s="32"/>
      <c r="Z29" s="10"/>
      <c r="AA29" s="11"/>
      <c r="AB29" s="3"/>
      <c r="AC29" s="3"/>
      <c r="AD29" s="30">
        <f t="shared" ref="AD29:AI29" si="62">AD16</f>
        <v>2018</v>
      </c>
      <c r="AE29" s="3">
        <f t="shared" si="62"/>
        <v>2019</v>
      </c>
      <c r="AF29" s="3">
        <f t="shared" si="62"/>
        <v>2020</v>
      </c>
      <c r="AG29" s="3">
        <f t="shared" si="62"/>
        <v>2021</v>
      </c>
      <c r="AH29" s="31">
        <f t="shared" si="62"/>
        <v>2022</v>
      </c>
      <c r="AI29" s="3" t="str">
        <f t="shared" si="62"/>
        <v>Total for 
2018-2022</v>
      </c>
      <c r="AJ29" s="32"/>
      <c r="AK29" s="10"/>
      <c r="AL29" s="11"/>
      <c r="AM29" s="3"/>
      <c r="AN29" s="3"/>
      <c r="AO29" s="30">
        <f t="shared" ref="AO29:AT29" si="63">AO16</f>
        <v>2018</v>
      </c>
      <c r="AP29" s="3">
        <f t="shared" si="63"/>
        <v>2019</v>
      </c>
      <c r="AQ29" s="3">
        <f t="shared" si="63"/>
        <v>2020</v>
      </c>
      <c r="AR29" s="3">
        <f t="shared" si="63"/>
        <v>2021</v>
      </c>
      <c r="AS29" s="31">
        <f t="shared" si="63"/>
        <v>2022</v>
      </c>
      <c r="AT29" s="3" t="str">
        <f t="shared" si="63"/>
        <v>Total for 
2018-2022</v>
      </c>
      <c r="AU29" s="66"/>
      <c r="AV29" s="10"/>
      <c r="AW29" s="11"/>
      <c r="AX29" s="3"/>
      <c r="AY29" s="3"/>
      <c r="AZ29" s="30">
        <f t="shared" ref="AZ29:BE29" si="64">AZ16</f>
        <v>2018</v>
      </c>
      <c r="BA29" s="3">
        <f t="shared" si="64"/>
        <v>2019</v>
      </c>
      <c r="BB29" s="3">
        <f t="shared" si="64"/>
        <v>2020</v>
      </c>
      <c r="BC29" s="3">
        <f t="shared" si="64"/>
        <v>2021</v>
      </c>
      <c r="BD29" s="31">
        <f t="shared" si="64"/>
        <v>2022</v>
      </c>
      <c r="BE29" s="3" t="str">
        <f t="shared" si="64"/>
        <v>Total for 
2018-2022</v>
      </c>
      <c r="BF29" s="32"/>
    </row>
    <row r="30" spans="1:58" s="67" customFormat="1" ht="20.100000000000001" customHeight="1" x14ac:dyDescent="0.2">
      <c r="A30" s="66"/>
      <c r="B30" s="29" t="str">
        <f>'Capex Model Category Index'!B18</f>
        <v>11</v>
      </c>
      <c r="C30" s="29" t="str">
        <f>'Capex Model Category Index'!C18</f>
        <v>Service Renewal - Non AMRP</v>
      </c>
      <c r="D30" s="15"/>
      <c r="E30" s="15"/>
      <c r="F30" s="627" t="s">
        <v>445</v>
      </c>
      <c r="G30" s="628" t="s">
        <v>445</v>
      </c>
      <c r="H30" s="628" t="s">
        <v>445</v>
      </c>
      <c r="I30" s="628" t="s">
        <v>445</v>
      </c>
      <c r="J30" s="629" t="s">
        <v>445</v>
      </c>
      <c r="K30" s="61">
        <v>3640</v>
      </c>
      <c r="L30" s="409" t="str">
        <f>'Capex Category Summary (Alb)'!L30</f>
        <v>Attachment 8.2 Distribution Mains and Services Integrity Plan</v>
      </c>
      <c r="M30" s="32"/>
      <c r="N30" s="510" t="str">
        <f>B30</f>
        <v>11</v>
      </c>
      <c r="O30" s="510" t="str">
        <f>C30</f>
        <v>Service Renewal - Non AMRP</v>
      </c>
      <c r="P30" s="511"/>
      <c r="Q30" s="511"/>
      <c r="R30" s="643" t="s">
        <v>445</v>
      </c>
      <c r="S30" s="637" t="s">
        <v>445</v>
      </c>
      <c r="T30" s="637" t="s">
        <v>445</v>
      </c>
      <c r="U30" s="637" t="s">
        <v>445</v>
      </c>
      <c r="V30" s="644" t="s">
        <v>445</v>
      </c>
      <c r="W30" s="511"/>
      <c r="X30" s="512" t="str">
        <f>'Capex Category Summary (Alb)'!X30</f>
        <v>Attachment 8.4 Unit Rates Forecast</v>
      </c>
      <c r="Y30" s="32"/>
      <c r="Z30" s="29" t="str">
        <f>N30</f>
        <v>11</v>
      </c>
      <c r="AA30" s="29" t="str">
        <f>O30</f>
        <v>Service Renewal - Non AMRP</v>
      </c>
      <c r="AB30" s="212"/>
      <c r="AC30" s="212"/>
      <c r="AD30" s="215">
        <v>0.7459403602628556</v>
      </c>
      <c r="AE30" s="216">
        <v>0.7459403602628556</v>
      </c>
      <c r="AF30" s="216">
        <v>0.7459403602628556</v>
      </c>
      <c r="AG30" s="216">
        <v>0.7459403602628556</v>
      </c>
      <c r="AH30" s="217">
        <v>0.7459403602628556</v>
      </c>
      <c r="AI30" s="212">
        <f>SUM(AD30:AH30)</f>
        <v>3.729701801314278</v>
      </c>
      <c r="AJ30" s="32"/>
      <c r="AK30" s="29" t="str">
        <f>Z30</f>
        <v>11</v>
      </c>
      <c r="AL30" s="29" t="str">
        <f>AA30</f>
        <v>Service Renewal - Non AMRP</v>
      </c>
      <c r="AM30" s="212"/>
      <c r="AN30" s="212"/>
      <c r="AO30" s="215">
        <f>AD30*(1+'Real Cost Escalation'!E$18)</f>
        <v>0.750961971657362</v>
      </c>
      <c r="AP30" s="216">
        <f>AE30*(1+'Real Cost Escalation'!F$18)</f>
        <v>0.75525421561900086</v>
      </c>
      <c r="AQ30" s="216">
        <f>AF30*(1+'Real Cost Escalation'!G$18)</f>
        <v>0.76058844101788192</v>
      </c>
      <c r="AR30" s="216">
        <f>AG30*(1+'Real Cost Escalation'!H$18)</f>
        <v>0.76718431430210965</v>
      </c>
      <c r="AS30" s="217">
        <f>AH30*(1+'Real Cost Escalation'!I$18)</f>
        <v>0.77463578807386002</v>
      </c>
      <c r="AT30" s="212">
        <f>SUM(AO30:AS30)</f>
        <v>3.8086247306702141</v>
      </c>
      <c r="AU30" s="66"/>
      <c r="AV30" s="29" t="str">
        <f>AK30</f>
        <v>11</v>
      </c>
      <c r="AW30" s="29" t="str">
        <f>AL30</f>
        <v>Service Renewal - Non AMRP</v>
      </c>
      <c r="AX30" s="360"/>
      <c r="AY30" s="360"/>
      <c r="AZ30" s="215">
        <f t="shared" ref="AZ30:BD30" si="65">AO30-AD30</f>
        <v>5.0216113945064089E-3</v>
      </c>
      <c r="BA30" s="216">
        <f t="shared" si="65"/>
        <v>9.3138553561452619E-3</v>
      </c>
      <c r="BB30" s="216">
        <f t="shared" si="65"/>
        <v>1.4648080755026327E-2</v>
      </c>
      <c r="BC30" s="216">
        <f t="shared" si="65"/>
        <v>2.1243954039254054E-2</v>
      </c>
      <c r="BD30" s="217">
        <f t="shared" si="65"/>
        <v>2.8695427811004426E-2</v>
      </c>
      <c r="BE30" s="212">
        <f>SUM(AZ30:BD30)</f>
        <v>7.8922929355936478E-2</v>
      </c>
      <c r="BF30" s="32"/>
    </row>
    <row r="31" spans="1:58" s="67" customFormat="1" ht="20.100000000000001" customHeight="1" thickBot="1" x14ac:dyDescent="0.25">
      <c r="A31" s="66"/>
      <c r="B31" s="24"/>
      <c r="C31" s="24" t="s">
        <v>170</v>
      </c>
      <c r="D31" s="22"/>
      <c r="E31" s="22"/>
      <c r="F31" s="21">
        <v>728</v>
      </c>
      <c r="G31" s="22">
        <v>728</v>
      </c>
      <c r="H31" s="22">
        <v>728</v>
      </c>
      <c r="I31" s="22">
        <v>728</v>
      </c>
      <c r="J31" s="23">
        <v>728</v>
      </c>
      <c r="K31" s="58">
        <v>3640</v>
      </c>
      <c r="L31" s="26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/>
      <c r="AA31" s="24" t="s">
        <v>170</v>
      </c>
      <c r="AB31" s="210"/>
      <c r="AC31" s="210"/>
      <c r="AD31" s="209">
        <f t="shared" ref="AD31:AI31" si="66">SUM(AD30:AD30)</f>
        <v>0.7459403602628556</v>
      </c>
      <c r="AE31" s="210">
        <f t="shared" si="66"/>
        <v>0.7459403602628556</v>
      </c>
      <c r="AF31" s="210">
        <f t="shared" si="66"/>
        <v>0.7459403602628556</v>
      </c>
      <c r="AG31" s="210">
        <f t="shared" si="66"/>
        <v>0.7459403602628556</v>
      </c>
      <c r="AH31" s="211">
        <f t="shared" si="66"/>
        <v>0.7459403602628556</v>
      </c>
      <c r="AI31" s="210">
        <f t="shared" si="66"/>
        <v>3.729701801314278</v>
      </c>
      <c r="AJ31" s="32"/>
      <c r="AK31" s="24"/>
      <c r="AL31" s="24" t="s">
        <v>170</v>
      </c>
      <c r="AM31" s="210"/>
      <c r="AN31" s="210"/>
      <c r="AO31" s="209">
        <f t="shared" ref="AO31:AT31" si="67">SUM(AO30:AO30)</f>
        <v>0.750961971657362</v>
      </c>
      <c r="AP31" s="210">
        <f t="shared" si="67"/>
        <v>0.75525421561900086</v>
      </c>
      <c r="AQ31" s="210">
        <f t="shared" si="67"/>
        <v>0.76058844101788192</v>
      </c>
      <c r="AR31" s="210">
        <f t="shared" si="67"/>
        <v>0.76718431430210965</v>
      </c>
      <c r="AS31" s="211">
        <f t="shared" si="67"/>
        <v>0.77463578807386002</v>
      </c>
      <c r="AT31" s="210">
        <f t="shared" si="67"/>
        <v>3.8086247306702141</v>
      </c>
      <c r="AU31" s="66"/>
      <c r="AV31" s="24"/>
      <c r="AW31" s="24" t="s">
        <v>170</v>
      </c>
      <c r="AX31" s="266"/>
      <c r="AY31" s="266"/>
      <c r="AZ31" s="209">
        <f t="shared" ref="AZ31:BE31" si="68">SUM(AZ30:AZ30)</f>
        <v>5.0216113945064089E-3</v>
      </c>
      <c r="BA31" s="210">
        <f t="shared" si="68"/>
        <v>9.3138553561452619E-3</v>
      </c>
      <c r="BB31" s="210">
        <f t="shared" si="68"/>
        <v>1.4648080755026327E-2</v>
      </c>
      <c r="BC31" s="210">
        <f t="shared" si="68"/>
        <v>2.1243954039254054E-2</v>
      </c>
      <c r="BD31" s="211">
        <f t="shared" si="68"/>
        <v>2.8695427811004426E-2</v>
      </c>
      <c r="BE31" s="210">
        <f t="shared" si="68"/>
        <v>7.8922929355936478E-2</v>
      </c>
      <c r="BF31" s="32"/>
    </row>
    <row r="32" spans="1:58" s="67" customFormat="1" ht="20.100000000000001" customHeight="1" x14ac:dyDescent="0.2">
      <c r="A32" s="66"/>
      <c r="B32" s="72"/>
      <c r="C32" s="73"/>
      <c r="D32" s="12"/>
      <c r="E32" s="12"/>
      <c r="F32" s="12"/>
      <c r="G32" s="12"/>
      <c r="H32" s="12"/>
      <c r="I32" s="12"/>
      <c r="J32" s="12"/>
      <c r="K32" s="12"/>
      <c r="L32" s="12"/>
      <c r="M32" s="32"/>
      <c r="N32" s="72"/>
      <c r="O32" s="73"/>
      <c r="P32" s="12"/>
      <c r="Q32" s="12"/>
      <c r="R32" s="12"/>
      <c r="S32" s="12"/>
      <c r="T32" s="12"/>
      <c r="U32" s="12"/>
      <c r="V32" s="12"/>
      <c r="W32" s="12"/>
      <c r="X32" s="12"/>
      <c r="Y32" s="66"/>
      <c r="Z32" s="72"/>
      <c r="AA32" s="73"/>
      <c r="AB32" s="12"/>
      <c r="AC32" s="12"/>
      <c r="AD32" s="12"/>
      <c r="AE32" s="12"/>
      <c r="AF32" s="12"/>
      <c r="AG32" s="12"/>
      <c r="AH32" s="12"/>
      <c r="AI32" s="12"/>
      <c r="AJ32" s="32"/>
      <c r="AK32" s="72"/>
      <c r="AL32" s="73"/>
      <c r="AM32" s="12"/>
      <c r="AN32" s="12"/>
      <c r="AO32" s="12"/>
      <c r="AP32" s="12"/>
      <c r="AQ32" s="12"/>
      <c r="AR32" s="12"/>
      <c r="AS32" s="12"/>
      <c r="AT32" s="12"/>
      <c r="AU32" s="66"/>
      <c r="AV32" s="72"/>
      <c r="AW32" s="73"/>
      <c r="AX32" s="12"/>
      <c r="AY32" s="12"/>
      <c r="AZ32" s="12"/>
      <c r="BA32" s="12"/>
      <c r="BB32" s="12"/>
      <c r="BC32" s="12"/>
      <c r="BD32" s="12"/>
      <c r="BE32" s="12"/>
      <c r="BF32" s="32"/>
    </row>
    <row r="33" spans="1:58" ht="24" customHeight="1" x14ac:dyDescent="0.2">
      <c r="A33" s="66"/>
      <c r="B33" s="354" t="s">
        <v>188</v>
      </c>
      <c r="C33" s="354"/>
      <c r="D33" s="355"/>
      <c r="E33" s="355"/>
      <c r="F33" s="355"/>
      <c r="G33" s="355"/>
      <c r="H33" s="355"/>
      <c r="I33" s="355"/>
      <c r="J33" s="355"/>
      <c r="K33" s="355"/>
      <c r="L33" s="355"/>
      <c r="M33" s="32"/>
      <c r="N33" s="354" t="s">
        <v>182</v>
      </c>
      <c r="O33" s="354"/>
      <c r="P33" s="355"/>
      <c r="Q33" s="355"/>
      <c r="R33" s="355"/>
      <c r="S33" s="355"/>
      <c r="T33" s="355"/>
      <c r="U33" s="355"/>
      <c r="V33" s="355"/>
      <c r="W33" s="355"/>
      <c r="X33" s="355"/>
      <c r="Y33" s="70"/>
      <c r="Z33" s="354" t="s">
        <v>199</v>
      </c>
      <c r="AA33" s="354"/>
      <c r="AB33" s="355"/>
      <c r="AC33" s="355"/>
      <c r="AD33" s="355"/>
      <c r="AE33" s="355"/>
      <c r="AF33" s="355"/>
      <c r="AG33" s="355"/>
      <c r="AH33" s="355"/>
      <c r="AI33" s="355"/>
      <c r="AJ33" s="32"/>
      <c r="AK33" s="354" t="s">
        <v>248</v>
      </c>
      <c r="AL33" s="354"/>
      <c r="AM33" s="355"/>
      <c r="AN33" s="355"/>
      <c r="AO33" s="355"/>
      <c r="AP33" s="355"/>
      <c r="AQ33" s="355"/>
      <c r="AR33" s="355"/>
      <c r="AS33" s="355"/>
      <c r="AT33" s="355"/>
      <c r="AU33" s="66"/>
      <c r="AV33" s="354" t="s">
        <v>253</v>
      </c>
      <c r="AW33" s="354"/>
      <c r="AX33" s="355"/>
      <c r="AY33" s="355"/>
      <c r="AZ33" s="355"/>
      <c r="BA33" s="355"/>
      <c r="BB33" s="355"/>
      <c r="BC33" s="355"/>
      <c r="BD33" s="355"/>
      <c r="BE33" s="355"/>
      <c r="BF33" s="32"/>
    </row>
    <row r="34" spans="1:58" x14ac:dyDescent="0.2">
      <c r="A34" s="66"/>
      <c r="B34" s="72"/>
      <c r="C34" s="73"/>
      <c r="D34" s="12"/>
      <c r="E34" s="12"/>
      <c r="F34" s="12"/>
      <c r="G34" s="12"/>
      <c r="H34" s="12"/>
      <c r="I34" s="12"/>
      <c r="J34" s="12"/>
      <c r="K34" s="12"/>
      <c r="L34" s="12"/>
      <c r="M34" s="32"/>
      <c r="N34" s="72"/>
      <c r="O34" s="73"/>
      <c r="P34" s="12"/>
      <c r="Q34" s="12"/>
      <c r="R34" s="12"/>
      <c r="S34" s="12"/>
      <c r="T34" s="12"/>
      <c r="U34" s="12"/>
      <c r="V34" s="12"/>
      <c r="W34" s="12"/>
      <c r="X34" s="12"/>
      <c r="Y34" s="32"/>
      <c r="Z34" s="72"/>
      <c r="AA34" s="73"/>
      <c r="AB34" s="12"/>
      <c r="AC34" s="12"/>
      <c r="AD34" s="12"/>
      <c r="AE34" s="12"/>
      <c r="AF34" s="12"/>
      <c r="AG34" s="12"/>
      <c r="AH34" s="12"/>
      <c r="AI34" s="12"/>
      <c r="AJ34" s="32"/>
      <c r="AK34" s="72"/>
      <c r="AL34" s="73"/>
      <c r="AM34" s="12"/>
      <c r="AN34" s="12"/>
      <c r="AO34" s="12"/>
      <c r="AP34" s="12"/>
      <c r="AQ34" s="12"/>
      <c r="AR34" s="12"/>
      <c r="AS34" s="12"/>
      <c r="AT34" s="12"/>
      <c r="AU34" s="66"/>
      <c r="AV34" s="72"/>
      <c r="AW34" s="73"/>
      <c r="AX34" s="12"/>
      <c r="AY34" s="12"/>
      <c r="AZ34" s="12"/>
      <c r="BA34" s="12"/>
      <c r="BB34" s="12"/>
      <c r="BC34" s="12"/>
      <c r="BD34" s="12"/>
      <c r="BE34" s="12"/>
      <c r="BF34" s="32"/>
    </row>
    <row r="35" spans="1:58" ht="22.5" x14ac:dyDescent="0.2">
      <c r="A35" s="66"/>
      <c r="B35" s="10" t="s">
        <v>176</v>
      </c>
      <c r="C35" s="11"/>
      <c r="D35" s="3"/>
      <c r="E35" s="4"/>
      <c r="F35" s="7">
        <v>2018</v>
      </c>
      <c r="G35" s="8">
        <v>2019</v>
      </c>
      <c r="H35" s="8">
        <v>2020</v>
      </c>
      <c r="I35" s="8">
        <v>2021</v>
      </c>
      <c r="J35" s="9">
        <v>2022</v>
      </c>
      <c r="K35" s="30" t="s">
        <v>73</v>
      </c>
      <c r="L35" s="30" t="s">
        <v>100</v>
      </c>
      <c r="M35" s="32"/>
      <c r="N35" s="10" t="s">
        <v>175</v>
      </c>
      <c r="O35" s="11"/>
      <c r="P35" s="3"/>
      <c r="Q35" s="4"/>
      <c r="R35" s="5">
        <f t="shared" ref="R35:W35" si="69">F35</f>
        <v>2018</v>
      </c>
      <c r="S35" s="4">
        <f t="shared" si="69"/>
        <v>2019</v>
      </c>
      <c r="T35" s="4">
        <f t="shared" si="69"/>
        <v>2020</v>
      </c>
      <c r="U35" s="4">
        <f t="shared" si="69"/>
        <v>2021</v>
      </c>
      <c r="V35" s="6">
        <f t="shared" si="69"/>
        <v>2022</v>
      </c>
      <c r="W35" s="30" t="str">
        <f t="shared" si="69"/>
        <v>Total for 
2018-2022</v>
      </c>
      <c r="X35" s="30" t="str">
        <f>L35</f>
        <v>Source</v>
      </c>
      <c r="Y35" s="32"/>
      <c r="Z35" s="10"/>
      <c r="AA35" s="11"/>
      <c r="AB35" s="3"/>
      <c r="AC35" s="4"/>
      <c r="AD35" s="5">
        <f t="shared" ref="AD35:AI35" si="70">R35</f>
        <v>2018</v>
      </c>
      <c r="AE35" s="4">
        <f t="shared" si="70"/>
        <v>2019</v>
      </c>
      <c r="AF35" s="4">
        <f t="shared" si="70"/>
        <v>2020</v>
      </c>
      <c r="AG35" s="4">
        <f t="shared" si="70"/>
        <v>2021</v>
      </c>
      <c r="AH35" s="6">
        <f t="shared" si="70"/>
        <v>2022</v>
      </c>
      <c r="AI35" s="3" t="str">
        <f t="shared" si="70"/>
        <v>Total for 
2018-2022</v>
      </c>
      <c r="AJ35" s="32"/>
      <c r="AK35" s="10"/>
      <c r="AL35" s="11"/>
      <c r="AM35" s="3"/>
      <c r="AN35" s="4"/>
      <c r="AO35" s="5">
        <f t="shared" ref="AO35:AT35" si="71">AD35</f>
        <v>2018</v>
      </c>
      <c r="AP35" s="4">
        <f t="shared" si="71"/>
        <v>2019</v>
      </c>
      <c r="AQ35" s="4">
        <f t="shared" si="71"/>
        <v>2020</v>
      </c>
      <c r="AR35" s="4">
        <f t="shared" si="71"/>
        <v>2021</v>
      </c>
      <c r="AS35" s="6">
        <f t="shared" si="71"/>
        <v>2022</v>
      </c>
      <c r="AT35" s="3" t="str">
        <f t="shared" si="71"/>
        <v>Total for 
2018-2022</v>
      </c>
      <c r="AU35" s="66"/>
      <c r="AV35" s="10"/>
      <c r="AW35" s="11"/>
      <c r="AX35" s="3"/>
      <c r="AY35" s="4"/>
      <c r="AZ35" s="5">
        <f t="shared" ref="AZ35:BE35" si="72">AO35</f>
        <v>2018</v>
      </c>
      <c r="BA35" s="4">
        <f t="shared" si="72"/>
        <v>2019</v>
      </c>
      <c r="BB35" s="4">
        <f t="shared" si="72"/>
        <v>2020</v>
      </c>
      <c r="BC35" s="4">
        <f t="shared" si="72"/>
        <v>2021</v>
      </c>
      <c r="BD35" s="6">
        <f t="shared" si="72"/>
        <v>2022</v>
      </c>
      <c r="BE35" s="3" t="str">
        <f t="shared" si="72"/>
        <v>Total for 
2018-2022</v>
      </c>
      <c r="BF35" s="32"/>
    </row>
    <row r="36" spans="1:58" ht="18" customHeight="1" x14ac:dyDescent="0.2">
      <c r="A36" s="66"/>
      <c r="B36" s="29" t="str">
        <f>'Capex Model Category Index'!B19</f>
        <v>12</v>
      </c>
      <c r="C36" s="29" t="str">
        <f>'Capex Model Category Index'!C19</f>
        <v>New Main - Estate</v>
      </c>
      <c r="D36" s="15"/>
      <c r="E36" s="15"/>
      <c r="F36" s="624" t="s">
        <v>445</v>
      </c>
      <c r="G36" s="625" t="s">
        <v>445</v>
      </c>
      <c r="H36" s="625" t="s">
        <v>445</v>
      </c>
      <c r="I36" s="625" t="s">
        <v>445</v>
      </c>
      <c r="J36" s="625" t="s">
        <v>445</v>
      </c>
      <c r="K36" s="16">
        <v>662455.07279120514</v>
      </c>
      <c r="L36" s="409" t="str">
        <f>'Capex Category Summary (Alb)'!L36</f>
        <v>Derived from Core Energy customer number forecast</v>
      </c>
      <c r="M36" s="32"/>
      <c r="N36" s="29" t="str">
        <f t="shared" ref="N36:O38" si="73">B36</f>
        <v>12</v>
      </c>
      <c r="O36" s="29" t="str">
        <f t="shared" si="73"/>
        <v>New Main - Estate</v>
      </c>
      <c r="P36" s="41"/>
      <c r="Q36" s="41"/>
      <c r="R36" s="640" t="s">
        <v>445</v>
      </c>
      <c r="S36" s="634" t="s">
        <v>445</v>
      </c>
      <c r="T36" s="634" t="s">
        <v>445</v>
      </c>
      <c r="U36" s="634" t="s">
        <v>445</v>
      </c>
      <c r="V36" s="639" t="s">
        <v>445</v>
      </c>
      <c r="W36" s="42"/>
      <c r="X36" s="409" t="str">
        <f>'Capex Category Summary (Alb)'!X36</f>
        <v>Attachment 8.4 Unit Rates Forecast</v>
      </c>
      <c r="Y36" s="32"/>
      <c r="Z36" s="29" t="str">
        <f>B36</f>
        <v>12</v>
      </c>
      <c r="AA36" s="29" t="str">
        <f>C36</f>
        <v>New Main - Estate</v>
      </c>
      <c r="AB36" s="212"/>
      <c r="AC36" s="212"/>
      <c r="AD36" s="207">
        <v>6.8660545079096398</v>
      </c>
      <c r="AE36" s="208">
        <v>6.4950363718294382</v>
      </c>
      <c r="AF36" s="208">
        <v>6.4875448301148904</v>
      </c>
      <c r="AG36" s="208">
        <v>6.6296001233028754</v>
      </c>
      <c r="AH36" s="56">
        <v>6.742306537413814</v>
      </c>
      <c r="AI36" s="212">
        <f t="shared" ref="AI36:AI38" si="74">SUM(AD36:AH36)</f>
        <v>33.220542370570655</v>
      </c>
      <c r="AJ36" s="32"/>
      <c r="AK36" s="29" t="str">
        <f t="shared" ref="AK36:AL38" si="75">N36</f>
        <v>12</v>
      </c>
      <c r="AL36" s="29" t="str">
        <f t="shared" si="75"/>
        <v>New Main - Estate</v>
      </c>
      <c r="AM36" s="212"/>
      <c r="AN36" s="212"/>
      <c r="AO36" s="207">
        <f>AD36*(1+'Real Cost Escalation'!E$18)</f>
        <v>6.9122762427680016</v>
      </c>
      <c r="AP36" s="208">
        <f>AE36*(1+'Real Cost Escalation'!F$18)</f>
        <v>6.5761337792398704</v>
      </c>
      <c r="AQ36" s="208">
        <f>AF36*(1+'Real Cost Escalation'!G$18)</f>
        <v>6.6149411819356834</v>
      </c>
      <c r="AR36" s="208">
        <f>AG36*(1+'Real Cost Escalation'!H$18)</f>
        <v>6.8184073360785051</v>
      </c>
      <c r="AS36" s="56">
        <f>AH36*(1+'Real Cost Escalation'!I$18)</f>
        <v>7.0016749545562318</v>
      </c>
      <c r="AT36" s="212">
        <f>SUM(AO36:AS36)</f>
        <v>33.92343349457829</v>
      </c>
      <c r="AU36" s="66"/>
      <c r="AV36" s="29" t="str">
        <f t="shared" ref="AV36:AW38" si="76">Z36</f>
        <v>12</v>
      </c>
      <c r="AW36" s="29" t="str">
        <f t="shared" si="76"/>
        <v>New Main - Estate</v>
      </c>
      <c r="AX36" s="360"/>
      <c r="AY36" s="360"/>
      <c r="AZ36" s="207">
        <f t="shared" ref="AZ36:BD38" si="77">AO36-AD36</f>
        <v>4.6221734858361785E-2</v>
      </c>
      <c r="BA36" s="208">
        <f t="shared" si="77"/>
        <v>8.1097407410432254E-2</v>
      </c>
      <c r="BB36" s="208">
        <f t="shared" si="77"/>
        <v>0.12739635182079301</v>
      </c>
      <c r="BC36" s="208">
        <f t="shared" si="77"/>
        <v>0.18880721277562973</v>
      </c>
      <c r="BD36" s="56">
        <f t="shared" si="77"/>
        <v>0.25936841714241776</v>
      </c>
      <c r="BE36" s="212">
        <f t="shared" ref="BE36:BE38" si="78">SUM(AZ36:BD36)</f>
        <v>0.70289112400763454</v>
      </c>
      <c r="BF36" s="32"/>
    </row>
    <row r="37" spans="1:58" ht="18" customHeight="1" x14ac:dyDescent="0.2">
      <c r="A37" s="66"/>
      <c r="B37" s="29" t="str">
        <f>'Capex Model Category Index'!B20</f>
        <v>13</v>
      </c>
      <c r="C37" s="29" t="str">
        <f>'Capex Model Category Index'!C20</f>
        <v>New Main - Existing Domestic</v>
      </c>
      <c r="D37" s="15"/>
      <c r="E37" s="15"/>
      <c r="F37" s="627" t="s">
        <v>445</v>
      </c>
      <c r="G37" s="628" t="s">
        <v>445</v>
      </c>
      <c r="H37" s="628" t="s">
        <v>445</v>
      </c>
      <c r="I37" s="628" t="s">
        <v>445</v>
      </c>
      <c r="J37" s="628" t="s">
        <v>445</v>
      </c>
      <c r="K37" s="16">
        <v>40792.043811174313</v>
      </c>
      <c r="L37" s="409" t="str">
        <f>'Capex Category Summary (Alb)'!L37</f>
        <v>Derived from Core Energy customer number forecast</v>
      </c>
      <c r="M37" s="32"/>
      <c r="N37" s="29" t="str">
        <f t="shared" si="73"/>
        <v>13</v>
      </c>
      <c r="O37" s="29" t="str">
        <f t="shared" si="73"/>
        <v>New Main - Existing Domestic</v>
      </c>
      <c r="P37" s="41"/>
      <c r="Q37" s="41"/>
      <c r="R37" s="640" t="s">
        <v>445</v>
      </c>
      <c r="S37" s="634" t="s">
        <v>445</v>
      </c>
      <c r="T37" s="634" t="s">
        <v>445</v>
      </c>
      <c r="U37" s="634" t="s">
        <v>445</v>
      </c>
      <c r="V37" s="639" t="s">
        <v>445</v>
      </c>
      <c r="W37" s="42"/>
      <c r="X37" s="409" t="str">
        <f>'Capex Category Summary (Alb)'!X37</f>
        <v>Attachment 8.4 Unit Rates Forecast</v>
      </c>
      <c r="Y37" s="32"/>
      <c r="Z37" s="29" t="str">
        <f t="shared" ref="Z37:AA38" si="79">B37</f>
        <v>13</v>
      </c>
      <c r="AA37" s="29" t="str">
        <f t="shared" si="79"/>
        <v>New Main - Existing Domestic</v>
      </c>
      <c r="AB37" s="212"/>
      <c r="AC37" s="212"/>
      <c r="AD37" s="207">
        <v>0.9067637743412772</v>
      </c>
      <c r="AE37" s="208">
        <v>0.85530221469382672</v>
      </c>
      <c r="AF37" s="208">
        <v>0.85363482812619051</v>
      </c>
      <c r="AG37" s="208">
        <v>0.8724445820716582</v>
      </c>
      <c r="AH37" s="56">
        <v>0.88722121473183135</v>
      </c>
      <c r="AI37" s="212">
        <f t="shared" si="74"/>
        <v>4.3753666139647844</v>
      </c>
      <c r="AJ37" s="32"/>
      <c r="AK37" s="29" t="str">
        <f t="shared" si="75"/>
        <v>13</v>
      </c>
      <c r="AL37" s="29" t="str">
        <f t="shared" si="75"/>
        <v>New Main - Existing Domestic</v>
      </c>
      <c r="AM37" s="212"/>
      <c r="AN37" s="212"/>
      <c r="AO37" s="207">
        <f>AD37*(1+'Real Cost Escalation'!E$18)</f>
        <v>0.91286803621517987</v>
      </c>
      <c r="AP37" s="208">
        <f>AE37*(1+'Real Cost Escalation'!F$18)</f>
        <v>0.8659815686178346</v>
      </c>
      <c r="AQ37" s="208">
        <f>AF37*(1+'Real Cost Escalation'!G$18)</f>
        <v>0.87039771235099528</v>
      </c>
      <c r="AR37" s="208">
        <f>AG37*(1+'Real Cost Escalation'!H$18)</f>
        <v>0.89729130386158173</v>
      </c>
      <c r="AS37" s="56">
        <f>AH37*(1+'Real Cost Escalation'!I$18)</f>
        <v>0.92135154696208854</v>
      </c>
      <c r="AT37" s="212">
        <f>SUM(AO37:AS37)</f>
        <v>4.4678901680076795</v>
      </c>
      <c r="AU37" s="66"/>
      <c r="AV37" s="29" t="str">
        <f t="shared" si="76"/>
        <v>13</v>
      </c>
      <c r="AW37" s="29" t="str">
        <f t="shared" si="76"/>
        <v>New Main - Existing Domestic</v>
      </c>
      <c r="AX37" s="360"/>
      <c r="AY37" s="360"/>
      <c r="AZ37" s="207">
        <f t="shared" si="77"/>
        <v>6.1042618739026722E-3</v>
      </c>
      <c r="BA37" s="208">
        <f t="shared" si="77"/>
        <v>1.0679353924007873E-2</v>
      </c>
      <c r="BB37" s="208">
        <f t="shared" si="77"/>
        <v>1.6762884224804764E-2</v>
      </c>
      <c r="BC37" s="208">
        <f t="shared" si="77"/>
        <v>2.4846721789923532E-2</v>
      </c>
      <c r="BD37" s="56">
        <f t="shared" si="77"/>
        <v>3.4130332230257188E-2</v>
      </c>
      <c r="BE37" s="212">
        <f t="shared" si="78"/>
        <v>9.2523554042896028E-2</v>
      </c>
      <c r="BF37" s="32"/>
    </row>
    <row r="38" spans="1:58" ht="18" customHeight="1" x14ac:dyDescent="0.2">
      <c r="A38" s="66"/>
      <c r="B38" s="29" t="str">
        <f>'Capex Model Category Index'!B21</f>
        <v>14</v>
      </c>
      <c r="C38" s="29" t="str">
        <f>'Capex Model Category Index'!C21</f>
        <v>New Main - I&amp;C&lt;10TJ</v>
      </c>
      <c r="D38" s="15"/>
      <c r="E38" s="15"/>
      <c r="F38" s="627" t="s">
        <v>445</v>
      </c>
      <c r="G38" s="628" t="s">
        <v>445</v>
      </c>
      <c r="H38" s="628" t="s">
        <v>445</v>
      </c>
      <c r="I38" s="628" t="s">
        <v>445</v>
      </c>
      <c r="J38" s="629" t="s">
        <v>445</v>
      </c>
      <c r="K38" s="16">
        <v>29744.033272347042</v>
      </c>
      <c r="L38" s="409" t="str">
        <f>'Capex Category Summary (Alb)'!L38</f>
        <v>Derived from Core Energy customer number forecast</v>
      </c>
      <c r="M38" s="32"/>
      <c r="N38" s="359" t="str">
        <f t="shared" si="73"/>
        <v>14</v>
      </c>
      <c r="O38" s="359" t="str">
        <f t="shared" si="73"/>
        <v>New Main - I&amp;C&lt;10TJ</v>
      </c>
      <c r="P38" s="507"/>
      <c r="Q38" s="507"/>
      <c r="R38" s="641" t="s">
        <v>445</v>
      </c>
      <c r="S38" s="638" t="s">
        <v>445</v>
      </c>
      <c r="T38" s="638" t="s">
        <v>445</v>
      </c>
      <c r="U38" s="638" t="s">
        <v>445</v>
      </c>
      <c r="V38" s="642" t="s">
        <v>445</v>
      </c>
      <c r="W38" s="508"/>
      <c r="X38" s="509" t="str">
        <f>'Capex Category Summary (Alb)'!X38</f>
        <v>Attachment 8.4 Unit Rates Forecast</v>
      </c>
      <c r="Y38" s="32"/>
      <c r="Z38" s="29" t="str">
        <f t="shared" si="79"/>
        <v>14</v>
      </c>
      <c r="AA38" s="29" t="str">
        <f t="shared" si="79"/>
        <v>New Main - I&amp;C&lt;10TJ</v>
      </c>
      <c r="AB38" s="212"/>
      <c r="AC38" s="212"/>
      <c r="AD38" s="207">
        <v>2.2679537549402147</v>
      </c>
      <c r="AE38" s="208">
        <v>2.2813394895948034</v>
      </c>
      <c r="AF38" s="208">
        <v>2.2948161588088292</v>
      </c>
      <c r="AG38" s="208">
        <v>2.3083846515339101</v>
      </c>
      <c r="AH38" s="56">
        <v>2.3220458692600126</v>
      </c>
      <c r="AI38" s="212">
        <f t="shared" si="74"/>
        <v>11.474539924137771</v>
      </c>
      <c r="AJ38" s="32"/>
      <c r="AK38" s="29" t="str">
        <f t="shared" si="75"/>
        <v>14</v>
      </c>
      <c r="AL38" s="29" t="str">
        <f t="shared" si="75"/>
        <v>New Main - I&amp;C&lt;10TJ</v>
      </c>
      <c r="AM38" s="212"/>
      <c r="AN38" s="212"/>
      <c r="AO38" s="207">
        <f>AD38*(1+'Real Cost Escalation'!E$18)</f>
        <v>2.2832214398983099</v>
      </c>
      <c r="AP38" s="208">
        <f>AE38*(1+'Real Cost Escalation'!F$18)</f>
        <v>2.309824429083613</v>
      </c>
      <c r="AQ38" s="208">
        <f>AF38*(1+'Real Cost Escalation'!G$18)</f>
        <v>2.3398796172337435</v>
      </c>
      <c r="AR38" s="208">
        <f>AG38*(1+'Real Cost Escalation'!H$18)</f>
        <v>2.3741261237138378</v>
      </c>
      <c r="AS38" s="56">
        <f>AH38*(1+'Real Cost Escalation'!I$18)</f>
        <v>2.4113721789286728</v>
      </c>
      <c r="AT38" s="212">
        <f>SUM(AO38:AS38)</f>
        <v>11.718423788858177</v>
      </c>
      <c r="AU38" s="66"/>
      <c r="AV38" s="29" t="str">
        <f t="shared" si="76"/>
        <v>14</v>
      </c>
      <c r="AW38" s="29" t="str">
        <f t="shared" si="76"/>
        <v>New Main - I&amp;C&lt;10TJ</v>
      </c>
      <c r="AX38" s="360"/>
      <c r="AY38" s="360"/>
      <c r="AZ38" s="207">
        <f t="shared" si="77"/>
        <v>1.5267684958095273E-2</v>
      </c>
      <c r="BA38" s="208">
        <f t="shared" si="77"/>
        <v>2.8484939488809591E-2</v>
      </c>
      <c r="BB38" s="208">
        <f t="shared" si="77"/>
        <v>4.5063458424914327E-2</v>
      </c>
      <c r="BC38" s="208">
        <f t="shared" si="77"/>
        <v>6.5741472179927651E-2</v>
      </c>
      <c r="BD38" s="56">
        <f t="shared" si="77"/>
        <v>8.9326309668660286E-2</v>
      </c>
      <c r="BE38" s="212">
        <f t="shared" si="78"/>
        <v>0.24388386472040713</v>
      </c>
      <c r="BF38" s="32"/>
    </row>
    <row r="39" spans="1:58" ht="18" customHeight="1" thickBot="1" x14ac:dyDescent="0.25">
      <c r="A39" s="66"/>
      <c r="B39" s="24"/>
      <c r="C39" s="24" t="s">
        <v>77</v>
      </c>
      <c r="D39" s="22"/>
      <c r="E39" s="22"/>
      <c r="F39" s="26">
        <v>151249.66772974472</v>
      </c>
      <c r="G39" s="27">
        <v>143406.06392947896</v>
      </c>
      <c r="H39" s="27">
        <v>143276.0628105973</v>
      </c>
      <c r="I39" s="27">
        <v>146319.34294952542</v>
      </c>
      <c r="J39" s="28">
        <v>148740.01245538017</v>
      </c>
      <c r="K39" s="26">
        <v>732991.14987472654</v>
      </c>
      <c r="L39" s="2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/>
      <c r="AA39" s="24" t="s">
        <v>77</v>
      </c>
      <c r="AB39" s="210"/>
      <c r="AC39" s="210"/>
      <c r="AD39" s="209">
        <f>SUM(AD36:AD38)</f>
        <v>10.040772037191132</v>
      </c>
      <c r="AE39" s="210">
        <f t="shared" ref="AE39:AI39" si="80">SUM(AE36:AE38)</f>
        <v>9.6316780761180674</v>
      </c>
      <c r="AF39" s="210">
        <f t="shared" si="80"/>
        <v>9.6359958170499098</v>
      </c>
      <c r="AG39" s="210">
        <f t="shared" si="80"/>
        <v>9.8104293569084433</v>
      </c>
      <c r="AH39" s="211">
        <f t="shared" si="80"/>
        <v>9.9515736214056574</v>
      </c>
      <c r="AI39" s="209">
        <f t="shared" si="80"/>
        <v>49.070448908673214</v>
      </c>
      <c r="AJ39" s="32"/>
      <c r="AK39" s="24"/>
      <c r="AL39" s="24" t="s">
        <v>77</v>
      </c>
      <c r="AM39" s="210"/>
      <c r="AN39" s="210"/>
      <c r="AO39" s="209">
        <f>SUM(AO36:AO38)</f>
        <v>10.10836571888149</v>
      </c>
      <c r="AP39" s="210">
        <f t="shared" ref="AP39:AT39" si="81">SUM(AP36:AP38)</f>
        <v>9.7519397769413168</v>
      </c>
      <c r="AQ39" s="210">
        <f t="shared" si="81"/>
        <v>9.825218511520422</v>
      </c>
      <c r="AR39" s="210">
        <f t="shared" si="81"/>
        <v>10.089824763653924</v>
      </c>
      <c r="AS39" s="211">
        <f t="shared" si="81"/>
        <v>10.334398680446993</v>
      </c>
      <c r="AT39" s="209">
        <f t="shared" si="81"/>
        <v>50.109747451444143</v>
      </c>
      <c r="AU39" s="66"/>
      <c r="AV39" s="24"/>
      <c r="AW39" s="24" t="s">
        <v>77</v>
      </c>
      <c r="AX39" s="266"/>
      <c r="AY39" s="266"/>
      <c r="AZ39" s="209">
        <f>SUM(AZ36:AZ38)</f>
        <v>6.759368169035973E-2</v>
      </c>
      <c r="BA39" s="210">
        <f t="shared" ref="BA39:BE39" si="82">SUM(BA36:BA38)</f>
        <v>0.12026170082324972</v>
      </c>
      <c r="BB39" s="210">
        <f t="shared" si="82"/>
        <v>0.1892226944705121</v>
      </c>
      <c r="BC39" s="210">
        <f t="shared" si="82"/>
        <v>0.27939540674548091</v>
      </c>
      <c r="BD39" s="211">
        <f t="shared" si="82"/>
        <v>0.38282505904133524</v>
      </c>
      <c r="BE39" s="209">
        <f t="shared" si="82"/>
        <v>1.0392985427709376</v>
      </c>
      <c r="BF39" s="32"/>
    </row>
    <row r="40" spans="1:58" x14ac:dyDescent="0.2">
      <c r="A40" s="6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7"/>
      <c r="AE40" s="37"/>
      <c r="AF40" s="37"/>
      <c r="AG40" s="37"/>
      <c r="AH40" s="37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66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  <row r="41" spans="1:58" ht="24" customHeight="1" x14ac:dyDescent="0.2">
      <c r="A41" s="66"/>
      <c r="B41" s="354" t="s">
        <v>187</v>
      </c>
      <c r="C41" s="354"/>
      <c r="D41" s="355"/>
      <c r="E41" s="355"/>
      <c r="F41" s="355"/>
      <c r="G41" s="355"/>
      <c r="H41" s="355"/>
      <c r="I41" s="355"/>
      <c r="J41" s="355"/>
      <c r="K41" s="355"/>
      <c r="L41" s="355"/>
      <c r="M41" s="32"/>
      <c r="N41" s="354" t="s">
        <v>184</v>
      </c>
      <c r="O41" s="354"/>
      <c r="P41" s="355"/>
      <c r="Q41" s="355"/>
      <c r="R41" s="355"/>
      <c r="S41" s="355"/>
      <c r="T41" s="355"/>
      <c r="U41" s="355"/>
      <c r="V41" s="355"/>
      <c r="W41" s="355"/>
      <c r="X41" s="355"/>
      <c r="Y41" s="70"/>
      <c r="Z41" s="354" t="s">
        <v>201</v>
      </c>
      <c r="AA41" s="354"/>
      <c r="AB41" s="355"/>
      <c r="AC41" s="355"/>
      <c r="AD41" s="355"/>
      <c r="AE41" s="355"/>
      <c r="AF41" s="355"/>
      <c r="AG41" s="355"/>
      <c r="AH41" s="355"/>
      <c r="AI41" s="355"/>
      <c r="AJ41" s="32"/>
      <c r="AK41" s="354" t="s">
        <v>249</v>
      </c>
      <c r="AL41" s="354"/>
      <c r="AM41" s="355"/>
      <c r="AN41" s="355"/>
      <c r="AO41" s="355"/>
      <c r="AP41" s="355"/>
      <c r="AQ41" s="355"/>
      <c r="AR41" s="355"/>
      <c r="AS41" s="355"/>
      <c r="AT41" s="355"/>
      <c r="AU41" s="66"/>
      <c r="AV41" s="354" t="s">
        <v>254</v>
      </c>
      <c r="AW41" s="354"/>
      <c r="AX41" s="355"/>
      <c r="AY41" s="355"/>
      <c r="AZ41" s="355"/>
      <c r="BA41" s="355"/>
      <c r="BB41" s="355"/>
      <c r="BC41" s="355"/>
      <c r="BD41" s="355"/>
      <c r="BE41" s="355"/>
      <c r="BF41" s="32"/>
    </row>
    <row r="42" spans="1:58" x14ac:dyDescent="0.2">
      <c r="A42" s="66"/>
      <c r="B42" s="72"/>
      <c r="C42" s="73"/>
      <c r="D42" s="12"/>
      <c r="E42" s="12"/>
      <c r="F42" s="12"/>
      <c r="G42" s="12"/>
      <c r="H42" s="12"/>
      <c r="I42" s="12"/>
      <c r="J42" s="12"/>
      <c r="K42" s="12"/>
      <c r="L42" s="12"/>
      <c r="M42" s="32"/>
      <c r="N42" s="72"/>
      <c r="O42" s="73"/>
      <c r="P42" s="12"/>
      <c r="Q42" s="12"/>
      <c r="R42" s="12"/>
      <c r="S42" s="12"/>
      <c r="T42" s="12"/>
      <c r="U42" s="12"/>
      <c r="V42" s="12"/>
      <c r="W42" s="12"/>
      <c r="X42" s="12"/>
      <c r="Y42" s="32"/>
      <c r="Z42" s="72"/>
      <c r="AA42" s="73"/>
      <c r="AB42" s="12"/>
      <c r="AC42" s="12"/>
      <c r="AD42" s="12"/>
      <c r="AE42" s="12"/>
      <c r="AF42" s="12"/>
      <c r="AG42" s="12"/>
      <c r="AH42" s="12"/>
      <c r="AI42" s="12"/>
      <c r="AJ42" s="32"/>
      <c r="AK42" s="72"/>
      <c r="AL42" s="73"/>
      <c r="AM42" s="12"/>
      <c r="AN42" s="12"/>
      <c r="AO42" s="12"/>
      <c r="AP42" s="12"/>
      <c r="AQ42" s="12"/>
      <c r="AR42" s="12"/>
      <c r="AS42" s="12"/>
      <c r="AT42" s="12"/>
      <c r="AU42" s="66"/>
      <c r="AV42" s="72"/>
      <c r="AW42" s="73"/>
      <c r="AX42" s="12"/>
      <c r="AY42" s="12"/>
      <c r="AZ42" s="12"/>
      <c r="BA42" s="12"/>
      <c r="BB42" s="12"/>
      <c r="BC42" s="12"/>
      <c r="BD42" s="12"/>
      <c r="BE42" s="12"/>
      <c r="BF42" s="32"/>
    </row>
    <row r="43" spans="1:58" ht="22.5" x14ac:dyDescent="0.2">
      <c r="A43" s="66"/>
      <c r="B43" s="10" t="s">
        <v>79</v>
      </c>
      <c r="C43" s="11"/>
      <c r="D43" s="3"/>
      <c r="E43" s="4"/>
      <c r="F43" s="7">
        <v>2018</v>
      </c>
      <c r="G43" s="8">
        <v>2019</v>
      </c>
      <c r="H43" s="8">
        <v>2020</v>
      </c>
      <c r="I43" s="8">
        <v>2021</v>
      </c>
      <c r="J43" s="9">
        <v>2022</v>
      </c>
      <c r="K43" s="3" t="s">
        <v>73</v>
      </c>
      <c r="L43" s="30" t="s">
        <v>100</v>
      </c>
      <c r="M43" s="32"/>
      <c r="N43" s="10" t="s">
        <v>178</v>
      </c>
      <c r="O43" s="11"/>
      <c r="P43" s="3"/>
      <c r="Q43" s="4"/>
      <c r="R43" s="5">
        <f t="shared" ref="R43:W43" si="83">F43</f>
        <v>2018</v>
      </c>
      <c r="S43" s="4">
        <f t="shared" si="83"/>
        <v>2019</v>
      </c>
      <c r="T43" s="4">
        <f t="shared" si="83"/>
        <v>2020</v>
      </c>
      <c r="U43" s="4">
        <f t="shared" si="83"/>
        <v>2021</v>
      </c>
      <c r="V43" s="6">
        <f t="shared" si="83"/>
        <v>2022</v>
      </c>
      <c r="W43" s="3" t="str">
        <f t="shared" si="83"/>
        <v>Total for 
2018-2022</v>
      </c>
      <c r="X43" s="30" t="str">
        <f>L43</f>
        <v>Source</v>
      </c>
      <c r="Y43" s="32"/>
      <c r="Z43" s="10"/>
      <c r="AA43" s="11"/>
      <c r="AB43" s="3"/>
      <c r="AC43" s="4"/>
      <c r="AD43" s="5">
        <f t="shared" ref="AD43:AI43" si="84">R43</f>
        <v>2018</v>
      </c>
      <c r="AE43" s="4">
        <f t="shared" si="84"/>
        <v>2019</v>
      </c>
      <c r="AF43" s="4">
        <f t="shared" si="84"/>
        <v>2020</v>
      </c>
      <c r="AG43" s="4">
        <f t="shared" si="84"/>
        <v>2021</v>
      </c>
      <c r="AH43" s="6">
        <f t="shared" si="84"/>
        <v>2022</v>
      </c>
      <c r="AI43" s="3" t="str">
        <f t="shared" si="84"/>
        <v>Total for 
2018-2022</v>
      </c>
      <c r="AJ43" s="32"/>
      <c r="AK43" s="10"/>
      <c r="AL43" s="11"/>
      <c r="AM43" s="3"/>
      <c r="AN43" s="4"/>
      <c r="AO43" s="5">
        <f t="shared" ref="AO43:AT43" si="85">AD43</f>
        <v>2018</v>
      </c>
      <c r="AP43" s="4">
        <f t="shared" si="85"/>
        <v>2019</v>
      </c>
      <c r="AQ43" s="4">
        <f t="shared" si="85"/>
        <v>2020</v>
      </c>
      <c r="AR43" s="4">
        <f t="shared" si="85"/>
        <v>2021</v>
      </c>
      <c r="AS43" s="6">
        <f t="shared" si="85"/>
        <v>2022</v>
      </c>
      <c r="AT43" s="3" t="str">
        <f t="shared" si="85"/>
        <v>Total for 
2018-2022</v>
      </c>
      <c r="AU43" s="66"/>
      <c r="AV43" s="10"/>
      <c r="AW43" s="11"/>
      <c r="AX43" s="3"/>
      <c r="AY43" s="4"/>
      <c r="AZ43" s="5">
        <f t="shared" ref="AZ43:BE43" si="86">AO43</f>
        <v>2018</v>
      </c>
      <c r="BA43" s="4">
        <f t="shared" si="86"/>
        <v>2019</v>
      </c>
      <c r="BB43" s="4">
        <f t="shared" si="86"/>
        <v>2020</v>
      </c>
      <c r="BC43" s="4">
        <f t="shared" si="86"/>
        <v>2021</v>
      </c>
      <c r="BD43" s="6">
        <f t="shared" si="86"/>
        <v>2022</v>
      </c>
      <c r="BE43" s="3" t="str">
        <f t="shared" si="86"/>
        <v>Total for 
2018-2022</v>
      </c>
      <c r="BF43" s="32"/>
    </row>
    <row r="44" spans="1:58" ht="20.100000000000001" customHeight="1" x14ac:dyDescent="0.2">
      <c r="A44" s="66"/>
      <c r="B44" s="29" t="str">
        <f>'Capex Model Category Index'!B22</f>
        <v>15</v>
      </c>
      <c r="C44" s="29" t="str">
        <f>'Capex Model Category Index'!C22</f>
        <v>New Meter - Domestic</v>
      </c>
      <c r="D44" s="15"/>
      <c r="E44" s="15"/>
      <c r="F44" s="624" t="s">
        <v>445</v>
      </c>
      <c r="G44" s="625" t="s">
        <v>445</v>
      </c>
      <c r="H44" s="625" t="s">
        <v>445</v>
      </c>
      <c r="I44" s="625" t="s">
        <v>445</v>
      </c>
      <c r="J44" s="626" t="s">
        <v>445</v>
      </c>
      <c r="K44" s="14">
        <v>79555.97640168012</v>
      </c>
      <c r="L44" s="409" t="str">
        <f>'Capex Category Summary (Alb)'!L44</f>
        <v>Derived from Core Energy customer number forecast</v>
      </c>
      <c r="M44" s="32"/>
      <c r="N44" s="29" t="str">
        <f>B44</f>
        <v>15</v>
      </c>
      <c r="O44" s="29" t="str">
        <f>C44</f>
        <v>New Meter - Domestic</v>
      </c>
      <c r="P44" s="41"/>
      <c r="Q44" s="41"/>
      <c r="R44" s="640" t="s">
        <v>445</v>
      </c>
      <c r="S44" s="634" t="s">
        <v>445</v>
      </c>
      <c r="T44" s="634" t="s">
        <v>445</v>
      </c>
      <c r="U44" s="634" t="s">
        <v>445</v>
      </c>
      <c r="V44" s="639" t="s">
        <v>445</v>
      </c>
      <c r="W44" s="62"/>
      <c r="X44" s="409" t="str">
        <f>'Capex Category Summary (Alb)'!X44</f>
        <v>Attachment 8.4 Unit Rates Forecast</v>
      </c>
      <c r="Y44" s="32"/>
      <c r="Z44" s="29" t="str">
        <f>B44</f>
        <v>15</v>
      </c>
      <c r="AA44" s="29" t="str">
        <f>C44</f>
        <v>New Meter - Domestic</v>
      </c>
      <c r="AB44" s="212"/>
      <c r="AC44" s="212"/>
      <c r="AD44" s="207">
        <v>3.8847139909870068</v>
      </c>
      <c r="AE44" s="208">
        <v>3.6713136090668441</v>
      </c>
      <c r="AF44" s="208">
        <v>3.6661160597248958</v>
      </c>
      <c r="AG44" s="208">
        <v>3.7465585489172115</v>
      </c>
      <c r="AH44" s="56">
        <v>3.8101735789903834</v>
      </c>
      <c r="AI44" s="212">
        <f t="shared" ref="AI44:AI45" si="87">SUM(AD44:AH44)</f>
        <v>18.778875787686342</v>
      </c>
      <c r="AJ44" s="32"/>
      <c r="AK44" s="29" t="str">
        <f>N44</f>
        <v>15</v>
      </c>
      <c r="AL44" s="29" t="str">
        <f>O44</f>
        <v>New Meter - Domestic</v>
      </c>
      <c r="AM44" s="360"/>
      <c r="AN44" s="360"/>
      <c r="AO44" s="207">
        <f>AD44*(1-'Real Cost Escalation'!E$25)</f>
        <v>3.8847139909870068</v>
      </c>
      <c r="AP44" s="208">
        <f>AE44*(1-'Real Cost Escalation'!F$25)</f>
        <v>3.6581519497783397</v>
      </c>
      <c r="AQ44" s="208">
        <f>AF44*(1-'Real Cost Escalation'!G$25)</f>
        <v>3.6529259159023066</v>
      </c>
      <c r="AR44" s="208">
        <f>AG44*(1+'Real Cost Escalation'!H$18)</f>
        <v>3.8532583896263599</v>
      </c>
      <c r="AS44" s="56">
        <f>AH44*(1+'Real Cost Escalation'!I$18)</f>
        <v>3.956746370473053</v>
      </c>
      <c r="AT44" s="212">
        <f t="shared" ref="AT44:AT45" si="88">SUM(AO44:AS44)</f>
        <v>19.005796616767068</v>
      </c>
      <c r="AU44" s="66"/>
      <c r="AV44" s="29" t="str">
        <f>Z44</f>
        <v>15</v>
      </c>
      <c r="AW44" s="29" t="str">
        <f>AA44</f>
        <v>New Meter - Domestic</v>
      </c>
      <c r="AX44" s="360"/>
      <c r="AY44" s="360"/>
      <c r="AZ44" s="207">
        <f t="shared" ref="AZ44:BD45" si="89">AO44-AD44</f>
        <v>0</v>
      </c>
      <c r="BA44" s="208">
        <f t="shared" si="89"/>
        <v>-1.3161659288504435E-2</v>
      </c>
      <c r="BB44" s="208">
        <f t="shared" si="89"/>
        <v>-1.3190143822589206E-2</v>
      </c>
      <c r="BC44" s="208">
        <f t="shared" si="89"/>
        <v>0.1066998407091484</v>
      </c>
      <c r="BD44" s="56">
        <f t="shared" si="89"/>
        <v>0.14657279148266955</v>
      </c>
      <c r="BE44" s="212">
        <f t="shared" ref="BE44:BE45" si="90">SUM(AZ44:BD44)</f>
        <v>0.22692082908072431</v>
      </c>
      <c r="BF44" s="32"/>
    </row>
    <row r="45" spans="1:58" ht="20.100000000000001" customHeight="1" x14ac:dyDescent="0.2">
      <c r="A45" s="66"/>
      <c r="B45" s="29" t="str">
        <f>'Capex Model Category Index'!B23</f>
        <v>16</v>
      </c>
      <c r="C45" s="29" t="str">
        <f>'Capex Model Category Index'!C23</f>
        <v>New Meter - I&amp;C&lt;10TJ</v>
      </c>
      <c r="D45" s="15"/>
      <c r="E45" s="15"/>
      <c r="F45" s="630" t="s">
        <v>445</v>
      </c>
      <c r="G45" s="631" t="s">
        <v>445</v>
      </c>
      <c r="H45" s="631" t="s">
        <v>445</v>
      </c>
      <c r="I45" s="631" t="s">
        <v>445</v>
      </c>
      <c r="J45" s="632" t="s">
        <v>445</v>
      </c>
      <c r="K45" s="17">
        <v>1803.173974917672</v>
      </c>
      <c r="L45" s="409" t="str">
        <f>'Capex Category Summary (Alb)'!L45</f>
        <v>Derived from Core Energy customer number forecast</v>
      </c>
      <c r="M45" s="32"/>
      <c r="N45" s="359" t="str">
        <f>B45</f>
        <v>16</v>
      </c>
      <c r="O45" s="359" t="str">
        <f>C45</f>
        <v>New Meter - I&amp;C&lt;10TJ</v>
      </c>
      <c r="P45" s="507"/>
      <c r="Q45" s="507"/>
      <c r="R45" s="641" t="s">
        <v>445</v>
      </c>
      <c r="S45" s="638" t="s">
        <v>445</v>
      </c>
      <c r="T45" s="638" t="s">
        <v>445</v>
      </c>
      <c r="U45" s="638" t="s">
        <v>445</v>
      </c>
      <c r="V45" s="642" t="s">
        <v>445</v>
      </c>
      <c r="W45" s="507"/>
      <c r="X45" s="509" t="str">
        <f>'Capex Category Summary (Alb)'!X45</f>
        <v>Attachment 8.4 Unit Rates Forecast</v>
      </c>
      <c r="Y45" s="32"/>
      <c r="Z45" s="29" t="str">
        <f t="shared" ref="Z45:AA45" si="91">B45</f>
        <v>16</v>
      </c>
      <c r="AA45" s="29" t="str">
        <f t="shared" si="91"/>
        <v>New Meter - I&amp;C&lt;10TJ</v>
      </c>
      <c r="AB45" s="212"/>
      <c r="AC45" s="212"/>
      <c r="AD45" s="207">
        <v>2.6351169504291354</v>
      </c>
      <c r="AE45" s="208">
        <v>2.6506735671912631</v>
      </c>
      <c r="AF45" s="208">
        <v>2.6663360742540214</v>
      </c>
      <c r="AG45" s="208">
        <v>2.6821055115817862</v>
      </c>
      <c r="AH45" s="56">
        <v>2.6979829338654504</v>
      </c>
      <c r="AI45" s="212">
        <f t="shared" si="87"/>
        <v>13.332215037321657</v>
      </c>
      <c r="AJ45" s="32"/>
      <c r="AK45" s="29" t="str">
        <f>N45</f>
        <v>16</v>
      </c>
      <c r="AL45" s="29" t="str">
        <f>O45</f>
        <v>New Meter - I&amp;C&lt;10TJ</v>
      </c>
      <c r="AM45" s="360"/>
      <c r="AN45" s="360"/>
      <c r="AO45" s="207">
        <f>AD45*(1+'Real Cost Escalation'!E$18)</f>
        <v>2.6528563489240349</v>
      </c>
      <c r="AP45" s="208">
        <f>AE45*(1+'Real Cost Escalation'!F$18)</f>
        <v>2.6837700337673276</v>
      </c>
      <c r="AQ45" s="208">
        <f>AF45*(1+'Real Cost Escalation'!G$18)</f>
        <v>2.7186950941117884</v>
      </c>
      <c r="AR45" s="208">
        <f>AG45*(1+'Real Cost Escalation'!H$18)</f>
        <v>2.7584903397152245</v>
      </c>
      <c r="AS45" s="56">
        <f>AH45*(1+'Real Cost Escalation'!I$18)</f>
        <v>2.8017710899142485</v>
      </c>
      <c r="AT45" s="212">
        <f t="shared" si="88"/>
        <v>13.615582906432625</v>
      </c>
      <c r="AU45" s="66"/>
      <c r="AV45" s="29" t="str">
        <f>Z45</f>
        <v>16</v>
      </c>
      <c r="AW45" s="29" t="str">
        <f>AA45</f>
        <v>New Meter - I&amp;C&lt;10TJ</v>
      </c>
      <c r="AX45" s="360"/>
      <c r="AY45" s="360"/>
      <c r="AZ45" s="207">
        <f t="shared" si="89"/>
        <v>1.7739398494899472E-2</v>
      </c>
      <c r="BA45" s="208">
        <f t="shared" si="89"/>
        <v>3.3096466576064465E-2</v>
      </c>
      <c r="BB45" s="208">
        <f t="shared" si="89"/>
        <v>5.2359019857767031E-2</v>
      </c>
      <c r="BC45" s="208">
        <f t="shared" si="89"/>
        <v>7.6384828133438276E-2</v>
      </c>
      <c r="BD45" s="56">
        <f t="shared" si="89"/>
        <v>0.1037881560487981</v>
      </c>
      <c r="BE45" s="212">
        <f t="shared" si="90"/>
        <v>0.28336786911096734</v>
      </c>
      <c r="BF45" s="32"/>
    </row>
    <row r="46" spans="1:58" ht="20.100000000000001" customHeight="1" thickBot="1" x14ac:dyDescent="0.25">
      <c r="A46" s="66"/>
      <c r="B46" s="24"/>
      <c r="C46" s="24" t="s">
        <v>81</v>
      </c>
      <c r="D46" s="22"/>
      <c r="E46" s="22"/>
      <c r="F46" s="26">
        <v>16813.837594775821</v>
      </c>
      <c r="G46" s="27">
        <v>15911.879205257917</v>
      </c>
      <c r="H46" s="27">
        <v>15891.978334313137</v>
      </c>
      <c r="I46" s="27">
        <v>16234.902615766294</v>
      </c>
      <c r="J46" s="28">
        <v>16506.552626484627</v>
      </c>
      <c r="K46" s="27">
        <v>81359.150376597798</v>
      </c>
      <c r="L46" s="2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24"/>
      <c r="AA46" s="24" t="s">
        <v>81</v>
      </c>
      <c r="AB46" s="210"/>
      <c r="AC46" s="210"/>
      <c r="AD46" s="209">
        <f>SUM(AD44:AD45)</f>
        <v>6.5198309414161422</v>
      </c>
      <c r="AE46" s="210">
        <f t="shared" ref="AE46:AI46" si="92">SUM(AE44:AE45)</f>
        <v>6.3219871762581068</v>
      </c>
      <c r="AF46" s="210">
        <f t="shared" si="92"/>
        <v>6.3324521339789168</v>
      </c>
      <c r="AG46" s="210">
        <f t="shared" si="92"/>
        <v>6.4286640604989973</v>
      </c>
      <c r="AH46" s="211">
        <f t="shared" si="92"/>
        <v>6.5081565128558339</v>
      </c>
      <c r="AI46" s="210">
        <f t="shared" si="92"/>
        <v>32.111090825007999</v>
      </c>
      <c r="AJ46" s="32"/>
      <c r="AK46" s="24"/>
      <c r="AL46" s="24" t="s">
        <v>81</v>
      </c>
      <c r="AM46" s="266"/>
      <c r="AN46" s="266"/>
      <c r="AO46" s="209">
        <f>SUM(AO44:AO45)</f>
        <v>6.5375703399110421</v>
      </c>
      <c r="AP46" s="210">
        <f t="shared" ref="AP46:AT46" si="93">SUM(AP44:AP45)</f>
        <v>6.3419219835456673</v>
      </c>
      <c r="AQ46" s="210">
        <f t="shared" si="93"/>
        <v>6.3716210100140955</v>
      </c>
      <c r="AR46" s="210">
        <f t="shared" si="93"/>
        <v>6.6117487293415849</v>
      </c>
      <c r="AS46" s="211">
        <f t="shared" si="93"/>
        <v>6.7585174603873011</v>
      </c>
      <c r="AT46" s="210">
        <f t="shared" si="93"/>
        <v>32.621379523199693</v>
      </c>
      <c r="AU46" s="66"/>
      <c r="AV46" s="24"/>
      <c r="AW46" s="24" t="s">
        <v>81</v>
      </c>
      <c r="AX46" s="210"/>
      <c r="AY46" s="210"/>
      <c r="AZ46" s="209">
        <f>SUM(AZ44:AZ45)</f>
        <v>1.7739398494899472E-2</v>
      </c>
      <c r="BA46" s="210">
        <f t="shared" ref="BA46:BE46" si="94">SUM(BA44:BA45)</f>
        <v>1.993480728756003E-2</v>
      </c>
      <c r="BB46" s="210">
        <f t="shared" si="94"/>
        <v>3.9168876035177824E-2</v>
      </c>
      <c r="BC46" s="210">
        <f t="shared" si="94"/>
        <v>0.18308466884258667</v>
      </c>
      <c r="BD46" s="211">
        <f t="shared" si="94"/>
        <v>0.25036094753146765</v>
      </c>
      <c r="BE46" s="210">
        <f t="shared" si="94"/>
        <v>0.51028869819169165</v>
      </c>
      <c r="BF46" s="32"/>
    </row>
    <row r="47" spans="1:58" ht="20.100000000000001" customHeight="1" x14ac:dyDescent="0.2">
      <c r="A47" s="6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66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</row>
    <row r="48" spans="1:58" ht="24" customHeight="1" x14ac:dyDescent="0.2">
      <c r="A48" s="66"/>
      <c r="B48" s="354" t="s">
        <v>186</v>
      </c>
      <c r="C48" s="354"/>
      <c r="D48" s="355"/>
      <c r="E48" s="355"/>
      <c r="F48" s="355"/>
      <c r="G48" s="355"/>
      <c r="H48" s="355"/>
      <c r="I48" s="355"/>
      <c r="J48" s="355"/>
      <c r="K48" s="355"/>
      <c r="L48" s="355"/>
      <c r="M48" s="32"/>
      <c r="N48" s="354" t="s">
        <v>183</v>
      </c>
      <c r="O48" s="354"/>
      <c r="P48" s="355"/>
      <c r="Q48" s="355"/>
      <c r="R48" s="355"/>
      <c r="S48" s="355"/>
      <c r="T48" s="355"/>
      <c r="U48" s="355"/>
      <c r="V48" s="355"/>
      <c r="W48" s="355"/>
      <c r="X48" s="355"/>
      <c r="Y48" s="70"/>
      <c r="Z48" s="354" t="s">
        <v>200</v>
      </c>
      <c r="AA48" s="354"/>
      <c r="AB48" s="355"/>
      <c r="AC48" s="355"/>
      <c r="AD48" s="355"/>
      <c r="AE48" s="355"/>
      <c r="AF48" s="355"/>
      <c r="AG48" s="355"/>
      <c r="AH48" s="355"/>
      <c r="AI48" s="355"/>
      <c r="AJ48" s="32"/>
      <c r="AK48" s="354" t="s">
        <v>250</v>
      </c>
      <c r="AL48" s="354"/>
      <c r="AM48" s="355"/>
      <c r="AN48" s="355"/>
      <c r="AO48" s="355"/>
      <c r="AP48" s="355"/>
      <c r="AQ48" s="355"/>
      <c r="AR48" s="355"/>
      <c r="AS48" s="355"/>
      <c r="AT48" s="355"/>
      <c r="AU48" s="66"/>
      <c r="AV48" s="354" t="s">
        <v>255</v>
      </c>
      <c r="AW48" s="354"/>
      <c r="AX48" s="355"/>
      <c r="AY48" s="355"/>
      <c r="AZ48" s="355"/>
      <c r="BA48" s="355"/>
      <c r="BB48" s="355"/>
      <c r="BC48" s="355"/>
      <c r="BD48" s="355"/>
      <c r="BE48" s="355"/>
      <c r="BF48" s="32"/>
    </row>
    <row r="49" spans="1:58" x14ac:dyDescent="0.2">
      <c r="A49" s="66"/>
      <c r="B49" s="72"/>
      <c r="C49" s="73"/>
      <c r="D49" s="12"/>
      <c r="E49" s="12"/>
      <c r="F49" s="12"/>
      <c r="G49" s="12"/>
      <c r="H49" s="12"/>
      <c r="I49" s="12"/>
      <c r="J49" s="12"/>
      <c r="K49" s="12"/>
      <c r="L49" s="12"/>
      <c r="M49" s="32"/>
      <c r="N49" s="72"/>
      <c r="O49" s="73"/>
      <c r="P49" s="12"/>
      <c r="Q49" s="12"/>
      <c r="R49" s="12"/>
      <c r="S49" s="12"/>
      <c r="T49" s="12"/>
      <c r="U49" s="12"/>
      <c r="V49" s="12"/>
      <c r="W49" s="12"/>
      <c r="X49" s="12"/>
      <c r="Y49" s="32"/>
      <c r="Z49" s="72"/>
      <c r="AA49" s="73"/>
      <c r="AB49" s="12"/>
      <c r="AC49" s="12"/>
      <c r="AD49" s="12"/>
      <c r="AE49" s="12"/>
      <c r="AF49" s="12"/>
      <c r="AG49" s="12"/>
      <c r="AH49" s="12"/>
      <c r="AI49" s="12"/>
      <c r="AJ49" s="32"/>
      <c r="AK49" s="72"/>
      <c r="AL49" s="73"/>
      <c r="AM49" s="12"/>
      <c r="AN49" s="12"/>
      <c r="AO49" s="12"/>
      <c r="AP49" s="12"/>
      <c r="AQ49" s="12"/>
      <c r="AR49" s="12"/>
      <c r="AS49" s="12"/>
      <c r="AT49" s="12"/>
      <c r="AU49" s="66"/>
      <c r="AV49" s="72"/>
      <c r="AW49" s="73"/>
      <c r="AX49" s="12"/>
      <c r="AY49" s="12"/>
      <c r="AZ49" s="12"/>
      <c r="BA49" s="12"/>
      <c r="BB49" s="12"/>
      <c r="BC49" s="12"/>
      <c r="BD49" s="12"/>
      <c r="BE49" s="12"/>
      <c r="BF49" s="32"/>
    </row>
    <row r="50" spans="1:58" ht="22.5" x14ac:dyDescent="0.2">
      <c r="A50" s="66"/>
      <c r="B50" s="10" t="s">
        <v>80</v>
      </c>
      <c r="C50" s="11"/>
      <c r="D50" s="3"/>
      <c r="E50" s="4"/>
      <c r="F50" s="7">
        <v>2018</v>
      </c>
      <c r="G50" s="8">
        <v>2019</v>
      </c>
      <c r="H50" s="8">
        <v>2020</v>
      </c>
      <c r="I50" s="8">
        <v>2021</v>
      </c>
      <c r="J50" s="9">
        <v>2022</v>
      </c>
      <c r="K50" s="3" t="s">
        <v>73</v>
      </c>
      <c r="L50" s="30" t="s">
        <v>100</v>
      </c>
      <c r="M50" s="32"/>
      <c r="N50" s="10" t="s">
        <v>177</v>
      </c>
      <c r="O50" s="11"/>
      <c r="P50" s="329"/>
      <c r="Q50" s="330"/>
      <c r="R50" s="331">
        <f t="shared" ref="R50:W50" si="95">F50</f>
        <v>2018</v>
      </c>
      <c r="S50" s="330">
        <f t="shared" si="95"/>
        <v>2019</v>
      </c>
      <c r="T50" s="330">
        <f t="shared" si="95"/>
        <v>2020</v>
      </c>
      <c r="U50" s="330">
        <f t="shared" si="95"/>
        <v>2021</v>
      </c>
      <c r="V50" s="332">
        <f t="shared" si="95"/>
        <v>2022</v>
      </c>
      <c r="W50" s="3" t="str">
        <f t="shared" si="95"/>
        <v>Total for 
2018-2022</v>
      </c>
      <c r="X50" s="30" t="str">
        <f>L50</f>
        <v>Source</v>
      </c>
      <c r="Y50" s="32"/>
      <c r="Z50" s="10"/>
      <c r="AA50" s="11"/>
      <c r="AB50" s="3"/>
      <c r="AC50" s="4"/>
      <c r="AD50" s="5">
        <f t="shared" ref="AD50:AI50" si="96">R50</f>
        <v>2018</v>
      </c>
      <c r="AE50" s="4">
        <f t="shared" si="96"/>
        <v>2019</v>
      </c>
      <c r="AF50" s="4">
        <f t="shared" si="96"/>
        <v>2020</v>
      </c>
      <c r="AG50" s="4">
        <f t="shared" si="96"/>
        <v>2021</v>
      </c>
      <c r="AH50" s="6">
        <f t="shared" si="96"/>
        <v>2022</v>
      </c>
      <c r="AI50" s="3" t="str">
        <f t="shared" si="96"/>
        <v>Total for 
2018-2022</v>
      </c>
      <c r="AJ50" s="32"/>
      <c r="AK50" s="10"/>
      <c r="AL50" s="11"/>
      <c r="AM50" s="3"/>
      <c r="AN50" s="4"/>
      <c r="AO50" s="5">
        <f t="shared" ref="AO50:AT50" si="97">AD50</f>
        <v>2018</v>
      </c>
      <c r="AP50" s="4">
        <f t="shared" si="97"/>
        <v>2019</v>
      </c>
      <c r="AQ50" s="4">
        <f t="shared" si="97"/>
        <v>2020</v>
      </c>
      <c r="AR50" s="4">
        <f t="shared" si="97"/>
        <v>2021</v>
      </c>
      <c r="AS50" s="6">
        <f t="shared" si="97"/>
        <v>2022</v>
      </c>
      <c r="AT50" s="3" t="str">
        <f t="shared" si="97"/>
        <v>Total for 
2018-2022</v>
      </c>
      <c r="AU50" s="66"/>
      <c r="AV50" s="10"/>
      <c r="AW50" s="11"/>
      <c r="AX50" s="3"/>
      <c r="AY50" s="4"/>
      <c r="AZ50" s="5">
        <f t="shared" ref="AZ50:BE50" si="98">AO50</f>
        <v>2018</v>
      </c>
      <c r="BA50" s="4">
        <f t="shared" si="98"/>
        <v>2019</v>
      </c>
      <c r="BB50" s="4">
        <f t="shared" si="98"/>
        <v>2020</v>
      </c>
      <c r="BC50" s="4">
        <f t="shared" si="98"/>
        <v>2021</v>
      </c>
      <c r="BD50" s="6">
        <f t="shared" si="98"/>
        <v>2022</v>
      </c>
      <c r="BE50" s="3" t="str">
        <f t="shared" si="98"/>
        <v>Total for 
2018-2022</v>
      </c>
      <c r="BF50" s="32"/>
    </row>
    <row r="51" spans="1:58" ht="20.100000000000001" customHeight="1" x14ac:dyDescent="0.2">
      <c r="A51" s="66"/>
      <c r="B51" s="29" t="str">
        <f>'Capex Model Category Index'!B24</f>
        <v>17</v>
      </c>
      <c r="C51" s="29" t="str">
        <f>'Capex Model Category Index'!C24</f>
        <v>New Service - New Home</v>
      </c>
      <c r="D51" s="15"/>
      <c r="E51" s="15"/>
      <c r="F51" s="624" t="s">
        <v>445</v>
      </c>
      <c r="G51" s="625" t="s">
        <v>445</v>
      </c>
      <c r="H51" s="625" t="s">
        <v>445</v>
      </c>
      <c r="I51" s="625" t="s">
        <v>445</v>
      </c>
      <c r="J51" s="626" t="s">
        <v>445</v>
      </c>
      <c r="K51" s="16">
        <v>61737.335884078595</v>
      </c>
      <c r="L51" s="409" t="str">
        <f>'Capex Category Summary (Alb)'!L51</f>
        <v>Derived from Core Energy customer number forecast</v>
      </c>
      <c r="M51" s="32"/>
      <c r="N51" s="29" t="str">
        <f t="shared" ref="N51:O54" si="99">B51</f>
        <v>17</v>
      </c>
      <c r="O51" s="29" t="str">
        <f t="shared" si="99"/>
        <v>New Service - New Home</v>
      </c>
      <c r="P51" s="41"/>
      <c r="Q51" s="41"/>
      <c r="R51" s="640" t="s">
        <v>445</v>
      </c>
      <c r="S51" s="634" t="s">
        <v>445</v>
      </c>
      <c r="T51" s="634" t="s">
        <v>445</v>
      </c>
      <c r="U51" s="634" t="s">
        <v>445</v>
      </c>
      <c r="V51" s="639" t="s">
        <v>445</v>
      </c>
      <c r="W51" s="42"/>
      <c r="X51" s="409" t="str">
        <f>'Capex Category Summary (Alb)'!X51</f>
        <v>Attachment 8.4 Unit Rates Forecast</v>
      </c>
      <c r="Y51" s="32"/>
      <c r="Z51" s="29" t="str">
        <f>B51</f>
        <v>17</v>
      </c>
      <c r="AA51" s="29" t="str">
        <f>C51</f>
        <v>New Service - New Home</v>
      </c>
      <c r="AB51" s="212"/>
      <c r="AC51" s="212"/>
      <c r="AD51" s="207">
        <v>12.946885130634145</v>
      </c>
      <c r="AE51" s="208">
        <v>12.237294654858339</v>
      </c>
      <c r="AF51" s="208">
        <v>12.220419796621973</v>
      </c>
      <c r="AG51" s="208">
        <v>12.48848416394452</v>
      </c>
      <c r="AH51" s="56">
        <v>12.700570077370134</v>
      </c>
      <c r="AI51" s="212">
        <f t="shared" ref="AI51:AI54" si="100">SUM(AD51:AH51)</f>
        <v>62.593653823429108</v>
      </c>
      <c r="AJ51" s="32"/>
      <c r="AK51" s="29" t="str">
        <f t="shared" ref="AK51:AL54" si="101">N51</f>
        <v>17</v>
      </c>
      <c r="AL51" s="29" t="str">
        <f t="shared" si="101"/>
        <v>New Service - New Home</v>
      </c>
      <c r="AM51" s="360"/>
      <c r="AN51" s="360"/>
      <c r="AO51" s="207">
        <f>AD51*(1+'Real Cost Escalation'!E$18)</f>
        <v>13.034042535379543</v>
      </c>
      <c r="AP51" s="208">
        <f>AE51*(1+'Real Cost Escalation'!F$18)</f>
        <v>12.390090238041044</v>
      </c>
      <c r="AQ51" s="208">
        <f>AF51*(1+'Real Cost Escalation'!G$18)</f>
        <v>12.460392997667379</v>
      </c>
      <c r="AR51" s="208">
        <f>AG51*(1+'Real Cost Escalation'!H$18)</f>
        <v>12.844149037079017</v>
      </c>
      <c r="AS51" s="56">
        <f>AH51*(1+'Real Cost Escalation'!I$18)</f>
        <v>13.189145721253183</v>
      </c>
      <c r="AT51" s="212">
        <f>SUM(AO51:AS51)</f>
        <v>63.917820529420169</v>
      </c>
      <c r="AU51" s="66"/>
      <c r="AV51" s="29" t="str">
        <f t="shared" ref="AV51:AW54" si="102">Z51</f>
        <v>17</v>
      </c>
      <c r="AW51" s="29" t="str">
        <f t="shared" si="102"/>
        <v>New Service - New Home</v>
      </c>
      <c r="AX51" s="360"/>
      <c r="AY51" s="360"/>
      <c r="AZ51" s="207">
        <f t="shared" ref="AZ51:BD54" si="103">AO51-AD51</f>
        <v>8.7157404745397571E-2</v>
      </c>
      <c r="BA51" s="208">
        <f t="shared" si="103"/>
        <v>0.15279558318270503</v>
      </c>
      <c r="BB51" s="208">
        <f t="shared" si="103"/>
        <v>0.2399732010454052</v>
      </c>
      <c r="BC51" s="208">
        <f t="shared" si="103"/>
        <v>0.35566487313449713</v>
      </c>
      <c r="BD51" s="56">
        <f t="shared" si="103"/>
        <v>0.48857564388304908</v>
      </c>
      <c r="BE51" s="212">
        <f t="shared" ref="BE51:BE54" si="104">SUM(AZ51:BD51)</f>
        <v>1.324166705991054</v>
      </c>
      <c r="BF51" s="32"/>
    </row>
    <row r="52" spans="1:58" ht="20.100000000000001" customHeight="1" x14ac:dyDescent="0.2">
      <c r="A52" s="66"/>
      <c r="B52" s="29" t="str">
        <f>'Capex Model Category Index'!B25</f>
        <v>18</v>
      </c>
      <c r="C52" s="29" t="str">
        <f>'Capex Model Category Index'!C25</f>
        <v>New Service - Exist Home</v>
      </c>
      <c r="D52" s="15"/>
      <c r="E52" s="15"/>
      <c r="F52" s="627" t="s">
        <v>445</v>
      </c>
      <c r="G52" s="628" t="s">
        <v>445</v>
      </c>
      <c r="H52" s="628" t="s">
        <v>445</v>
      </c>
      <c r="I52" s="628" t="s">
        <v>445</v>
      </c>
      <c r="J52" s="628" t="s">
        <v>445</v>
      </c>
      <c r="K52" s="16">
        <v>4218.0538613303179</v>
      </c>
      <c r="L52" s="409" t="str">
        <f>'Capex Category Summary (Alb)'!L52</f>
        <v>Derived from Core Energy customer number forecast</v>
      </c>
      <c r="M52" s="32"/>
      <c r="N52" s="29" t="str">
        <f t="shared" si="99"/>
        <v>18</v>
      </c>
      <c r="O52" s="29" t="str">
        <f t="shared" si="99"/>
        <v>New Service - Exist Home</v>
      </c>
      <c r="P52" s="41"/>
      <c r="Q52" s="41"/>
      <c r="R52" s="640" t="s">
        <v>445</v>
      </c>
      <c r="S52" s="634" t="s">
        <v>445</v>
      </c>
      <c r="T52" s="634" t="s">
        <v>445</v>
      </c>
      <c r="U52" s="634" t="s">
        <v>445</v>
      </c>
      <c r="V52" s="639" t="s">
        <v>445</v>
      </c>
      <c r="W52" s="42"/>
      <c r="X52" s="409" t="str">
        <f>'Capex Category Summary (Alb)'!X52</f>
        <v>Attachment 8.4 Unit Rates Forecast</v>
      </c>
      <c r="Y52" s="32"/>
      <c r="Z52" s="29" t="str">
        <f t="shared" ref="Z52:AA54" si="105">B52</f>
        <v>18</v>
      </c>
      <c r="AA52" s="29" t="str">
        <f t="shared" si="105"/>
        <v>New Service - Exist Home</v>
      </c>
      <c r="AB52" s="212"/>
      <c r="AC52" s="212"/>
      <c r="AD52" s="207">
        <v>1.3377845512206774</v>
      </c>
      <c r="AE52" s="208">
        <v>1.2649682623492549</v>
      </c>
      <c r="AF52" s="208">
        <v>1.263363548070128</v>
      </c>
      <c r="AG52" s="208">
        <v>1.29105219131822</v>
      </c>
      <c r="AH52" s="56">
        <v>1.3129888625841859</v>
      </c>
      <c r="AI52" s="212">
        <f t="shared" si="100"/>
        <v>6.4701574155424666</v>
      </c>
      <c r="AJ52" s="32"/>
      <c r="AK52" s="29" t="str">
        <f t="shared" si="101"/>
        <v>18</v>
      </c>
      <c r="AL52" s="29" t="str">
        <f t="shared" si="101"/>
        <v>New Service - Exist Home</v>
      </c>
      <c r="AM52" s="360"/>
      <c r="AN52" s="360"/>
      <c r="AO52" s="207">
        <f>AD52*(1+'Real Cost Escalation'!E$18)</f>
        <v>1.3467904108090192</v>
      </c>
      <c r="AP52" s="208">
        <f>AE52*(1+'Real Cost Escalation'!F$18)</f>
        <v>1.2807627307186613</v>
      </c>
      <c r="AQ52" s="208">
        <f>AF52*(1+'Real Cost Escalation'!G$18)</f>
        <v>1.2881723025777492</v>
      </c>
      <c r="AR52" s="208">
        <f>AG52*(1+'Real Cost Escalation'!H$18)</f>
        <v>1.3278206179588936</v>
      </c>
      <c r="AS52" s="56">
        <f>AH52*(1+'Real Cost Escalation'!I$18)</f>
        <v>1.3634979637536959</v>
      </c>
      <c r="AT52" s="212">
        <f>SUM(AO52:AS52)</f>
        <v>6.6070440258180199</v>
      </c>
      <c r="AU52" s="66"/>
      <c r="AV52" s="29" t="str">
        <f t="shared" si="102"/>
        <v>18</v>
      </c>
      <c r="AW52" s="29" t="str">
        <f t="shared" si="102"/>
        <v>New Service - Exist Home</v>
      </c>
      <c r="AX52" s="360"/>
      <c r="AY52" s="360"/>
      <c r="AZ52" s="207">
        <f t="shared" si="103"/>
        <v>9.0058595883417691E-3</v>
      </c>
      <c r="BA52" s="208">
        <f t="shared" si="103"/>
        <v>1.5794468369406456E-2</v>
      </c>
      <c r="BB52" s="208">
        <f t="shared" si="103"/>
        <v>2.4808754507621211E-2</v>
      </c>
      <c r="BC52" s="208">
        <f t="shared" si="103"/>
        <v>3.676842664067359E-2</v>
      </c>
      <c r="BD52" s="56">
        <f t="shared" si="103"/>
        <v>5.0509101169510018E-2</v>
      </c>
      <c r="BE52" s="212">
        <f t="shared" si="104"/>
        <v>0.13688661027555304</v>
      </c>
      <c r="BF52" s="32"/>
    </row>
    <row r="53" spans="1:58" ht="20.100000000000001" customHeight="1" x14ac:dyDescent="0.2">
      <c r="A53" s="66"/>
      <c r="B53" s="29" t="str">
        <f>'Capex Model Category Index'!B26</f>
        <v>19</v>
      </c>
      <c r="C53" s="29" t="str">
        <f>'Capex Model Category Index'!C26</f>
        <v>New Service - Multi User</v>
      </c>
      <c r="D53" s="15"/>
      <c r="E53" s="15"/>
      <c r="F53" s="627" t="s">
        <v>445</v>
      </c>
      <c r="G53" s="628" t="s">
        <v>445</v>
      </c>
      <c r="H53" s="628" t="s">
        <v>445</v>
      </c>
      <c r="I53" s="628" t="s">
        <v>445</v>
      </c>
      <c r="J53" s="628" t="s">
        <v>445</v>
      </c>
      <c r="K53" s="16">
        <v>3400.1466640678022</v>
      </c>
      <c r="L53" s="409" t="str">
        <f>'Capex Category Summary (Alb)'!L53</f>
        <v>Derived from Core Energy customer number forecast</v>
      </c>
      <c r="M53" s="32"/>
      <c r="N53" s="29" t="str">
        <f t="shared" si="99"/>
        <v>19</v>
      </c>
      <c r="O53" s="29" t="str">
        <f t="shared" si="99"/>
        <v>New Service - Multi User</v>
      </c>
      <c r="P53" s="41"/>
      <c r="Q53" s="41"/>
      <c r="R53" s="640" t="s">
        <v>445</v>
      </c>
      <c r="S53" s="634" t="s">
        <v>445</v>
      </c>
      <c r="T53" s="634" t="s">
        <v>445</v>
      </c>
      <c r="U53" s="634" t="s">
        <v>445</v>
      </c>
      <c r="V53" s="639" t="s">
        <v>445</v>
      </c>
      <c r="W53" s="42"/>
      <c r="X53" s="409" t="str">
        <f>'Capex Category Summary (Alb)'!X53</f>
        <v>Attachment 8.4 Unit Rates Forecast</v>
      </c>
      <c r="Y53" s="32"/>
      <c r="Z53" s="29" t="str">
        <f t="shared" si="105"/>
        <v>19</v>
      </c>
      <c r="AA53" s="29" t="str">
        <f t="shared" si="105"/>
        <v>New Service - Multi User</v>
      </c>
      <c r="AB53" s="212"/>
      <c r="AC53" s="212"/>
      <c r="AD53" s="207">
        <v>3.5486784767881345</v>
      </c>
      <c r="AE53" s="208">
        <v>3.3511643035371286</v>
      </c>
      <c r="AF53" s="208">
        <v>3.3457079980992859</v>
      </c>
      <c r="AG53" s="208">
        <v>3.4192435124363616</v>
      </c>
      <c r="AH53" s="56">
        <v>3.4772429753625791</v>
      </c>
      <c r="AI53" s="212">
        <f t="shared" si="100"/>
        <v>17.14203726622349</v>
      </c>
      <c r="AJ53" s="32"/>
      <c r="AK53" s="29" t="str">
        <f t="shared" si="101"/>
        <v>19</v>
      </c>
      <c r="AL53" s="29" t="str">
        <f t="shared" si="101"/>
        <v>New Service - Multi User</v>
      </c>
      <c r="AM53" s="360"/>
      <c r="AN53" s="360"/>
      <c r="AO53" s="207">
        <f>AD53*(1+'Real Cost Escalation'!E$18)</f>
        <v>3.5725678990848437</v>
      </c>
      <c r="AP53" s="208">
        <f>AE53*(1+'Real Cost Escalation'!F$18)</f>
        <v>3.3930071387831306</v>
      </c>
      <c r="AQ53" s="208">
        <f>AF53*(1+'Real Cost Escalation'!G$18)</f>
        <v>3.4114078898729741</v>
      </c>
      <c r="AR53" s="208">
        <f>AG53*(1+'Real Cost Escalation'!H$18)</f>
        <v>3.5166216084568251</v>
      </c>
      <c r="AS53" s="56">
        <f>AH53*(1+'Real Cost Escalation'!I$18)</f>
        <v>3.6110083272543556</v>
      </c>
      <c r="AT53" s="212">
        <f>SUM(AO53:AS53)</f>
        <v>17.504612863452131</v>
      </c>
      <c r="AU53" s="66"/>
      <c r="AV53" s="29" t="str">
        <f t="shared" si="102"/>
        <v>19</v>
      </c>
      <c r="AW53" s="29" t="str">
        <f t="shared" si="102"/>
        <v>New Service - Multi User</v>
      </c>
      <c r="AX53" s="360"/>
      <c r="AY53" s="360"/>
      <c r="AZ53" s="207">
        <f t="shared" si="103"/>
        <v>2.3889422296709206E-2</v>
      </c>
      <c r="BA53" s="208">
        <f t="shared" si="103"/>
        <v>4.1842835246002075E-2</v>
      </c>
      <c r="BB53" s="208">
        <f t="shared" si="103"/>
        <v>6.5699891773688179E-2</v>
      </c>
      <c r="BC53" s="208">
        <f t="shared" si="103"/>
        <v>9.7378096020463545E-2</v>
      </c>
      <c r="BD53" s="56">
        <f t="shared" si="103"/>
        <v>0.13376535189177652</v>
      </c>
      <c r="BE53" s="212">
        <f t="shared" si="104"/>
        <v>0.36257559722863952</v>
      </c>
      <c r="BF53" s="32"/>
    </row>
    <row r="54" spans="1:58" ht="20.100000000000001" customHeight="1" x14ac:dyDescent="0.2">
      <c r="A54" s="66"/>
      <c r="B54" s="29" t="str">
        <f>'Capex Model Category Index'!B27</f>
        <v>20</v>
      </c>
      <c r="C54" s="29" t="str">
        <f>'Capex Model Category Index'!C27</f>
        <v>New Service - I&amp;C &lt; 10 Tj</v>
      </c>
      <c r="D54" s="15"/>
      <c r="E54" s="15"/>
      <c r="F54" s="630" t="s">
        <v>445</v>
      </c>
      <c r="G54" s="631" t="s">
        <v>445</v>
      </c>
      <c r="H54" s="631" t="s">
        <v>445</v>
      </c>
      <c r="I54" s="631" t="s">
        <v>445</v>
      </c>
      <c r="J54" s="632" t="s">
        <v>445</v>
      </c>
      <c r="K54" s="16">
        <v>1803.173974917672</v>
      </c>
      <c r="L54" s="409" t="str">
        <f>'Capex Category Summary (Alb)'!L54</f>
        <v>Derived from Core Energy customer number forecast</v>
      </c>
      <c r="M54" s="32"/>
      <c r="N54" s="359" t="str">
        <f t="shared" si="99"/>
        <v>20</v>
      </c>
      <c r="O54" s="359" t="str">
        <f t="shared" si="99"/>
        <v>New Service - I&amp;C &lt; 10 Tj</v>
      </c>
      <c r="P54" s="507"/>
      <c r="Q54" s="507"/>
      <c r="R54" s="641" t="s">
        <v>445</v>
      </c>
      <c r="S54" s="638" t="s">
        <v>445</v>
      </c>
      <c r="T54" s="638" t="s">
        <v>445</v>
      </c>
      <c r="U54" s="638" t="s">
        <v>445</v>
      </c>
      <c r="V54" s="642" t="s">
        <v>445</v>
      </c>
      <c r="W54" s="508"/>
      <c r="X54" s="509" t="str">
        <f>'Capex Category Summary (Alb)'!X54</f>
        <v>Attachment 8.4 Unit Rates Forecast</v>
      </c>
      <c r="Y54" s="32"/>
      <c r="Z54" s="29" t="str">
        <f t="shared" si="105"/>
        <v>20</v>
      </c>
      <c r="AA54" s="29" t="str">
        <f t="shared" si="105"/>
        <v>New Service - I&amp;C &lt; 10 Tj</v>
      </c>
      <c r="AB54" s="212"/>
      <c r="AC54" s="212"/>
      <c r="AD54" s="207">
        <v>1.804914419968594</v>
      </c>
      <c r="AE54" s="208">
        <v>1.8155698718700046</v>
      </c>
      <c r="AF54" s="208">
        <v>1.8262978529737763</v>
      </c>
      <c r="AG54" s="208">
        <v>1.8370990755999819</v>
      </c>
      <c r="AH54" s="56">
        <v>1.8479742621555726</v>
      </c>
      <c r="AI54" s="212">
        <f t="shared" si="100"/>
        <v>9.1318554825679286</v>
      </c>
      <c r="AJ54" s="32"/>
      <c r="AK54" s="29" t="str">
        <f t="shared" si="101"/>
        <v>20</v>
      </c>
      <c r="AL54" s="29" t="str">
        <f t="shared" si="101"/>
        <v>New Service - I&amp;C &lt; 10 Tj</v>
      </c>
      <c r="AM54" s="360"/>
      <c r="AN54" s="360"/>
      <c r="AO54" s="207">
        <f>AD54*(1+'Real Cost Escalation'!E$18)</f>
        <v>1.8170649608164298</v>
      </c>
      <c r="AP54" s="208">
        <f>AE54*(1+'Real Cost Escalation'!F$18)</f>
        <v>1.8382391844268606</v>
      </c>
      <c r="AQ54" s="208">
        <f>AF54*(1+'Real Cost Escalation'!G$18)</f>
        <v>1.8621609860849331</v>
      </c>
      <c r="AR54" s="208">
        <f>AG54*(1+'Real Cost Escalation'!H$18)</f>
        <v>1.8894186046221808</v>
      </c>
      <c r="AS54" s="56">
        <f>AH54*(1+'Real Cost Escalation'!I$18)</f>
        <v>1.9190636077134309</v>
      </c>
      <c r="AT54" s="212">
        <f>SUM(AO54:AS54)</f>
        <v>9.3259473436638345</v>
      </c>
      <c r="AU54" s="66"/>
      <c r="AV54" s="29" t="str">
        <f t="shared" si="102"/>
        <v>20</v>
      </c>
      <c r="AW54" s="29" t="str">
        <f t="shared" si="102"/>
        <v>New Service - I&amp;C &lt; 10 Tj</v>
      </c>
      <c r="AX54" s="360"/>
      <c r="AY54" s="360"/>
      <c r="AZ54" s="207">
        <f t="shared" si="103"/>
        <v>1.2150540847835734E-2</v>
      </c>
      <c r="BA54" s="208">
        <f t="shared" si="103"/>
        <v>2.2669312556856003E-2</v>
      </c>
      <c r="BB54" s="208">
        <f t="shared" si="103"/>
        <v>3.5863133111156742E-2</v>
      </c>
      <c r="BC54" s="208">
        <f t="shared" si="103"/>
        <v>5.2319529022198941E-2</v>
      </c>
      <c r="BD54" s="56">
        <f t="shared" si="103"/>
        <v>7.1089345557858286E-2</v>
      </c>
      <c r="BE54" s="212">
        <f t="shared" si="104"/>
        <v>0.1940918610959057</v>
      </c>
      <c r="BF54" s="32"/>
    </row>
    <row r="55" spans="1:58" ht="20.100000000000001" customHeight="1" thickBot="1" x14ac:dyDescent="0.25">
      <c r="A55" s="66"/>
      <c r="B55" s="24"/>
      <c r="C55" s="24" t="s">
        <v>78</v>
      </c>
      <c r="D55" s="27"/>
      <c r="E55" s="27"/>
      <c r="F55" s="26">
        <v>14702.181827615315</v>
      </c>
      <c r="G55" s="27">
        <v>13917.755061705906</v>
      </c>
      <c r="H55" s="27">
        <v>13901.100987821092</v>
      </c>
      <c r="I55" s="27">
        <v>14200.267658108094</v>
      </c>
      <c r="J55" s="28">
        <v>14437.404849143981</v>
      </c>
      <c r="K55" s="27">
        <v>71158.710384394391</v>
      </c>
      <c r="L55" s="2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24"/>
      <c r="AA55" s="24" t="s">
        <v>78</v>
      </c>
      <c r="AB55" s="210"/>
      <c r="AC55" s="210"/>
      <c r="AD55" s="209">
        <f>SUM(AD51:AD54)</f>
        <v>19.638262578611549</v>
      </c>
      <c r="AE55" s="210">
        <f t="shared" ref="AE55:AI55" si="106">SUM(AE51:AE54)</f>
        <v>18.668997092614724</v>
      </c>
      <c r="AF55" s="210">
        <f t="shared" si="106"/>
        <v>18.655789195765163</v>
      </c>
      <c r="AG55" s="210">
        <f t="shared" si="106"/>
        <v>19.035878943299085</v>
      </c>
      <c r="AH55" s="211">
        <f t="shared" si="106"/>
        <v>19.338776177472475</v>
      </c>
      <c r="AI55" s="210">
        <f t="shared" si="106"/>
        <v>95.337703987762993</v>
      </c>
      <c r="AJ55" s="32"/>
      <c r="AK55" s="24"/>
      <c r="AL55" s="24" t="s">
        <v>78</v>
      </c>
      <c r="AM55" s="266"/>
      <c r="AN55" s="266"/>
      <c r="AO55" s="209">
        <f>SUM(AO51:AO54)</f>
        <v>19.770465806089838</v>
      </c>
      <c r="AP55" s="210">
        <f t="shared" ref="AP55:AT55" si="107">SUM(AP51:AP54)</f>
        <v>18.902099291969698</v>
      </c>
      <c r="AQ55" s="210">
        <f t="shared" si="107"/>
        <v>19.022134176203036</v>
      </c>
      <c r="AR55" s="210">
        <f t="shared" si="107"/>
        <v>19.578009868116915</v>
      </c>
      <c r="AS55" s="211">
        <f t="shared" si="107"/>
        <v>20.082715619974664</v>
      </c>
      <c r="AT55" s="210">
        <f t="shared" si="107"/>
        <v>97.355424762354176</v>
      </c>
      <c r="AU55" s="66"/>
      <c r="AV55" s="24"/>
      <c r="AW55" s="24" t="s">
        <v>78</v>
      </c>
      <c r="AX55" s="210"/>
      <c r="AY55" s="210"/>
      <c r="AZ55" s="209">
        <f>SUM(AZ51:AZ54)</f>
        <v>0.13220322747828428</v>
      </c>
      <c r="BA55" s="210">
        <f t="shared" ref="BA55:BE55" si="108">SUM(BA51:BA54)</f>
        <v>0.23310219935496956</v>
      </c>
      <c r="BB55" s="210">
        <f t="shared" si="108"/>
        <v>0.36634498043787134</v>
      </c>
      <c r="BC55" s="210">
        <f t="shared" si="108"/>
        <v>0.5421309248178332</v>
      </c>
      <c r="BD55" s="211">
        <f t="shared" si="108"/>
        <v>0.7439394425021939</v>
      </c>
      <c r="BE55" s="210">
        <f t="shared" si="108"/>
        <v>2.0177207745911523</v>
      </c>
      <c r="BF55" s="32"/>
    </row>
    <row r="56" spans="1:58" ht="20.100000000000001" customHeight="1" x14ac:dyDescent="0.2">
      <c r="A56" s="6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52"/>
      <c r="AC56" s="52"/>
      <c r="AD56" s="52"/>
      <c r="AE56" s="52"/>
      <c r="AF56" s="52"/>
      <c r="AG56" s="52"/>
      <c r="AH56" s="52"/>
      <c r="AI56" s="32"/>
      <c r="AJ56" s="32"/>
      <c r="AK56" s="32"/>
      <c r="AL56" s="32"/>
      <c r="AM56" s="32"/>
      <c r="AN56" s="32"/>
      <c r="AO56" s="37"/>
      <c r="AP56" s="37"/>
      <c r="AQ56" s="37"/>
      <c r="AR56" s="37"/>
      <c r="AS56" s="37"/>
      <c r="AT56" s="37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</row>
    <row r="57" spans="1:58" ht="24" customHeight="1" x14ac:dyDescent="0.2">
      <c r="A57" s="66"/>
      <c r="B57" s="315" t="s">
        <v>233</v>
      </c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5"/>
      <c r="BE57" s="315"/>
      <c r="BF57" s="32"/>
    </row>
    <row r="58" spans="1:58" x14ac:dyDescent="0.2">
      <c r="A58" s="6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</row>
    <row r="59" spans="1:58" ht="24" customHeight="1" x14ac:dyDescent="0.2">
      <c r="A59" s="66"/>
      <c r="B59" s="354" t="s">
        <v>235</v>
      </c>
      <c r="C59" s="354"/>
      <c r="D59" s="355"/>
      <c r="E59" s="355"/>
      <c r="F59" s="355"/>
      <c r="G59" s="355"/>
      <c r="H59" s="355"/>
      <c r="I59" s="355"/>
      <c r="J59" s="355"/>
      <c r="K59" s="355"/>
      <c r="L59" s="355"/>
      <c r="M59" s="32"/>
      <c r="N59" s="354" t="s">
        <v>236</v>
      </c>
      <c r="O59" s="354"/>
      <c r="P59" s="355"/>
      <c r="Q59" s="355"/>
      <c r="R59" s="355"/>
      <c r="S59" s="355"/>
      <c r="T59" s="355"/>
      <c r="U59" s="355"/>
      <c r="V59" s="355"/>
      <c r="W59" s="355"/>
      <c r="X59" s="355"/>
      <c r="Y59" s="66"/>
      <c r="Z59" s="354" t="s">
        <v>237</v>
      </c>
      <c r="AA59" s="354"/>
      <c r="AB59" s="355"/>
      <c r="AC59" s="355"/>
      <c r="AD59" s="355"/>
      <c r="AE59" s="355"/>
      <c r="AF59" s="355"/>
      <c r="AG59" s="355"/>
      <c r="AH59" s="355"/>
      <c r="AI59" s="355"/>
      <c r="AJ59" s="32"/>
      <c r="AK59" s="354" t="s">
        <v>238</v>
      </c>
      <c r="AL59" s="354"/>
      <c r="AM59" s="355"/>
      <c r="AN59" s="355"/>
      <c r="AO59" s="355"/>
      <c r="AP59" s="355"/>
      <c r="AQ59" s="355"/>
      <c r="AR59" s="355"/>
      <c r="AS59" s="355"/>
      <c r="AT59" s="355"/>
      <c r="AU59" s="66"/>
      <c r="AV59" s="354" t="s">
        <v>256</v>
      </c>
      <c r="AW59" s="354"/>
      <c r="AX59" s="354"/>
      <c r="AY59" s="354"/>
      <c r="AZ59" s="354"/>
      <c r="BA59" s="354"/>
      <c r="BB59" s="354"/>
      <c r="BC59" s="354"/>
      <c r="BD59" s="354"/>
      <c r="BE59" s="354"/>
      <c r="BF59" s="32"/>
    </row>
    <row r="60" spans="1:58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</row>
    <row r="61" spans="1:58" ht="22.5" x14ac:dyDescent="0.2">
      <c r="A61" s="32"/>
      <c r="B61" s="66" t="s">
        <v>257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66" t="s">
        <v>257</v>
      </c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10"/>
      <c r="AA61" s="11"/>
      <c r="AB61" s="3"/>
      <c r="AC61" s="4"/>
      <c r="AD61" s="7">
        <v>2018</v>
      </c>
      <c r="AE61" s="8">
        <v>2019</v>
      </c>
      <c r="AF61" s="8">
        <v>2020</v>
      </c>
      <c r="AG61" s="8">
        <v>2021</v>
      </c>
      <c r="AH61" s="9">
        <v>2022</v>
      </c>
      <c r="AI61" s="3" t="s">
        <v>73</v>
      </c>
      <c r="AJ61" s="32"/>
      <c r="AK61" s="10"/>
      <c r="AL61" s="11"/>
      <c r="AM61" s="3"/>
      <c r="AN61" s="4"/>
      <c r="AO61" s="5">
        <v>2018</v>
      </c>
      <c r="AP61" s="4">
        <v>2019</v>
      </c>
      <c r="AQ61" s="4">
        <v>2020</v>
      </c>
      <c r="AR61" s="4">
        <v>2021</v>
      </c>
      <c r="AS61" s="6">
        <v>2022</v>
      </c>
      <c r="AT61" s="3" t="s">
        <v>73</v>
      </c>
      <c r="AU61" s="32"/>
      <c r="AV61" s="10"/>
      <c r="AW61" s="11"/>
      <c r="AX61" s="3"/>
      <c r="AY61" s="4"/>
      <c r="AZ61" s="5">
        <v>2018</v>
      </c>
      <c r="BA61" s="4">
        <v>2019</v>
      </c>
      <c r="BB61" s="4">
        <v>2020</v>
      </c>
      <c r="BC61" s="4">
        <v>2021</v>
      </c>
      <c r="BD61" s="6">
        <v>2022</v>
      </c>
      <c r="BE61" s="3" t="s">
        <v>73</v>
      </c>
      <c r="BF61" s="32"/>
    </row>
    <row r="62" spans="1:58" ht="18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29">
        <f>'Capex Model Category Index'!B32</f>
        <v>21</v>
      </c>
      <c r="AA62" s="29" t="str">
        <f>'Capex Model Category Index'!C32</f>
        <v>Telemetry</v>
      </c>
      <c r="AB62" s="360"/>
      <c r="AC62" s="360"/>
      <c r="AD62" s="515">
        <f>'Capex Category Summary (Vic)'!AD62+'Capex Category Summary (Alb)'!AD62</f>
        <v>0.27193106640000003</v>
      </c>
      <c r="AE62" s="213">
        <f>'Capex Category Summary (Vic)'!AE62+'Capex Category Summary (Alb)'!AE62</f>
        <v>0.26010602640000002</v>
      </c>
      <c r="AF62" s="213">
        <f>'Capex Category Summary (Vic)'!AF62+'Capex Category Summary (Alb)'!AF62</f>
        <v>0.25346157720000001</v>
      </c>
      <c r="AG62" s="213">
        <f>'Capex Category Summary (Vic)'!AG62+'Capex Category Summary (Alb)'!AG62</f>
        <v>0.25495193999999999</v>
      </c>
      <c r="AH62" s="214">
        <f>'Capex Category Summary (Vic)'!AH62+'Capex Category Summary (Alb)'!AH62</f>
        <v>0.14169660000000003</v>
      </c>
      <c r="AI62" s="212">
        <f>SUM(AD62:AH62)</f>
        <v>1.1821472099999999</v>
      </c>
      <c r="AJ62" s="32"/>
      <c r="AK62" s="29">
        <f t="shared" ref="AK62:AK69" si="109">$Z62</f>
        <v>21</v>
      </c>
      <c r="AL62" s="29" t="str">
        <f t="shared" ref="AL62:AL69" si="110">$AA62</f>
        <v>Telemetry</v>
      </c>
      <c r="AM62" s="360"/>
      <c r="AN62" s="360"/>
      <c r="AO62" s="207">
        <f>AD62*(1+'Real Cost Escalation'!E$18)</f>
        <v>0.27376168479028706</v>
      </c>
      <c r="AP62" s="208">
        <f>AE62*(1+'Real Cost Escalation'!F$18)</f>
        <v>0.26335372559447401</v>
      </c>
      <c r="AQ62" s="208">
        <f>AF62*(1+'Real Cost Escalation'!G$18)</f>
        <v>0.25843881914708228</v>
      </c>
      <c r="AR62" s="208">
        <f>AG62*(1+'Real Cost Escalation'!H$18)</f>
        <v>0.26221282516469341</v>
      </c>
      <c r="AS62" s="56">
        <f>AH62*(1+'Real Cost Escalation'!I$18)</f>
        <v>0.14714749764942067</v>
      </c>
      <c r="AT62" s="212">
        <f>SUM(AO62:AS62)</f>
        <v>1.2049145523459575</v>
      </c>
      <c r="AU62" s="32"/>
      <c r="AV62" s="29">
        <f t="shared" ref="AV62:AV69" si="111">$Z62</f>
        <v>21</v>
      </c>
      <c r="AW62" s="29" t="str">
        <f t="shared" ref="AW62:AW69" si="112">$AA62</f>
        <v>Telemetry</v>
      </c>
      <c r="AX62" s="15"/>
      <c r="AY62" s="15"/>
      <c r="AZ62" s="207">
        <f t="shared" ref="AZ62:BD69" si="113">AO62-AD62</f>
        <v>1.830618390287031E-3</v>
      </c>
      <c r="BA62" s="208">
        <f t="shared" si="113"/>
        <v>3.2476991944739853E-3</v>
      </c>
      <c r="BB62" s="208">
        <f t="shared" si="113"/>
        <v>4.9772419470822671E-3</v>
      </c>
      <c r="BC62" s="208">
        <f t="shared" si="113"/>
        <v>7.2608851646934203E-3</v>
      </c>
      <c r="BD62" s="56">
        <f t="shared" si="113"/>
        <v>5.4508976494206385E-3</v>
      </c>
      <c r="BE62" s="212">
        <f>SUM(AZ62:BD62)</f>
        <v>2.2767342345957342E-2</v>
      </c>
      <c r="BF62" s="32"/>
    </row>
    <row r="63" spans="1:58" ht="18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29">
        <f>'Capex Model Category Index'!B33</f>
        <v>22</v>
      </c>
      <c r="AA63" s="29" t="str">
        <f>'Capex Model Category Index'!C33</f>
        <v>Regulators</v>
      </c>
      <c r="AB63" s="360"/>
      <c r="AC63" s="360"/>
      <c r="AD63" s="207">
        <f>'Capex Category Summary (Vic)'!AD63+'Capex Category Summary (Alb)'!AD63</f>
        <v>2.4269141231999996</v>
      </c>
      <c r="AE63" s="208">
        <f>'Capex Category Summary (Vic)'!AE63+'Capex Category Summary (Alb)'!AE63</f>
        <v>4.4390904534000013</v>
      </c>
      <c r="AF63" s="208">
        <f>'Capex Category Summary (Vic)'!AF63+'Capex Category Summary (Alb)'!AF63</f>
        <v>9.8999561087999997</v>
      </c>
      <c r="AG63" s="208">
        <f>'Capex Category Summary (Vic)'!AG63+'Capex Category Summary (Alb)'!AG63</f>
        <v>5.6075359080000018</v>
      </c>
      <c r="AH63" s="56">
        <f>'Capex Category Summary (Vic)'!AH63+'Capex Category Summary (Alb)'!AH63</f>
        <v>2.7010042788000002</v>
      </c>
      <c r="AI63" s="212">
        <f t="shared" ref="AI63:AI69" si="114">SUM(AD63:AH63)</f>
        <v>25.074500872200002</v>
      </c>
      <c r="AJ63" s="32"/>
      <c r="AK63" s="29">
        <f t="shared" si="109"/>
        <v>22</v>
      </c>
      <c r="AL63" s="29" t="str">
        <f t="shared" si="110"/>
        <v>Regulators</v>
      </c>
      <c r="AM63" s="360"/>
      <c r="AN63" s="360"/>
      <c r="AO63" s="207">
        <f>AD63*(1+'Real Cost Escalation'!E$18)</f>
        <v>2.4432519167606737</v>
      </c>
      <c r="AP63" s="208">
        <f>AE63*(1+'Real Cost Escalation'!F$18)</f>
        <v>4.4945171987516588</v>
      </c>
      <c r="AQ63" s="208">
        <f>AF63*(1+'Real Cost Escalation'!G$18)</f>
        <v>10.094362209177538</v>
      </c>
      <c r="AR63" s="208">
        <f>AG63*(1+'Real Cost Escalation'!H$18)</f>
        <v>5.7672353175627729</v>
      </c>
      <c r="AS63" s="56">
        <f>AH63*(1+'Real Cost Escalation'!I$18)</f>
        <v>2.8049086623518003</v>
      </c>
      <c r="AT63" s="212">
        <f t="shared" ref="AT63:AT69" si="115">SUM(AO63:AS63)</f>
        <v>25.604275304604442</v>
      </c>
      <c r="AU63" s="32"/>
      <c r="AV63" s="29">
        <f t="shared" si="111"/>
        <v>22</v>
      </c>
      <c r="AW63" s="29" t="str">
        <f t="shared" si="112"/>
        <v>Regulators</v>
      </c>
      <c r="AX63" s="15"/>
      <c r="AY63" s="15"/>
      <c r="AZ63" s="207">
        <f t="shared" si="113"/>
        <v>1.6337793560674108E-2</v>
      </c>
      <c r="BA63" s="208">
        <f t="shared" si="113"/>
        <v>5.542674535165748E-2</v>
      </c>
      <c r="BB63" s="208">
        <f t="shared" si="113"/>
        <v>0.19440610037753814</v>
      </c>
      <c r="BC63" s="208">
        <f t="shared" si="113"/>
        <v>0.15969940956277107</v>
      </c>
      <c r="BD63" s="56">
        <f t="shared" si="113"/>
        <v>0.10390438355180009</v>
      </c>
      <c r="BE63" s="212">
        <f t="shared" ref="BE63:BE69" si="116">SUM(AZ63:BD63)</f>
        <v>0.52977443240444089</v>
      </c>
      <c r="BF63" s="32"/>
    </row>
    <row r="64" spans="1:58" ht="18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29">
        <f>'Capex Model Category Index'!B34</f>
        <v>23</v>
      </c>
      <c r="AA64" s="29" t="str">
        <f>'Capex Model Category Index'!C34</f>
        <v>Information Technology</v>
      </c>
      <c r="AB64" s="360"/>
      <c r="AC64" s="360"/>
      <c r="AD64" s="207">
        <f>'Capex Category Summary (Vic)'!AD64+'Capex Category Summary (Alb)'!AD64</f>
        <v>11.525055190216266</v>
      </c>
      <c r="AE64" s="208">
        <f>'Capex Category Summary (Vic)'!AE64+'Capex Category Summary (Alb)'!AE64</f>
        <v>24.201923295874582</v>
      </c>
      <c r="AF64" s="208">
        <f>'Capex Category Summary (Vic)'!AF64+'Capex Category Summary (Alb)'!AF64</f>
        <v>16.45668052174366</v>
      </c>
      <c r="AG64" s="208">
        <f>'Capex Category Summary (Vic)'!AG64+'Capex Category Summary (Alb)'!AG64</f>
        <v>5.2359418612548163</v>
      </c>
      <c r="AH64" s="56">
        <f>'Capex Category Summary (Vic)'!AH64+'Capex Category Summary (Alb)'!AH64</f>
        <v>6.1099593766958451</v>
      </c>
      <c r="AI64" s="212">
        <f t="shared" si="114"/>
        <v>63.52956024578517</v>
      </c>
      <c r="AJ64" s="32"/>
      <c r="AK64" s="29">
        <f t="shared" si="109"/>
        <v>23</v>
      </c>
      <c r="AL64" s="29" t="str">
        <f t="shared" si="110"/>
        <v>Information Technology</v>
      </c>
      <c r="AM64" s="360"/>
      <c r="AN64" s="360"/>
      <c r="AO64" s="207">
        <f>AD64*(1+'Real Cost Escalation'!E$18)</f>
        <v>11.602640948473281</v>
      </c>
      <c r="AP64" s="208">
        <f>AE64*(1+'Real Cost Escalation'!F$18)</f>
        <v>24.504109938301152</v>
      </c>
      <c r="AQ64" s="208">
        <f>AF64*(1+'Real Cost Escalation'!G$18)</f>
        <v>16.779841458037851</v>
      </c>
      <c r="AR64" s="208">
        <f>AG64*(1+'Real Cost Escalation'!H$18)</f>
        <v>5.3850584852882815</v>
      </c>
      <c r="AS64" s="56">
        <f>AH64*(1+'Real Cost Escalation'!I$18)</f>
        <v>6.3450021596877226</v>
      </c>
      <c r="AT64" s="212">
        <f t="shared" si="115"/>
        <v>64.616652989788292</v>
      </c>
      <c r="AU64" s="32"/>
      <c r="AV64" s="29">
        <f t="shared" si="111"/>
        <v>23</v>
      </c>
      <c r="AW64" s="29" t="str">
        <f t="shared" si="112"/>
        <v>Information Technology</v>
      </c>
      <c r="AX64" s="15"/>
      <c r="AY64" s="15"/>
      <c r="AZ64" s="207">
        <f t="shared" si="113"/>
        <v>7.7585758257015414E-2</v>
      </c>
      <c r="BA64" s="208">
        <f t="shared" si="113"/>
        <v>0.30218664242656956</v>
      </c>
      <c r="BB64" s="208">
        <f t="shared" si="113"/>
        <v>0.32316093629419029</v>
      </c>
      <c r="BC64" s="208">
        <f t="shared" si="113"/>
        <v>0.14911662403346515</v>
      </c>
      <c r="BD64" s="56">
        <f t="shared" si="113"/>
        <v>0.23504278299187753</v>
      </c>
      <c r="BE64" s="212">
        <f t="shared" si="116"/>
        <v>1.087092744003118</v>
      </c>
      <c r="BF64" s="32"/>
    </row>
    <row r="65" spans="1:58" ht="18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29">
        <f>'Capex Model Category Index'!B35</f>
        <v>24</v>
      </c>
      <c r="AA65" s="29" t="str">
        <f>'Capex Model Category Index'!C35</f>
        <v>Other Distribution System</v>
      </c>
      <c r="AB65" s="360"/>
      <c r="AC65" s="360"/>
      <c r="AD65" s="207">
        <f>'Capex Category Summary (Vic)'!AD65+'Capex Category Summary (Alb)'!AD65</f>
        <v>0.59267916000000009</v>
      </c>
      <c r="AE65" s="208">
        <f>'Capex Category Summary (Vic)'!AE65+'Capex Category Summary (Alb)'!AE65</f>
        <v>0.36127535999999999</v>
      </c>
      <c r="AF65" s="208">
        <f>'Capex Category Summary (Vic)'!AF65+'Capex Category Summary (Alb)'!AF65</f>
        <v>0.34496495999999999</v>
      </c>
      <c r="AG65" s="208">
        <f>'Capex Category Summary (Vic)'!AG65+'Capex Category Summary (Alb)'!AG65</f>
        <v>0.33884856000000002</v>
      </c>
      <c r="AH65" s="56">
        <f>'Capex Category Summary (Vic)'!AH65+'Capex Category Summary (Alb)'!AH65</f>
        <v>0.33813498000000003</v>
      </c>
      <c r="AI65" s="208">
        <f t="shared" si="114"/>
        <v>1.9759030200000001</v>
      </c>
      <c r="AJ65" s="32"/>
      <c r="AK65" s="29">
        <f t="shared" si="109"/>
        <v>24</v>
      </c>
      <c r="AL65" s="29" t="str">
        <f t="shared" si="110"/>
        <v>Other Distribution System</v>
      </c>
      <c r="AM65" s="360"/>
      <c r="AN65" s="360"/>
      <c r="AO65" s="207">
        <f>AD65*(1+'Real Cost Escalation'!E$18)</f>
        <v>0.59666902913926168</v>
      </c>
      <c r="AP65" s="208">
        <f>AE65*(1+'Real Cost Escalation'!F$18)</f>
        <v>0.36578626546380083</v>
      </c>
      <c r="AQ65" s="208">
        <f>AF65*(1+'Real Cost Escalation'!G$18)</f>
        <v>0.35173905999635063</v>
      </c>
      <c r="AR65" s="208">
        <f>AG65*(1+'Real Cost Escalation'!H$18)</f>
        <v>0.34849877282984448</v>
      </c>
      <c r="AS65" s="56">
        <f>AH65*(1+'Real Cost Escalation'!I$18)</f>
        <v>0.35114262568570381</v>
      </c>
      <c r="AT65" s="207">
        <f t="shared" si="115"/>
        <v>2.0138357531149613</v>
      </c>
      <c r="AU65" s="32"/>
      <c r="AV65" s="29">
        <f t="shared" si="111"/>
        <v>24</v>
      </c>
      <c r="AW65" s="29" t="str">
        <f t="shared" si="112"/>
        <v>Other Distribution System</v>
      </c>
      <c r="AX65" s="32"/>
      <c r="AY65" s="32"/>
      <c r="AZ65" s="207">
        <f t="shared" si="113"/>
        <v>3.9898691392615815E-3</v>
      </c>
      <c r="BA65" s="208">
        <f t="shared" si="113"/>
        <v>4.5109054638008406E-3</v>
      </c>
      <c r="BB65" s="208">
        <f t="shared" si="113"/>
        <v>6.7740999963506465E-3</v>
      </c>
      <c r="BC65" s="208">
        <f t="shared" si="113"/>
        <v>9.6502128298444623E-3</v>
      </c>
      <c r="BD65" s="56">
        <f t="shared" si="113"/>
        <v>1.3007645685703784E-2</v>
      </c>
      <c r="BE65" s="207">
        <f t="shared" si="116"/>
        <v>3.7932733114961315E-2</v>
      </c>
      <c r="BF65" s="32"/>
    </row>
    <row r="66" spans="1:58" ht="18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29">
        <f>'Capex Model Category Index'!B36</f>
        <v>25</v>
      </c>
      <c r="AA66" s="29" t="str">
        <f>'Capex Model Category Index'!C36</f>
        <v>Other Non-Distribution System</v>
      </c>
      <c r="AB66" s="360"/>
      <c r="AC66" s="360"/>
      <c r="AD66" s="207">
        <f>'Capex Category Summary (Vic)'!AD66+'Capex Category Summary (Alb)'!AD66</f>
        <v>1.7023980000000003</v>
      </c>
      <c r="AE66" s="208">
        <f>'Capex Category Summary (Vic)'!AE66+'Capex Category Summary (Alb)'!AE66</f>
        <v>1.6555056000000001</v>
      </c>
      <c r="AF66" s="208">
        <f>'Capex Category Summary (Vic)'!AF66+'Capex Category Summary (Alb)'!AF66</f>
        <v>1.2375516000000002</v>
      </c>
      <c r="AG66" s="208">
        <f>'Capex Category Summary (Vic)'!AG66+'Capex Category Summary (Alb)'!AG66</f>
        <v>2.1774384000000002</v>
      </c>
      <c r="AH66" s="56">
        <f>'Capex Category Summary (Vic)'!AH66+'Capex Category Summary (Alb)'!AH66</f>
        <v>0.96435240000000011</v>
      </c>
      <c r="AI66" s="208">
        <f t="shared" si="114"/>
        <v>7.7372459999999998</v>
      </c>
      <c r="AJ66" s="32"/>
      <c r="AK66" s="29">
        <f t="shared" si="109"/>
        <v>25</v>
      </c>
      <c r="AL66" s="29" t="str">
        <f t="shared" si="110"/>
        <v>Other Non-Distribution System</v>
      </c>
      <c r="AM66" s="360"/>
      <c r="AN66" s="360"/>
      <c r="AO66" s="207">
        <f>AD66*(1+'Real Cost Escalation'!E$18)</f>
        <v>1.7138584084323478</v>
      </c>
      <c r="AP66" s="208">
        <f>AE66*(1+'Real Cost Escalation'!F$18)</f>
        <v>1.6761763406129024</v>
      </c>
      <c r="AQ66" s="208">
        <f>AF66*(1+'Real Cost Escalation'!G$18)</f>
        <v>1.2618534835566482</v>
      </c>
      <c r="AR66" s="208">
        <f>AG66*(1+'Real Cost Escalation'!H$18)</f>
        <v>2.239450597967954</v>
      </c>
      <c r="AS66" s="56">
        <f>AH66*(1+'Real Cost Escalation'!I$18)</f>
        <v>1.0014498760888628</v>
      </c>
      <c r="AT66" s="207">
        <f t="shared" si="115"/>
        <v>7.892788706658715</v>
      </c>
      <c r="AU66" s="32"/>
      <c r="AV66" s="29">
        <f t="shared" si="111"/>
        <v>25</v>
      </c>
      <c r="AW66" s="29" t="str">
        <f t="shared" si="112"/>
        <v>Other Non-Distribution System</v>
      </c>
      <c r="AX66" s="32"/>
      <c r="AY66" s="32"/>
      <c r="AZ66" s="207">
        <f t="shared" si="113"/>
        <v>1.1460408432347524E-2</v>
      </c>
      <c r="BA66" s="208">
        <f t="shared" si="113"/>
        <v>2.0670740612902305E-2</v>
      </c>
      <c r="BB66" s="208">
        <f t="shared" si="113"/>
        <v>2.4301883556647974E-2</v>
      </c>
      <c r="BC66" s="208">
        <f t="shared" si="113"/>
        <v>6.2012197967953764E-2</v>
      </c>
      <c r="BD66" s="56">
        <f t="shared" si="113"/>
        <v>3.7097476088862713E-2</v>
      </c>
      <c r="BE66" s="207">
        <f t="shared" si="116"/>
        <v>0.15554270665871428</v>
      </c>
      <c r="BF66" s="32"/>
    </row>
    <row r="67" spans="1:58" ht="18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29">
        <f>'Capex Model Category Index'!B37</f>
        <v>26</v>
      </c>
      <c r="AA67" s="29" t="str">
        <f>'Capex Model Category Index'!C37</f>
        <v>Large Consumers</v>
      </c>
      <c r="AB67" s="360"/>
      <c r="AC67" s="360"/>
      <c r="AD67" s="207">
        <f>'Capex Category Summary (Vic)'!AD67+'Capex Category Summary (Alb)'!AD67</f>
        <v>0</v>
      </c>
      <c r="AE67" s="208">
        <f>'Capex Category Summary (Vic)'!AE67+'Capex Category Summary (Alb)'!AE67</f>
        <v>0</v>
      </c>
      <c r="AF67" s="208">
        <f>'Capex Category Summary (Vic)'!AF67+'Capex Category Summary (Alb)'!AF67</f>
        <v>0</v>
      </c>
      <c r="AG67" s="208">
        <f>'Capex Category Summary (Vic)'!AG67+'Capex Category Summary (Alb)'!AG67</f>
        <v>0</v>
      </c>
      <c r="AH67" s="56">
        <f>'Capex Category Summary (Vic)'!AH67+'Capex Category Summary (Alb)'!AH67</f>
        <v>0</v>
      </c>
      <c r="AI67" s="208">
        <f t="shared" si="114"/>
        <v>0</v>
      </c>
      <c r="AJ67" s="32"/>
      <c r="AK67" s="29">
        <f t="shared" si="109"/>
        <v>26</v>
      </c>
      <c r="AL67" s="29" t="str">
        <f t="shared" si="110"/>
        <v>Large Consumers</v>
      </c>
      <c r="AM67" s="360"/>
      <c r="AN67" s="360"/>
      <c r="AO67" s="207">
        <f>AD67*(1+'Real Cost Escalation'!E$18)</f>
        <v>0</v>
      </c>
      <c r="AP67" s="208">
        <f>AE67*(1+'Real Cost Escalation'!F$18)</f>
        <v>0</v>
      </c>
      <c r="AQ67" s="208">
        <f>AF67*(1+'Real Cost Escalation'!G$18)</f>
        <v>0</v>
      </c>
      <c r="AR67" s="208">
        <f>AG67*(1+'Real Cost Escalation'!H$18)</f>
        <v>0</v>
      </c>
      <c r="AS67" s="56">
        <f>AH67*(1+'Real Cost Escalation'!I$18)</f>
        <v>0</v>
      </c>
      <c r="AT67" s="207">
        <f t="shared" si="115"/>
        <v>0</v>
      </c>
      <c r="AU67" s="32"/>
      <c r="AV67" s="29">
        <f t="shared" si="111"/>
        <v>26</v>
      </c>
      <c r="AW67" s="29" t="str">
        <f t="shared" si="112"/>
        <v>Large Consumers</v>
      </c>
      <c r="AX67" s="32"/>
      <c r="AY67" s="32"/>
      <c r="AZ67" s="207">
        <f t="shared" si="113"/>
        <v>0</v>
      </c>
      <c r="BA67" s="208">
        <f t="shared" si="113"/>
        <v>0</v>
      </c>
      <c r="BB67" s="208">
        <f t="shared" si="113"/>
        <v>0</v>
      </c>
      <c r="BC67" s="208">
        <f t="shared" si="113"/>
        <v>0</v>
      </c>
      <c r="BD67" s="56">
        <f t="shared" si="113"/>
        <v>0</v>
      </c>
      <c r="BE67" s="207">
        <f t="shared" si="116"/>
        <v>0</v>
      </c>
      <c r="BF67" s="32"/>
    </row>
    <row r="68" spans="1:58" ht="18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29">
        <f>'Capex Model Category Index'!B38</f>
        <v>27</v>
      </c>
      <c r="AA68" s="29" t="str">
        <f>'Capex Model Category Index'!C38</f>
        <v>Mains Augmentation</v>
      </c>
      <c r="AB68" s="360"/>
      <c r="AC68" s="360"/>
      <c r="AD68" s="207">
        <f>'Capex Category Summary (Vic)'!AD68+'Capex Category Summary (Alb)'!AD68</f>
        <v>9.2684663520000008</v>
      </c>
      <c r="AE68" s="208">
        <f>'Capex Category Summary (Vic)'!AE68+'Capex Category Summary (Alb)'!AE68</f>
        <v>11.966736600000003</v>
      </c>
      <c r="AF68" s="208">
        <f>'Capex Category Summary (Vic)'!AF68+'Capex Category Summary (Alb)'!AF68</f>
        <v>7.3804560000000006</v>
      </c>
      <c r="AG68" s="208">
        <f>'Capex Category Summary (Vic)'!AG68+'Capex Category Summary (Alb)'!AG68</f>
        <v>3.4527078000000002</v>
      </c>
      <c r="AH68" s="56">
        <f>'Capex Category Summary (Vic)'!AH68+'Capex Category Summary (Alb)'!AH68</f>
        <v>2.1397206000000004</v>
      </c>
      <c r="AI68" s="208">
        <f t="shared" si="114"/>
        <v>34.208087352000007</v>
      </c>
      <c r="AJ68" s="32"/>
      <c r="AK68" s="29">
        <f t="shared" si="109"/>
        <v>27</v>
      </c>
      <c r="AL68" s="29" t="str">
        <f t="shared" si="110"/>
        <v>Mains Augmentation</v>
      </c>
      <c r="AM68" s="360"/>
      <c r="AN68" s="360"/>
      <c r="AO68" s="207">
        <f>AD68*(1+'Real Cost Escalation'!E$18)</f>
        <v>9.3308609330177124</v>
      </c>
      <c r="AP68" s="208">
        <f>AE68*(1+'Real Cost Escalation'!F$18)</f>
        <v>12.116153979344128</v>
      </c>
      <c r="AQ68" s="208">
        <f>AF68*(1+'Real Cost Escalation'!G$18)</f>
        <v>7.5253865081961555</v>
      </c>
      <c r="AR68" s="208">
        <f>AG68*(1+'Real Cost Escalation'!H$18)</f>
        <v>3.5510389397553648</v>
      </c>
      <c r="AS68" s="56">
        <f>AH68*(1+'Real Cost Escalation'!I$18)</f>
        <v>2.2220330760153524</v>
      </c>
      <c r="AT68" s="207">
        <f t="shared" si="115"/>
        <v>34.745473436328709</v>
      </c>
      <c r="AU68" s="32"/>
      <c r="AV68" s="29">
        <f t="shared" si="111"/>
        <v>27</v>
      </c>
      <c r="AW68" s="29" t="str">
        <f t="shared" si="112"/>
        <v>Mains Augmentation</v>
      </c>
      <c r="AX68" s="32"/>
      <c r="AY68" s="32"/>
      <c r="AZ68" s="207">
        <f t="shared" si="113"/>
        <v>6.2394581017711559E-2</v>
      </c>
      <c r="BA68" s="208">
        <f t="shared" si="113"/>
        <v>0.14941737934412558</v>
      </c>
      <c r="BB68" s="208">
        <f t="shared" si="113"/>
        <v>0.14493050819615494</v>
      </c>
      <c r="BC68" s="208">
        <f t="shared" si="113"/>
        <v>9.8331139755364561E-2</v>
      </c>
      <c r="BD68" s="56">
        <f t="shared" si="113"/>
        <v>8.2312476015351965E-2</v>
      </c>
      <c r="BE68" s="207">
        <f t="shared" si="116"/>
        <v>0.5373860843287086</v>
      </c>
      <c r="BF68" s="32"/>
    </row>
    <row r="69" spans="1:58" ht="18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29">
        <f>'Capex Model Category Index'!B39</f>
        <v>28</v>
      </c>
      <c r="AA69" s="29" t="str">
        <f>'Capex Model Category Index'!C39</f>
        <v>Growth New Areas</v>
      </c>
      <c r="AB69" s="360"/>
      <c r="AC69" s="360"/>
      <c r="AD69" s="207">
        <f>'Capex Category Summary (Vic)'!AD69+'Capex Category Summary (Alb)'!AD69</f>
        <v>0</v>
      </c>
      <c r="AE69" s="208">
        <f>'Capex Category Summary (Vic)'!AE69+'Capex Category Summary (Alb)'!AE69</f>
        <v>0</v>
      </c>
      <c r="AF69" s="208">
        <f>'Capex Category Summary (Vic)'!AF69+'Capex Category Summary (Alb)'!AF69</f>
        <v>0</v>
      </c>
      <c r="AG69" s="208">
        <f>'Capex Category Summary (Vic)'!AG69+'Capex Category Summary (Alb)'!AG69</f>
        <v>0</v>
      </c>
      <c r="AH69" s="56">
        <f>'Capex Category Summary (Vic)'!AH69+'Capex Category Summary (Alb)'!AH69</f>
        <v>0</v>
      </c>
      <c r="AI69" s="216">
        <f t="shared" si="114"/>
        <v>0</v>
      </c>
      <c r="AJ69" s="32"/>
      <c r="AK69" s="29">
        <f t="shared" si="109"/>
        <v>28</v>
      </c>
      <c r="AL69" s="29" t="str">
        <f t="shared" si="110"/>
        <v>Growth New Areas</v>
      </c>
      <c r="AM69" s="360"/>
      <c r="AN69" s="360"/>
      <c r="AO69" s="207">
        <f>AD69*(1+'Real Cost Escalation'!E$18)</f>
        <v>0</v>
      </c>
      <c r="AP69" s="208">
        <f>AE69*(1+'Real Cost Escalation'!F$18)</f>
        <v>0</v>
      </c>
      <c r="AQ69" s="208">
        <f>AF69*(1+'Real Cost Escalation'!G$18)</f>
        <v>0</v>
      </c>
      <c r="AR69" s="208">
        <f>AG69*(1+'Real Cost Escalation'!H$18)</f>
        <v>0</v>
      </c>
      <c r="AS69" s="56">
        <f>AH69*(1+'Real Cost Escalation'!I$18)</f>
        <v>0</v>
      </c>
      <c r="AT69" s="215">
        <f t="shared" si="115"/>
        <v>0</v>
      </c>
      <c r="AU69" s="32"/>
      <c r="AV69" s="29">
        <f t="shared" si="111"/>
        <v>28</v>
      </c>
      <c r="AW69" s="29" t="str">
        <f t="shared" si="112"/>
        <v>Growth New Areas</v>
      </c>
      <c r="AX69" s="32"/>
      <c r="AY69" s="32"/>
      <c r="AZ69" s="207">
        <f t="shared" si="113"/>
        <v>0</v>
      </c>
      <c r="BA69" s="208">
        <f t="shared" si="113"/>
        <v>0</v>
      </c>
      <c r="BB69" s="208">
        <f t="shared" si="113"/>
        <v>0</v>
      </c>
      <c r="BC69" s="208">
        <f t="shared" si="113"/>
        <v>0</v>
      </c>
      <c r="BD69" s="56">
        <f t="shared" si="113"/>
        <v>0</v>
      </c>
      <c r="BE69" s="215">
        <f t="shared" si="116"/>
        <v>0</v>
      </c>
      <c r="BF69" s="32"/>
    </row>
    <row r="70" spans="1:58" ht="18" customHeight="1" thickBo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24"/>
      <c r="AA70" s="24" t="s">
        <v>92</v>
      </c>
      <c r="AB70" s="266"/>
      <c r="AC70" s="266"/>
      <c r="AD70" s="209">
        <f>SUM(AD62:AD69)</f>
        <v>25.787443891816267</v>
      </c>
      <c r="AE70" s="210">
        <f t="shared" ref="AE70:AH70" si="117">SUM(AE62:AE69)</f>
        <v>42.88463733567459</v>
      </c>
      <c r="AF70" s="210">
        <f t="shared" si="117"/>
        <v>35.573070767743658</v>
      </c>
      <c r="AG70" s="210">
        <f t="shared" si="117"/>
        <v>17.067424469254817</v>
      </c>
      <c r="AH70" s="211">
        <f t="shared" si="117"/>
        <v>12.394868235495846</v>
      </c>
      <c r="AI70" s="210">
        <f>SUM(AI62:AI69)</f>
        <v>133.70744469998519</v>
      </c>
      <c r="AJ70" s="32"/>
      <c r="AK70" s="24"/>
      <c r="AL70" s="24" t="str">
        <f>AA70</f>
        <v>Total</v>
      </c>
      <c r="AM70" s="266"/>
      <c r="AN70" s="266"/>
      <c r="AO70" s="209">
        <f>SUM(AO62:AO69)</f>
        <v>25.961042920613565</v>
      </c>
      <c r="AP70" s="210">
        <f t="shared" ref="AP70:AT70" si="118">SUM(AP62:AP69)</f>
        <v>43.420097448068113</v>
      </c>
      <c r="AQ70" s="210">
        <f t="shared" si="118"/>
        <v>36.271621538111624</v>
      </c>
      <c r="AR70" s="210">
        <f t="shared" si="118"/>
        <v>17.55349493856891</v>
      </c>
      <c r="AS70" s="211">
        <f t="shared" si="118"/>
        <v>12.871683897478862</v>
      </c>
      <c r="AT70" s="325">
        <f t="shared" si="118"/>
        <v>136.07794074284107</v>
      </c>
      <c r="AU70" s="32"/>
      <c r="AV70" s="24"/>
      <c r="AW70" s="24" t="str">
        <f>AL70</f>
        <v>Total</v>
      </c>
      <c r="AX70" s="22"/>
      <c r="AY70" s="22"/>
      <c r="AZ70" s="209">
        <f>SUM(AZ62:AZ69)</f>
        <v>0.17359902879729722</v>
      </c>
      <c r="BA70" s="210">
        <f t="shared" ref="BA70:BD70" si="119">SUM(BA62:BA69)</f>
        <v>0.53546011239352975</v>
      </c>
      <c r="BB70" s="210">
        <f t="shared" si="119"/>
        <v>0.69855077036796431</v>
      </c>
      <c r="BC70" s="210">
        <f t="shared" si="119"/>
        <v>0.48607046931409242</v>
      </c>
      <c r="BD70" s="211">
        <f t="shared" si="119"/>
        <v>0.47681566198301673</v>
      </c>
      <c r="BE70" s="325">
        <f>SUM(BE62:BE69)</f>
        <v>2.3704960428559003</v>
      </c>
      <c r="BF70" s="32"/>
    </row>
    <row r="71" spans="1:58" ht="18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530"/>
      <c r="AA71" s="530"/>
      <c r="AB71" s="528"/>
      <c r="AC71" s="528"/>
      <c r="AD71" s="529"/>
      <c r="AE71" s="529"/>
      <c r="AF71" s="529"/>
      <c r="AG71" s="529"/>
      <c r="AH71" s="529"/>
      <c r="AI71" s="529"/>
      <c r="AJ71" s="32"/>
      <c r="AK71" s="525"/>
      <c r="AL71" s="525"/>
      <c r="AM71" s="526"/>
      <c r="AN71" s="526"/>
      <c r="AO71" s="527"/>
      <c r="AP71" s="527"/>
      <c r="AQ71" s="527"/>
      <c r="AR71" s="527"/>
      <c r="AS71" s="527"/>
      <c r="AT71" s="527"/>
      <c r="AU71" s="32"/>
      <c r="AV71" s="525"/>
      <c r="AW71" s="525"/>
      <c r="AX71" s="526"/>
      <c r="AY71" s="526"/>
      <c r="AZ71" s="527"/>
      <c r="BA71" s="527"/>
      <c r="BB71" s="527"/>
      <c r="BC71" s="527"/>
      <c r="BD71" s="527"/>
      <c r="BE71" s="527"/>
      <c r="BF71" s="32"/>
    </row>
    <row r="72" spans="1:58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52"/>
      <c r="AE72" s="52"/>
      <c r="AF72" s="52"/>
      <c r="AG72" s="52"/>
      <c r="AH72" s="5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pans="1:58" ht="24" customHeight="1" x14ac:dyDescent="0.2">
      <c r="A73" s="66"/>
      <c r="B73" s="315" t="s">
        <v>258</v>
      </c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5"/>
      <c r="BE73" s="315"/>
      <c r="BF73" s="32"/>
    </row>
    <row r="74" spans="1:58" x14ac:dyDescent="0.2">
      <c r="A74" s="6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</row>
    <row r="75" spans="1:58" ht="22.5" x14ac:dyDescent="0.2">
      <c r="A75" s="66"/>
      <c r="B75" s="66" t="s">
        <v>257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66" t="s">
        <v>257</v>
      </c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32"/>
      <c r="Z75" s="10" t="s">
        <v>259</v>
      </c>
      <c r="AA75" s="11"/>
      <c r="AB75" s="3"/>
      <c r="AC75" s="4"/>
      <c r="AD75" s="5">
        <v>2018</v>
      </c>
      <c r="AE75" s="4">
        <v>2019</v>
      </c>
      <c r="AF75" s="4">
        <v>2020</v>
      </c>
      <c r="AG75" s="4">
        <v>2021</v>
      </c>
      <c r="AH75" s="6">
        <v>2022</v>
      </c>
      <c r="AI75" s="301" t="s">
        <v>73</v>
      </c>
      <c r="AJ75" s="32"/>
      <c r="AK75" s="10" t="s">
        <v>244</v>
      </c>
      <c r="AL75" s="11"/>
      <c r="AM75" s="3"/>
      <c r="AN75" s="4"/>
      <c r="AO75" s="5">
        <v>2018</v>
      </c>
      <c r="AP75" s="4">
        <v>2019</v>
      </c>
      <c r="AQ75" s="4">
        <v>2020</v>
      </c>
      <c r="AR75" s="4">
        <v>2021</v>
      </c>
      <c r="AS75" s="6">
        <v>2022</v>
      </c>
      <c r="AT75" s="301" t="s">
        <v>73</v>
      </c>
      <c r="AU75" s="32"/>
      <c r="AV75" s="10" t="s">
        <v>64</v>
      </c>
      <c r="AW75" s="11"/>
      <c r="AX75" s="3"/>
      <c r="AY75" s="4"/>
      <c r="AZ75" s="5">
        <v>2018</v>
      </c>
      <c r="BA75" s="4">
        <v>2019</v>
      </c>
      <c r="BB75" s="4">
        <v>2020</v>
      </c>
      <c r="BC75" s="4">
        <v>2021</v>
      </c>
      <c r="BD75" s="6">
        <v>2022</v>
      </c>
      <c r="BE75" s="301" t="s">
        <v>73</v>
      </c>
      <c r="BF75" s="32"/>
    </row>
    <row r="76" spans="1:58" ht="18" customHeight="1" thickBot="1" x14ac:dyDescent="0.25">
      <c r="A76" s="6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4"/>
      <c r="AA76" s="324"/>
      <c r="AB76" s="324"/>
      <c r="AC76" s="324"/>
      <c r="AD76" s="209">
        <f>AD12+AD25+AD31+AD39+AD46+AD55+AD70</f>
        <v>103.2749274398863</v>
      </c>
      <c r="AE76" s="210">
        <f>AE12+AE25+AE31+AE39+AE46+AE55+AE70</f>
        <v>120.7623791718207</v>
      </c>
      <c r="AF76" s="210">
        <f>AF12+AF25+AF31+AF39+AF46+AF55+AF70</f>
        <v>113.45238740569286</v>
      </c>
      <c r="AG76" s="210">
        <f>AG12+AG25+AG31+AG39+AG46+AG55+AG70</f>
        <v>90.812295666812545</v>
      </c>
      <c r="AH76" s="210">
        <f>AH12+AH25+AH31+AH39+AH46+AH55+AH70</f>
        <v>61.810029180365206</v>
      </c>
      <c r="AI76" s="209">
        <f>SUM(AD76:AH76)</f>
        <v>490.11201886457764</v>
      </c>
      <c r="AJ76" s="32"/>
      <c r="AK76" s="324"/>
      <c r="AL76" s="324"/>
      <c r="AM76" s="324"/>
      <c r="AN76" s="324"/>
      <c r="AO76" s="209">
        <f>AO12+AO25+AO31+AO39+AO46+AO55+AO70</f>
        <v>103.91017994673759</v>
      </c>
      <c r="AP76" s="210">
        <f>AP12+AP25+AP31+AP39+AP46+AP55+AP70</f>
        <v>122.13045056198646</v>
      </c>
      <c r="AQ76" s="210">
        <f>AQ12+AQ25+AQ31+AQ39+AQ46+AQ55+AQ70</f>
        <v>115.47829925699119</v>
      </c>
      <c r="AR76" s="210">
        <f>AR12+AR25+AR31+AR39+AR46+AR55+AR70</f>
        <v>93.398577812298129</v>
      </c>
      <c r="AS76" s="211">
        <f>AS12+AS25+AS31+AS39+AS46+AS55+AS70</f>
        <v>64.187786605524835</v>
      </c>
      <c r="AT76" s="209">
        <f>SUM(AO76:AS76)</f>
        <v>499.10529418353821</v>
      </c>
      <c r="AU76" s="32"/>
      <c r="AV76" s="324"/>
      <c r="AW76" s="324"/>
      <c r="AX76" s="324"/>
      <c r="AY76" s="324"/>
      <c r="AZ76" s="209">
        <f>AO76-AD76</f>
        <v>0.63525250685128754</v>
      </c>
      <c r="BA76" s="210">
        <f>AP76-AE76</f>
        <v>1.3680713901657668</v>
      </c>
      <c r="BB76" s="210">
        <f>AQ76-AF76</f>
        <v>2.0259118512983321</v>
      </c>
      <c r="BC76" s="210">
        <f>AR76-AG76</f>
        <v>2.5862821454855833</v>
      </c>
      <c r="BD76" s="211">
        <f>AS76-AH76</f>
        <v>2.3777574251596292</v>
      </c>
      <c r="BE76" s="209">
        <f>SUM(AZ76:BD76)</f>
        <v>8.993275318960599</v>
      </c>
      <c r="BF76" s="32"/>
    </row>
    <row r="77" spans="1:58" x14ac:dyDescent="0.2">
      <c r="A77" s="6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pans="1:58" x14ac:dyDescent="0.2">
      <c r="A78" s="66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</row>
    <row r="79" spans="1:58" x14ac:dyDescent="0.2">
      <c r="A79" s="66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B79" s="32"/>
      <c r="AC79" s="10" t="s">
        <v>409</v>
      </c>
      <c r="AD79" s="5">
        <v>2018</v>
      </c>
      <c r="AE79" s="4">
        <v>2019</v>
      </c>
      <c r="AF79" s="4">
        <v>2020</v>
      </c>
      <c r="AG79" s="4">
        <v>2021</v>
      </c>
      <c r="AH79" s="6">
        <v>2022</v>
      </c>
      <c r="AI79" s="301" t="s">
        <v>92</v>
      </c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58" x14ac:dyDescent="0.2">
      <c r="A80" s="6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B80" s="32"/>
      <c r="AC80" s="29" t="s">
        <v>383</v>
      </c>
      <c r="AD80" s="589">
        <f>AD36+AD37+AD44+AD51+AD52+AD53</f>
        <v>29.490880431880882</v>
      </c>
      <c r="AE80" s="589">
        <f t="shared" ref="AE80:AH80" si="120">AE36+AE37+AE44+AE51+AE52+AE53</f>
        <v>27.875079416334831</v>
      </c>
      <c r="AF80" s="589">
        <f t="shared" si="120"/>
        <v>27.836787060757363</v>
      </c>
      <c r="AG80" s="589">
        <f t="shared" si="120"/>
        <v>28.447383121990846</v>
      </c>
      <c r="AH80" s="589">
        <f t="shared" si="120"/>
        <v>28.930503246452925</v>
      </c>
      <c r="AI80" s="590">
        <f>SUM(AD80:AH80)</f>
        <v>142.58063327741684</v>
      </c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  <row r="81" spans="11:35" x14ac:dyDescent="0.2">
      <c r="AC81" s="29" t="s">
        <v>410</v>
      </c>
      <c r="AD81" s="589">
        <f>AD38+AD45+AD54</f>
        <v>6.7079851253379443</v>
      </c>
      <c r="AE81" s="589">
        <f t="shared" ref="AE81:AH81" si="121">AE38+AE45+AE54</f>
        <v>6.7475829286560716</v>
      </c>
      <c r="AF81" s="589">
        <f t="shared" si="121"/>
        <v>6.7874500860366274</v>
      </c>
      <c r="AG81" s="589">
        <f t="shared" si="121"/>
        <v>6.827589238715678</v>
      </c>
      <c r="AH81" s="589">
        <f t="shared" si="121"/>
        <v>6.8680030652810355</v>
      </c>
      <c r="AI81" s="590">
        <f>SUM(AD81:AH81)</f>
        <v>33.938610444027354</v>
      </c>
    </row>
    <row r="82" spans="11:35" ht="15" thickBot="1" x14ac:dyDescent="0.25">
      <c r="AC82" s="32"/>
      <c r="AD82" s="591">
        <f>SUM(AD80:AD81)</f>
        <v>36.198865557218824</v>
      </c>
      <c r="AE82" s="592">
        <f t="shared" ref="AE82:AH82" si="122">SUM(AE80:AE81)</f>
        <v>34.6226623449909</v>
      </c>
      <c r="AF82" s="592">
        <f t="shared" si="122"/>
        <v>34.624237146793988</v>
      </c>
      <c r="AG82" s="592">
        <f t="shared" si="122"/>
        <v>35.274972360706528</v>
      </c>
      <c r="AH82" s="593">
        <f t="shared" si="122"/>
        <v>35.798506311733959</v>
      </c>
      <c r="AI82" s="592">
        <f>SUM(AD82:AH82)</f>
        <v>176.51924372144418</v>
      </c>
    </row>
    <row r="89" spans="11:35" x14ac:dyDescent="0.2">
      <c r="K89" s="338"/>
    </row>
  </sheetData>
  <hyperlinks>
    <hyperlink ref="B3" location="Contents!A1" display="Contents!A1"/>
  </hyperlinks>
  <pageMargins left="0.7" right="0.7" top="0.75" bottom="0.75" header="0.3" footer="0.3"/>
  <pageSetup paperSize="8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zoomScale="80" zoomScaleNormal="80" workbookViewId="0">
      <selection activeCell="F13" sqref="F13"/>
    </sheetView>
  </sheetViews>
  <sheetFormatPr defaultRowHeight="14.25" x14ac:dyDescent="0.2"/>
  <cols>
    <col min="1" max="1" width="3.85546875" style="44" customWidth="1"/>
    <col min="2" max="2" width="6.85546875" style="44" customWidth="1"/>
    <col min="3" max="3" width="46.7109375" style="44" bestFit="1" customWidth="1"/>
    <col min="4" max="4" width="5.5703125" style="44" bestFit="1" customWidth="1"/>
    <col min="5" max="5" width="5.85546875" style="44" bestFit="1" customWidth="1"/>
    <col min="6" max="9" width="9.5703125" style="44" bestFit="1" customWidth="1"/>
    <col min="10" max="10" width="8.5703125" style="44" bestFit="1" customWidth="1"/>
    <col min="11" max="11" width="12.28515625" style="44" customWidth="1"/>
    <col min="12" max="12" width="3.85546875" style="44" customWidth="1"/>
    <col min="13" max="13" width="4.7109375" style="44" customWidth="1"/>
    <col min="14" max="14" width="46.7109375" style="44" bestFit="1" customWidth="1"/>
    <col min="15" max="16" width="9.28515625" style="44" bestFit="1" customWidth="1"/>
    <col min="17" max="17" width="10.5703125" style="44" bestFit="1" customWidth="1"/>
    <col min="18" max="19" width="9.85546875" style="44" bestFit="1" customWidth="1"/>
    <col min="20" max="21" width="9.28515625" style="44" bestFit="1" customWidth="1"/>
    <col min="22" max="22" width="13.85546875" style="44" customWidth="1"/>
    <col min="23" max="23" width="4" style="44" customWidth="1"/>
    <col min="24" max="24" width="4.140625" style="44" customWidth="1"/>
    <col min="25" max="25" width="46.7109375" style="44" bestFit="1" customWidth="1"/>
    <col min="26" max="26" width="5.5703125" style="44" bestFit="1" customWidth="1"/>
    <col min="27" max="27" width="5.85546875" style="44" bestFit="1" customWidth="1"/>
    <col min="28" max="32" width="9.140625" style="44"/>
    <col min="33" max="33" width="11.28515625" style="44" customWidth="1"/>
    <col min="34" max="34" width="5.28515625" style="44" customWidth="1"/>
    <col min="35" max="35" width="4.42578125" style="44" customWidth="1"/>
    <col min="36" max="36" width="32" style="44" bestFit="1" customWidth="1"/>
    <col min="37" max="16384" width="9.140625" style="44"/>
  </cols>
  <sheetData>
    <row r="1" spans="1:34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24" customHeight="1" x14ac:dyDescent="0.25">
      <c r="A2" s="63"/>
      <c r="B2" s="64" t="s">
        <v>423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65"/>
      <c r="Q2" s="65"/>
      <c r="R2" s="65"/>
      <c r="S2" s="65"/>
      <c r="T2" s="65"/>
      <c r="U2" s="65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2"/>
    </row>
    <row r="3" spans="1:34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4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24" customHeight="1" x14ac:dyDescent="0.2">
      <c r="A5" s="32"/>
      <c r="B5" s="354" t="s">
        <v>230</v>
      </c>
      <c r="C5" s="354"/>
      <c r="D5" s="354"/>
      <c r="E5" s="354"/>
      <c r="F5" s="354"/>
      <c r="G5" s="354"/>
      <c r="H5" s="354"/>
      <c r="I5" s="354"/>
      <c r="J5" s="354"/>
      <c r="K5" s="354"/>
      <c r="L5" s="32"/>
      <c r="M5" s="354" t="s">
        <v>226</v>
      </c>
      <c r="N5" s="354"/>
      <c r="O5" s="354"/>
      <c r="P5" s="354"/>
      <c r="Q5" s="354"/>
      <c r="R5" s="354"/>
      <c r="S5" s="354"/>
      <c r="T5" s="354"/>
      <c r="U5" s="354"/>
      <c r="V5" s="354"/>
      <c r="W5" s="32"/>
      <c r="X5" s="354" t="s">
        <v>229</v>
      </c>
      <c r="Y5" s="354"/>
      <c r="Z5" s="354"/>
      <c r="AA5" s="354"/>
      <c r="AB5" s="354"/>
      <c r="AC5" s="354"/>
      <c r="AD5" s="354"/>
      <c r="AE5" s="354"/>
      <c r="AF5" s="354"/>
      <c r="AG5" s="354"/>
      <c r="AH5" s="32"/>
    </row>
    <row r="6" spans="1:34" ht="16.5" customHeight="1" x14ac:dyDescent="0.2">
      <c r="A6" s="322"/>
      <c r="B6" s="32"/>
      <c r="C6" s="32"/>
      <c r="D6" s="32"/>
      <c r="E6" s="32"/>
      <c r="F6" s="32"/>
      <c r="G6" s="32"/>
      <c r="H6" s="32"/>
      <c r="I6" s="32"/>
      <c r="J6" s="32"/>
      <c r="K6" s="32"/>
      <c r="L6" s="32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2.5" x14ac:dyDescent="0.2">
      <c r="A7" s="32"/>
      <c r="B7" s="299"/>
      <c r="C7" s="298"/>
      <c r="D7" s="3"/>
      <c r="E7" s="4"/>
      <c r="F7" s="5">
        <v>2018</v>
      </c>
      <c r="G7" s="4">
        <v>2019</v>
      </c>
      <c r="H7" s="4">
        <v>2020</v>
      </c>
      <c r="I7" s="4">
        <v>2021</v>
      </c>
      <c r="J7" s="6">
        <v>2022</v>
      </c>
      <c r="K7" s="3" t="s">
        <v>73</v>
      </c>
      <c r="L7" s="32"/>
      <c r="M7" s="299"/>
      <c r="N7" s="298"/>
      <c r="O7" s="3"/>
      <c r="P7" s="4"/>
      <c r="Q7" s="5">
        <v>2018</v>
      </c>
      <c r="R7" s="4">
        <v>2019</v>
      </c>
      <c r="S7" s="4">
        <v>2020</v>
      </c>
      <c r="T7" s="4">
        <v>2021</v>
      </c>
      <c r="U7" s="6">
        <v>2022</v>
      </c>
      <c r="V7" s="3" t="s">
        <v>73</v>
      </c>
      <c r="W7" s="45"/>
      <c r="X7" s="36"/>
      <c r="Y7" s="81"/>
      <c r="Z7" s="301"/>
      <c r="AA7" s="8"/>
      <c r="AB7" s="7">
        <v>2018</v>
      </c>
      <c r="AC7" s="8">
        <v>2019</v>
      </c>
      <c r="AD7" s="8">
        <v>2020</v>
      </c>
      <c r="AE7" s="8">
        <v>2021</v>
      </c>
      <c r="AF7" s="9">
        <v>2022</v>
      </c>
      <c r="AG7" s="301" t="s">
        <v>73</v>
      </c>
      <c r="AH7" s="32"/>
    </row>
    <row r="8" spans="1:34" x14ac:dyDescent="0.2">
      <c r="A8" s="32"/>
      <c r="B8" s="36"/>
      <c r="C8" s="81"/>
      <c r="D8" s="301"/>
      <c r="E8" s="8"/>
      <c r="F8" s="8"/>
      <c r="G8" s="8"/>
      <c r="H8" s="8"/>
      <c r="I8" s="8"/>
      <c r="J8" s="8"/>
      <c r="K8" s="301"/>
      <c r="L8" s="32"/>
      <c r="M8" s="36"/>
      <c r="N8" s="81"/>
      <c r="O8" s="301"/>
      <c r="P8" s="8"/>
      <c r="Q8" s="8"/>
      <c r="R8" s="8"/>
      <c r="S8" s="8"/>
      <c r="T8" s="8"/>
      <c r="U8" s="8"/>
      <c r="V8" s="301"/>
      <c r="W8" s="45"/>
      <c r="X8" s="38"/>
      <c r="Y8" s="182"/>
      <c r="Z8" s="303"/>
      <c r="AA8" s="304"/>
      <c r="AB8" s="304"/>
      <c r="AC8" s="304"/>
      <c r="AD8" s="304"/>
      <c r="AE8" s="304"/>
      <c r="AF8" s="304"/>
      <c r="AG8" s="303"/>
      <c r="AH8" s="32"/>
    </row>
    <row r="9" spans="1:34" ht="18" customHeight="1" x14ac:dyDescent="0.2">
      <c r="A9" s="32"/>
      <c r="B9" s="302" t="s">
        <v>43</v>
      </c>
      <c r="C9" s="81"/>
      <c r="D9" s="54"/>
      <c r="E9" s="54"/>
      <c r="F9" s="54"/>
      <c r="G9" s="54"/>
      <c r="H9" s="54"/>
      <c r="I9" s="54"/>
      <c r="J9" s="54"/>
      <c r="K9" s="54"/>
      <c r="L9" s="32"/>
      <c r="M9" s="302" t="s">
        <v>43</v>
      </c>
      <c r="N9" s="81"/>
      <c r="O9" s="54"/>
      <c r="P9" s="54"/>
      <c r="Q9" s="54"/>
      <c r="R9" s="54"/>
      <c r="S9" s="54"/>
      <c r="T9" s="54"/>
      <c r="U9" s="54"/>
      <c r="V9" s="54"/>
      <c r="W9" s="45"/>
      <c r="X9" s="302" t="s">
        <v>43</v>
      </c>
      <c r="Y9" s="81"/>
      <c r="Z9" s="54"/>
      <c r="AA9" s="54"/>
      <c r="AB9" s="54"/>
      <c r="AC9" s="54"/>
      <c r="AD9" s="54"/>
      <c r="AE9" s="54"/>
      <c r="AF9" s="54"/>
      <c r="AG9" s="54"/>
      <c r="AH9" s="32"/>
    </row>
    <row r="10" spans="1:34" ht="18" customHeight="1" x14ac:dyDescent="0.2">
      <c r="A10" s="32"/>
      <c r="B10" s="198" t="str">
        <f>'Capex Model Category Index'!B8</f>
        <v>01</v>
      </c>
      <c r="C10" s="198" t="str">
        <f>'Capex Model Category Index'!C8</f>
        <v>Meter Replacement - Meters &lt; 25m3</v>
      </c>
      <c r="D10" s="96"/>
      <c r="E10" s="52"/>
      <c r="F10" s="55">
        <f t="shared" ref="F10:J29" si="0">Q10+AB10</f>
        <v>5.3098492611831656</v>
      </c>
      <c r="G10" s="54">
        <f t="shared" si="0"/>
        <v>5.2256375107007837</v>
      </c>
      <c r="H10" s="54">
        <f t="shared" si="0"/>
        <v>5.2468216752149495</v>
      </c>
      <c r="I10" s="54">
        <f t="shared" si="0"/>
        <v>2.8230603867810169</v>
      </c>
      <c r="J10" s="95">
        <f t="shared" si="0"/>
        <v>2.9726673384279532</v>
      </c>
      <c r="K10" s="52">
        <f>SUM(F10:J10)</f>
        <v>21.578036172307868</v>
      </c>
      <c r="L10" s="32"/>
      <c r="M10" s="198" t="str">
        <f>B10</f>
        <v>01</v>
      </c>
      <c r="N10" s="198" t="str">
        <f>C10</f>
        <v>Meter Replacement - Meters &lt; 25m3</v>
      </c>
      <c r="O10" s="96"/>
      <c r="P10" s="52"/>
      <c r="Q10" s="55">
        <f>'Capex Category Summary (Vic)'!AO10</f>
        <v>4.7735679255232775</v>
      </c>
      <c r="R10" s="54">
        <f>'Capex Category Summary (Vic)'!AP10</f>
        <v>4.7564546845102766</v>
      </c>
      <c r="S10" s="54">
        <f>'Capex Category Summary (Vic)'!AQ10</f>
        <v>4.7563933335412454</v>
      </c>
      <c r="T10" s="54">
        <f>'Capex Category Summary (Vic)'!AR10</f>
        <v>2.5141977978185879</v>
      </c>
      <c r="U10" s="95">
        <f>'Capex Category Summary (Vic)'!AS10</f>
        <v>2.5386175866466223</v>
      </c>
      <c r="V10" s="52">
        <f>SUM(Q10:U10)</f>
        <v>19.339231328040011</v>
      </c>
      <c r="W10" s="45"/>
      <c r="X10" s="198" t="str">
        <f>M10</f>
        <v>01</v>
      </c>
      <c r="Y10" s="198" t="str">
        <f>N10</f>
        <v>Meter Replacement - Meters &lt; 25m3</v>
      </c>
      <c r="Z10" s="96"/>
      <c r="AA10" s="52"/>
      <c r="AB10" s="55">
        <f t="shared" ref="AB10:AB29" si="1">(Q10/Q$43)*Q$45</f>
        <v>0.53628133565988778</v>
      </c>
      <c r="AC10" s="54">
        <f t="shared" ref="AC10:AC29" si="2">(R10/R$43)*R$45</f>
        <v>0.46918282619050689</v>
      </c>
      <c r="AD10" s="54">
        <f t="shared" ref="AD10:AD29" si="3">(S10/S$43)*S$45</f>
        <v>0.49042834167370369</v>
      </c>
      <c r="AE10" s="54">
        <f t="shared" ref="AE10:AE29" si="4">(T10/T$43)*T$45</f>
        <v>0.30886258896242919</v>
      </c>
      <c r="AF10" s="95">
        <f t="shared" ref="AF10:AF29" si="5">(U10/U$43)*U$45</f>
        <v>0.43404975178133104</v>
      </c>
      <c r="AG10" s="52">
        <f>SUM(AB10:AF10)</f>
        <v>2.2388048442678588</v>
      </c>
      <c r="AH10" s="32"/>
    </row>
    <row r="11" spans="1:34" ht="18" customHeight="1" x14ac:dyDescent="0.2">
      <c r="A11" s="32"/>
      <c r="B11" s="198" t="str">
        <f>'Capex Model Category Index'!B9</f>
        <v>02</v>
      </c>
      <c r="C11" s="198" t="str">
        <f>'Capex Model Category Index'!C9</f>
        <v>Meter Replacement - Meters &gt; 25m3</v>
      </c>
      <c r="D11" s="52"/>
      <c r="E11" s="52"/>
      <c r="F11" s="55">
        <f t="shared" si="0"/>
        <v>2.6672877626792966</v>
      </c>
      <c r="G11" s="54">
        <f t="shared" si="0"/>
        <v>2.6494877562136887</v>
      </c>
      <c r="H11" s="54">
        <f t="shared" si="0"/>
        <v>2.6790517641342104</v>
      </c>
      <c r="I11" s="54">
        <f t="shared" si="0"/>
        <v>2.7506370151030954</v>
      </c>
      <c r="J11" s="95">
        <f t="shared" si="0"/>
        <v>2.8964059192482989</v>
      </c>
      <c r="K11" s="52">
        <f t="shared" ref="K11:K18" si="6">SUM(F11:J11)</f>
        <v>13.64287021737859</v>
      </c>
      <c r="L11" s="32"/>
      <c r="M11" s="198" t="str">
        <f t="shared" ref="M11:N29" si="7">B11</f>
        <v>02</v>
      </c>
      <c r="N11" s="198" t="str">
        <f t="shared" si="7"/>
        <v>Meter Replacement - Meters &gt; 25m3</v>
      </c>
      <c r="O11" s="52"/>
      <c r="P11" s="52"/>
      <c r="Q11" s="55">
        <f>'Capex Category Summary (Vic)'!AO11</f>
        <v>2.3978984498007243</v>
      </c>
      <c r="R11" s="54">
        <f>'Capex Category Summary (Vic)'!AP11</f>
        <v>2.4116040241576591</v>
      </c>
      <c r="S11" s="54">
        <f>'Capex Category Summary (Vic)'!AQ11</f>
        <v>2.4286367519090191</v>
      </c>
      <c r="T11" s="54">
        <f>'Capex Category Summary (Vic)'!AR11</f>
        <v>2.4496980505103658</v>
      </c>
      <c r="U11" s="95">
        <f>'Capex Category Summary (Vic)'!AS11</f>
        <v>2.4734913690542824</v>
      </c>
      <c r="V11" s="52">
        <f t="shared" ref="V11:V29" si="8">SUM(Q11:U11)</f>
        <v>12.16132864543205</v>
      </c>
      <c r="W11" s="45"/>
      <c r="X11" s="198" t="str">
        <f t="shared" ref="X11:Y29" si="9">M11</f>
        <v>02</v>
      </c>
      <c r="Y11" s="198" t="str">
        <f t="shared" si="9"/>
        <v>Meter Replacement - Meters &gt; 25m3</v>
      </c>
      <c r="Z11" s="52"/>
      <c r="AA11" s="52"/>
      <c r="AB11" s="55">
        <f t="shared" si="1"/>
        <v>0.26938931287857215</v>
      </c>
      <c r="AC11" s="54">
        <f t="shared" si="2"/>
        <v>0.2378837320560297</v>
      </c>
      <c r="AD11" s="54">
        <f t="shared" si="3"/>
        <v>0.25041501222519152</v>
      </c>
      <c r="AE11" s="54">
        <f t="shared" si="4"/>
        <v>0.30093896459272979</v>
      </c>
      <c r="AF11" s="95">
        <f t="shared" si="5"/>
        <v>0.42291455019401658</v>
      </c>
      <c r="AG11" s="52">
        <f t="shared" ref="AG11:AG18" si="10">SUM(AB11:AF11)</f>
        <v>1.4815415719465399</v>
      </c>
      <c r="AH11" s="32"/>
    </row>
    <row r="12" spans="1:34" ht="18" customHeight="1" x14ac:dyDescent="0.2">
      <c r="A12" s="32"/>
      <c r="B12" s="198" t="str">
        <f>'Capex Model Category Index'!B10</f>
        <v>03</v>
      </c>
      <c r="C12" s="198" t="str">
        <f>'Capex Model Category Index'!C10</f>
        <v>Mains Replacement - General Trunk Replacement</v>
      </c>
      <c r="D12" s="52"/>
      <c r="E12" s="52"/>
      <c r="F12" s="55">
        <f t="shared" si="0"/>
        <v>2.374438300019277</v>
      </c>
      <c r="G12" s="54">
        <f t="shared" si="0"/>
        <v>2.3585926092453371</v>
      </c>
      <c r="H12" s="54">
        <f t="shared" si="0"/>
        <v>2.3849106967388467</v>
      </c>
      <c r="I12" s="54">
        <f t="shared" si="0"/>
        <v>1.8835664537923058</v>
      </c>
      <c r="J12" s="95">
        <f t="shared" si="0"/>
        <v>0.39667706033957251</v>
      </c>
      <c r="K12" s="52">
        <f t="shared" si="6"/>
        <v>9.3981851201353379</v>
      </c>
      <c r="L12" s="32"/>
      <c r="M12" s="198" t="str">
        <f t="shared" si="7"/>
        <v>03</v>
      </c>
      <c r="N12" s="198" t="str">
        <f t="shared" si="7"/>
        <v>Mains Replacement - General Trunk Replacement</v>
      </c>
      <c r="O12" s="52"/>
      <c r="P12" s="52"/>
      <c r="Q12" s="55">
        <f>'Capex Category Summary (Vic)'!AO17</f>
        <v>2.1346260416402898</v>
      </c>
      <c r="R12" s="54">
        <f>'Capex Category Summary (Vic)'!AP17</f>
        <v>2.1468268401938655</v>
      </c>
      <c r="S12" s="54">
        <f>'Capex Category Summary (Vic)'!AQ17</f>
        <v>2.161989494067404</v>
      </c>
      <c r="T12" s="54">
        <f>'Capex Category Summary (Vic)'!AR17</f>
        <v>1.6774910846201903</v>
      </c>
      <c r="U12" s="95">
        <f>'Capex Category Summary (Vic)'!AS17</f>
        <v>0.33875682912096838</v>
      </c>
      <c r="V12" s="52">
        <f t="shared" si="8"/>
        <v>8.4596902896427189</v>
      </c>
      <c r="W12" s="45"/>
      <c r="X12" s="198" t="str">
        <f t="shared" si="9"/>
        <v>03</v>
      </c>
      <c r="Y12" s="198" t="str">
        <f t="shared" si="9"/>
        <v>Mains Replacement - General Trunk Replacement</v>
      </c>
      <c r="Z12" s="52"/>
      <c r="AA12" s="52"/>
      <c r="AB12" s="55">
        <f t="shared" si="1"/>
        <v>0.23981225837898712</v>
      </c>
      <c r="AC12" s="54">
        <f t="shared" si="2"/>
        <v>0.2117657690514716</v>
      </c>
      <c r="AD12" s="54">
        <f t="shared" si="3"/>
        <v>0.22292120267144261</v>
      </c>
      <c r="AE12" s="54">
        <f t="shared" si="4"/>
        <v>0.2060753691721155</v>
      </c>
      <c r="AF12" s="95">
        <f t="shared" si="5"/>
        <v>5.792023121860411E-2</v>
      </c>
      <c r="AG12" s="52">
        <f t="shared" si="10"/>
        <v>0.93849483049262095</v>
      </c>
      <c r="AH12" s="32"/>
    </row>
    <row r="13" spans="1:34" ht="18" customHeight="1" x14ac:dyDescent="0.2">
      <c r="A13" s="32"/>
      <c r="B13" s="198" t="str">
        <f>'Capex Model Category Index'!B11</f>
        <v>04</v>
      </c>
      <c r="C13" s="198" t="str">
        <f>'Capex Model Category Index'!C11</f>
        <v>Mains Replacement - Decommissioned Trunk Replacement</v>
      </c>
      <c r="D13" s="52"/>
      <c r="E13" s="52"/>
      <c r="F13" s="55">
        <f t="shared" si="0"/>
        <v>1.4239780458865603</v>
      </c>
      <c r="G13" s="54">
        <f t="shared" si="0"/>
        <v>1.4144752022945351</v>
      </c>
      <c r="H13" s="54">
        <f t="shared" si="0"/>
        <v>1.4302584630346331</v>
      </c>
      <c r="I13" s="54">
        <f t="shared" si="0"/>
        <v>1.4684754965378264</v>
      </c>
      <c r="J13" s="95">
        <f t="shared" si="0"/>
        <v>0</v>
      </c>
      <c r="K13" s="52">
        <f t="shared" si="6"/>
        <v>5.7371872077535553</v>
      </c>
      <c r="L13" s="32"/>
      <c r="M13" s="198" t="str">
        <f t="shared" si="7"/>
        <v>04</v>
      </c>
      <c r="N13" s="198" t="str">
        <f t="shared" si="7"/>
        <v>Mains Replacement - Decommissioned Trunk Replacement</v>
      </c>
      <c r="O13" s="52"/>
      <c r="P13" s="52"/>
      <c r="Q13" s="55">
        <f>'Capex Category Summary (Vic)'!AO18</f>
        <v>1.2801598674721619</v>
      </c>
      <c r="R13" s="54">
        <f>'Capex Category Summary (Vic)'!AP18</f>
        <v>1.2874768271431862</v>
      </c>
      <c r="S13" s="54">
        <f>'Capex Category Summary (Vic)'!AQ18</f>
        <v>1.2965700456248459</v>
      </c>
      <c r="T13" s="54">
        <f>'Capex Category Summary (Vic)'!AR18</f>
        <v>1.3078139868470158</v>
      </c>
      <c r="U13" s="95">
        <f>'Capex Category Summary (Vic)'!AS18</f>
        <v>0</v>
      </c>
      <c r="V13" s="52">
        <f t="shared" si="8"/>
        <v>5.1720207270872098</v>
      </c>
      <c r="W13" s="45"/>
      <c r="X13" s="198" t="str">
        <f t="shared" si="9"/>
        <v>04</v>
      </c>
      <c r="Y13" s="198" t="str">
        <f t="shared" si="9"/>
        <v>Mains Replacement - Decommissioned Trunk Replacement</v>
      </c>
      <c r="Z13" s="52"/>
      <c r="AA13" s="52"/>
      <c r="AB13" s="55">
        <f t="shared" si="1"/>
        <v>0.14381817841439828</v>
      </c>
      <c r="AC13" s="54">
        <f t="shared" si="2"/>
        <v>0.12699837515134887</v>
      </c>
      <c r="AD13" s="54">
        <f t="shared" si="3"/>
        <v>0.13368841740978726</v>
      </c>
      <c r="AE13" s="54">
        <f t="shared" si="4"/>
        <v>0.16066150969081053</v>
      </c>
      <c r="AF13" s="95">
        <f t="shared" si="5"/>
        <v>0</v>
      </c>
      <c r="AG13" s="52">
        <f t="shared" si="10"/>
        <v>0.56516648066634501</v>
      </c>
      <c r="AH13" s="32"/>
    </row>
    <row r="14" spans="1:34" ht="18" customHeight="1" x14ac:dyDescent="0.2">
      <c r="A14" s="32"/>
      <c r="B14" s="198" t="str">
        <f>'Capex Model Category Index'!B12</f>
        <v>05</v>
      </c>
      <c r="C14" s="198" t="str">
        <f>'Capex Model Category Index'!C12</f>
        <v>Mains Replacement - Piecemeal Replacement</v>
      </c>
      <c r="D14" s="52"/>
      <c r="E14" s="52"/>
      <c r="F14" s="55">
        <f t="shared" si="0"/>
        <v>0.3132832160775525</v>
      </c>
      <c r="G14" s="54">
        <f t="shared" si="0"/>
        <v>0.31119253679286024</v>
      </c>
      <c r="H14" s="54">
        <f t="shared" si="0"/>
        <v>0.31466494333671952</v>
      </c>
      <c r="I14" s="54">
        <f t="shared" si="0"/>
        <v>0.32307290664725619</v>
      </c>
      <c r="J14" s="95">
        <f t="shared" si="0"/>
        <v>0</v>
      </c>
      <c r="K14" s="52">
        <f t="shared" si="6"/>
        <v>1.2622136028543884</v>
      </c>
      <c r="L14" s="32"/>
      <c r="M14" s="198" t="str">
        <f t="shared" si="7"/>
        <v>05</v>
      </c>
      <c r="N14" s="198" t="str">
        <f t="shared" si="7"/>
        <v>Mains Replacement - Piecemeal Replacement</v>
      </c>
      <c r="O14" s="52"/>
      <c r="P14" s="52"/>
      <c r="Q14" s="55">
        <f>'Capex Category Summary (Vic)'!AO19</f>
        <v>0.28164240420251657</v>
      </c>
      <c r="R14" s="54">
        <f>'Capex Category Summary (Vic)'!AP19</f>
        <v>0.28325217667356689</v>
      </c>
      <c r="S14" s="54">
        <f>'Capex Category Summary (Vic)'!AQ19</f>
        <v>0.28525273611945112</v>
      </c>
      <c r="T14" s="54">
        <f>'Capex Category Summary (Vic)'!AR19</f>
        <v>0.28772646672059621</v>
      </c>
      <c r="U14" s="95">
        <f>'Capex Category Summary (Vic)'!AS19</f>
        <v>0</v>
      </c>
      <c r="V14" s="52">
        <f t="shared" si="8"/>
        <v>1.1378737837161308</v>
      </c>
      <c r="W14" s="45"/>
      <c r="X14" s="198" t="str">
        <f t="shared" si="9"/>
        <v>05</v>
      </c>
      <c r="Y14" s="198" t="str">
        <f t="shared" si="9"/>
        <v>Mains Replacement - Piecemeal Replacement</v>
      </c>
      <c r="Z14" s="52"/>
      <c r="AA14" s="52"/>
      <c r="AB14" s="55">
        <f t="shared" si="1"/>
        <v>3.164081187503593E-2</v>
      </c>
      <c r="AC14" s="54">
        <f t="shared" si="2"/>
        <v>2.7940360119293333E-2</v>
      </c>
      <c r="AD14" s="54">
        <f t="shared" si="3"/>
        <v>2.941220721726838E-2</v>
      </c>
      <c r="AE14" s="54">
        <f t="shared" si="4"/>
        <v>3.5346439926659992E-2</v>
      </c>
      <c r="AF14" s="95">
        <f t="shared" si="5"/>
        <v>0</v>
      </c>
      <c r="AG14" s="52">
        <f t="shared" si="10"/>
        <v>0.12433981913825763</v>
      </c>
      <c r="AH14" s="32"/>
    </row>
    <row r="15" spans="1:34" ht="18" customHeight="1" x14ac:dyDescent="0.2">
      <c r="A15" s="32"/>
      <c r="B15" s="198" t="str">
        <f>'Capex Model Category Index'!B13</f>
        <v>06</v>
      </c>
      <c r="C15" s="198" t="str">
        <f>'Capex Model Category Index'!C13</f>
        <v>Mains Replacement - HDPE Replacement</v>
      </c>
      <c r="D15" s="52"/>
      <c r="E15" s="52"/>
      <c r="F15" s="55">
        <f>Q15+AB15</f>
        <v>1.25313286431021</v>
      </c>
      <c r="G15" s="54">
        <f>R15+AC15</f>
        <v>1.244770147171441</v>
      </c>
      <c r="H15" s="54">
        <f>S15+AD15</f>
        <v>1.2586597733468781</v>
      </c>
      <c r="I15" s="54">
        <f>T15+AE15</f>
        <v>1.2922916265890247</v>
      </c>
      <c r="J15" s="95">
        <f>U15+AF15</f>
        <v>1.3607761024430092</v>
      </c>
      <c r="K15" s="52">
        <f>SUM(F15:J15)</f>
        <v>6.4096305138605629</v>
      </c>
      <c r="L15" s="32"/>
      <c r="M15" s="198" t="str">
        <f t="shared" si="7"/>
        <v>06</v>
      </c>
      <c r="N15" s="198" t="str">
        <f t="shared" si="7"/>
        <v>Mains Replacement - HDPE Replacement</v>
      </c>
      <c r="O15" s="52"/>
      <c r="P15" s="52"/>
      <c r="Q15" s="55">
        <f>'Capex Category Summary (Vic)'!AO20</f>
        <v>1.1265696168100663</v>
      </c>
      <c r="R15" s="54">
        <f>'Capex Category Summary (Vic)'!AP20</f>
        <v>1.1330087066942676</v>
      </c>
      <c r="S15" s="54">
        <f>'Capex Category Summary (Vic)'!AQ20</f>
        <v>1.1410109444778045</v>
      </c>
      <c r="T15" s="54">
        <f>'Capex Category Summary (Vic)'!AR20</f>
        <v>1.1509058668823848</v>
      </c>
      <c r="U15" s="95">
        <f>'Capex Category Summary (Vic)'!AS20</f>
        <v>1.1620843343261946</v>
      </c>
      <c r="V15" s="52">
        <f>SUM(Q15:U15)</f>
        <v>5.7135794691907176</v>
      </c>
      <c r="W15" s="45"/>
      <c r="X15" s="198" t="str">
        <f>M15</f>
        <v>06</v>
      </c>
      <c r="Y15" s="198" t="str">
        <f>N15</f>
        <v>Mains Replacement - HDPE Replacement</v>
      </c>
      <c r="Z15" s="52"/>
      <c r="AA15" s="52"/>
      <c r="AB15" s="55">
        <f t="shared" si="1"/>
        <v>0.12656324750014372</v>
      </c>
      <c r="AC15" s="54">
        <f t="shared" si="2"/>
        <v>0.11176144047717333</v>
      </c>
      <c r="AD15" s="54">
        <f t="shared" si="3"/>
        <v>0.11764882886907352</v>
      </c>
      <c r="AE15" s="54">
        <f t="shared" si="4"/>
        <v>0.14138575970663997</v>
      </c>
      <c r="AF15" s="95">
        <f t="shared" si="5"/>
        <v>0.19869176811681458</v>
      </c>
      <c r="AG15" s="52">
        <f>SUM(AB15:AF15)</f>
        <v>0.69605104466984513</v>
      </c>
      <c r="AH15" s="32"/>
    </row>
    <row r="16" spans="1:34" ht="18" customHeight="1" x14ac:dyDescent="0.2">
      <c r="A16" s="32"/>
      <c r="B16" s="198" t="str">
        <f>'Capex Model Category Index'!B14</f>
        <v>07</v>
      </c>
      <c r="C16" s="198" t="str">
        <f>'Capex Model Category Index'!C14</f>
        <v>Mains Replacement - HDICS Block Replacement</v>
      </c>
      <c r="D16" s="52"/>
      <c r="E16" s="52"/>
      <c r="F16" s="55">
        <f t="shared" si="0"/>
        <v>21.596880363752511</v>
      </c>
      <c r="G16" s="54">
        <f t="shared" si="0"/>
        <v>21.45275470341296</v>
      </c>
      <c r="H16" s="54">
        <f t="shared" si="0"/>
        <v>21.692132827913177</v>
      </c>
      <c r="I16" s="54">
        <f t="shared" si="0"/>
        <v>22.271754615489343</v>
      </c>
      <c r="J16" s="95">
        <f t="shared" si="0"/>
        <v>0</v>
      </c>
      <c r="K16" s="52">
        <f t="shared" si="6"/>
        <v>87.013522510567995</v>
      </c>
      <c r="L16" s="32"/>
      <c r="M16" s="198" t="str">
        <f t="shared" si="7"/>
        <v>07</v>
      </c>
      <c r="N16" s="198" t="str">
        <f t="shared" si="7"/>
        <v>Mains Replacement - HDICS Block Replacement</v>
      </c>
      <c r="O16" s="52"/>
      <c r="P16" s="52"/>
      <c r="Q16" s="55">
        <f>'Capex Category Summary (Vic)'!AO21</f>
        <v>19.415650110715301</v>
      </c>
      <c r="R16" s="54">
        <f>'Capex Category Summary (Vic)'!AP21</f>
        <v>19.526623382457792</v>
      </c>
      <c r="S16" s="54">
        <f>'Capex Category Summary (Vic)'!AQ21</f>
        <v>19.664536429809303</v>
      </c>
      <c r="T16" s="54">
        <f>'Capex Category Summary (Vic)'!AR21</f>
        <v>19.8350685908168</v>
      </c>
      <c r="U16" s="95">
        <f>'Capex Category Summary (Vic)'!AS21</f>
        <v>0</v>
      </c>
      <c r="V16" s="52">
        <f t="shared" si="8"/>
        <v>78.441878513799196</v>
      </c>
      <c r="W16" s="45"/>
      <c r="X16" s="198" t="str">
        <f t="shared" si="9"/>
        <v>07</v>
      </c>
      <c r="Y16" s="198" t="str">
        <f t="shared" si="9"/>
        <v>Mains Replacement - HDICS Block Replacement</v>
      </c>
      <c r="Z16" s="52"/>
      <c r="AA16" s="52"/>
      <c r="AB16" s="55">
        <f t="shared" si="1"/>
        <v>2.1812302530372101</v>
      </c>
      <c r="AC16" s="54">
        <f t="shared" si="2"/>
        <v>1.9261313209551694</v>
      </c>
      <c r="AD16" s="54">
        <f t="shared" si="3"/>
        <v>2.0275963981038743</v>
      </c>
      <c r="AE16" s="54">
        <f t="shared" si="4"/>
        <v>2.4366860246725435</v>
      </c>
      <c r="AF16" s="95">
        <f t="shared" si="5"/>
        <v>0</v>
      </c>
      <c r="AG16" s="52">
        <f t="shared" si="10"/>
        <v>8.5716439967687972</v>
      </c>
      <c r="AH16" s="32"/>
    </row>
    <row r="17" spans="1:46" ht="18" customHeight="1" x14ac:dyDescent="0.2">
      <c r="A17" s="32"/>
      <c r="B17" s="198" t="str">
        <f>'Capex Model Category Index'!B15</f>
        <v>08</v>
      </c>
      <c r="C17" s="198" t="str">
        <f>'Capex Model Category Index'!C15</f>
        <v>Mains Replacement - LDS Block Replacement</v>
      </c>
      <c r="D17" s="52"/>
      <c r="E17" s="52"/>
      <c r="F17" s="55">
        <f t="shared" ref="F17" si="11">Q17+AB17</f>
        <v>3.1735704572158943</v>
      </c>
      <c r="G17" s="54">
        <f t="shared" ref="G17" si="12">R17+AC17</f>
        <v>3.1523917994617867</v>
      </c>
      <c r="H17" s="54">
        <f t="shared" ref="H17" si="13">S17+AD17</f>
        <v>3.1875674049762135</v>
      </c>
      <c r="I17" s="54">
        <f t="shared" ref="I17" si="14">T17+AE17</f>
        <v>3.2727403813704194</v>
      </c>
      <c r="J17" s="95">
        <f t="shared" ref="J17" si="15">U17+AF17</f>
        <v>0</v>
      </c>
      <c r="K17" s="52">
        <f t="shared" ref="K17" si="16">SUM(F17:J17)</f>
        <v>12.786270043024313</v>
      </c>
      <c r="L17" s="32"/>
      <c r="M17" s="198" t="str">
        <f t="shared" ref="M17" si="17">B17</f>
        <v>08</v>
      </c>
      <c r="N17" s="198" t="str">
        <f t="shared" ref="N17" si="18">C17</f>
        <v>Mains Replacement - LDS Block Replacement</v>
      </c>
      <c r="O17" s="52"/>
      <c r="P17" s="52"/>
      <c r="Q17" s="55">
        <f>'Capex Category Summary (Vic)'!AO22</f>
        <v>2.853047873637454</v>
      </c>
      <c r="R17" s="54">
        <f>'Capex Category Summary (Vic)'!AP22</f>
        <v>2.8693549277494754</v>
      </c>
      <c r="S17" s="54">
        <f>'Capex Category Summary (Vic)'!AQ22</f>
        <v>2.8896206682345666</v>
      </c>
      <c r="T17" s="54">
        <f>'Capex Category Summary (Vic)'!AR22</f>
        <v>2.9146796498589174</v>
      </c>
      <c r="U17" s="95">
        <f>'Capex Category Summary (Vic)'!AS22</f>
        <v>0</v>
      </c>
      <c r="V17" s="52">
        <f t="shared" ref="V17" si="19">SUM(Q17:U17)</f>
        <v>11.526703119480413</v>
      </c>
      <c r="W17" s="45"/>
      <c r="X17" s="198" t="str">
        <f t="shared" ref="X17" si="20">M17</f>
        <v>08</v>
      </c>
      <c r="Y17" s="198" t="str">
        <f t="shared" ref="Y17" si="21">N17</f>
        <v>Mains Replacement - LDS Block Replacement</v>
      </c>
      <c r="Z17" s="52"/>
      <c r="AA17" s="52"/>
      <c r="AB17" s="55">
        <f t="shared" si="1"/>
        <v>0.32052258357844027</v>
      </c>
      <c r="AC17" s="54">
        <f t="shared" si="2"/>
        <v>0.28303687171231118</v>
      </c>
      <c r="AD17" s="54">
        <f t="shared" si="3"/>
        <v>0.29794673674164696</v>
      </c>
      <c r="AE17" s="54">
        <f t="shared" si="4"/>
        <v>0.35806073151150231</v>
      </c>
      <c r="AF17" s="95">
        <f t="shared" si="5"/>
        <v>0</v>
      </c>
      <c r="AG17" s="52">
        <f t="shared" ref="AG17" si="22">SUM(AB17:AF17)</f>
        <v>1.2595669235439009</v>
      </c>
      <c r="AH17" s="32"/>
    </row>
    <row r="18" spans="1:46" ht="18" customHeight="1" x14ac:dyDescent="0.2">
      <c r="A18" s="32"/>
      <c r="B18" s="198" t="str">
        <f>'Capex Model Category Index'!B16</f>
        <v>09</v>
      </c>
      <c r="C18" s="198" t="str">
        <f>'Capex Model Category Index'!C16</f>
        <v>Mains Replacement - CBD Block Replacement</v>
      </c>
      <c r="D18" s="52"/>
      <c r="E18" s="52"/>
      <c r="F18" s="55">
        <f t="shared" si="0"/>
        <v>6.8721723875557901</v>
      </c>
      <c r="G18" s="54">
        <f t="shared" si="0"/>
        <v>6.8263113017581381</v>
      </c>
      <c r="H18" s="54">
        <f t="shared" si="0"/>
        <v>6.9024819203691603</v>
      </c>
      <c r="I18" s="54">
        <f t="shared" si="0"/>
        <v>7.2286571580414201</v>
      </c>
      <c r="J18" s="95">
        <f t="shared" si="0"/>
        <v>7.7609866855437364</v>
      </c>
      <c r="K18" s="52">
        <f t="shared" si="6"/>
        <v>35.590609453268243</v>
      </c>
      <c r="L18" s="32"/>
      <c r="M18" s="198" t="str">
        <f t="shared" si="7"/>
        <v>09</v>
      </c>
      <c r="N18" s="198" t="str">
        <f t="shared" si="7"/>
        <v>Mains Replacement - CBD Block Replacement</v>
      </c>
      <c r="O18" s="52"/>
      <c r="P18" s="52"/>
      <c r="Q18" s="55">
        <f>'Capex Category Summary (Vic)'!AO23</f>
        <v>6.1781003705166064</v>
      </c>
      <c r="R18" s="54">
        <f>'Capex Category Summary (Vic)'!AP23</f>
        <v>6.213412297099552</v>
      </c>
      <c r="S18" s="54">
        <f>'Capex Category Summary (Vic)'!AQ23</f>
        <v>6.2572965164835432</v>
      </c>
      <c r="T18" s="54">
        <f>'Capex Category Summary (Vic)'!AR23</f>
        <v>6.4377914100011342</v>
      </c>
      <c r="U18" s="95">
        <f>'Capex Category Summary (Vic)'!AS23</f>
        <v>6.6277773617517468</v>
      </c>
      <c r="V18" s="52">
        <f t="shared" si="8"/>
        <v>31.714377955852584</v>
      </c>
      <c r="W18" s="45"/>
      <c r="X18" s="198" t="str">
        <f t="shared" si="9"/>
        <v>09</v>
      </c>
      <c r="Y18" s="198" t="str">
        <f t="shared" si="9"/>
        <v>Mains Replacement - CBD Block Replacement</v>
      </c>
      <c r="Z18" s="52"/>
      <c r="AA18" s="52"/>
      <c r="AB18" s="55">
        <f t="shared" si="1"/>
        <v>0.69407201703918364</v>
      </c>
      <c r="AC18" s="54">
        <f t="shared" si="2"/>
        <v>0.61289900465858604</v>
      </c>
      <c r="AD18" s="54">
        <f t="shared" si="3"/>
        <v>0.64518540388561751</v>
      </c>
      <c r="AE18" s="54">
        <f t="shared" si="4"/>
        <v>0.7908657480402862</v>
      </c>
      <c r="AF18" s="95">
        <f t="shared" si="5"/>
        <v>1.1332093237919896</v>
      </c>
      <c r="AG18" s="52">
        <f t="shared" si="10"/>
        <v>3.8762314974156631</v>
      </c>
      <c r="AH18" s="32"/>
    </row>
    <row r="19" spans="1:46" ht="18" customHeight="1" x14ac:dyDescent="0.2">
      <c r="A19" s="32"/>
      <c r="B19" s="198" t="str">
        <f>'Capex Model Category Index'!B17</f>
        <v>10</v>
      </c>
      <c r="C19" s="198" t="str">
        <f>'Capex Model Category Index'!C17</f>
        <v>Mains Replacement - CBD Trunk Replacement</v>
      </c>
      <c r="D19" s="52"/>
      <c r="E19" s="52"/>
      <c r="F19" s="55">
        <f t="shared" ref="F19" si="23">Q19+AB19</f>
        <v>0</v>
      </c>
      <c r="G19" s="54">
        <f t="shared" ref="G19" si="24">R19+AC19</f>
        <v>2.1874111284270308</v>
      </c>
      <c r="H19" s="54">
        <f t="shared" ref="H19" si="25">S19+AD19</f>
        <v>2.211819106827607</v>
      </c>
      <c r="I19" s="54">
        <f t="shared" ref="I19" si="26">T19+AE19</f>
        <v>0</v>
      </c>
      <c r="J19" s="95">
        <f t="shared" ref="J19" si="27">U19+AF19</f>
        <v>0</v>
      </c>
      <c r="K19" s="52">
        <f t="shared" ref="K19" si="28">SUM(F19:J19)</f>
        <v>4.3992302352546382</v>
      </c>
      <c r="L19" s="32"/>
      <c r="M19" s="198" t="str">
        <f t="shared" ref="M19" si="29">B19</f>
        <v>10</v>
      </c>
      <c r="N19" s="198" t="str">
        <f t="shared" ref="N19" si="30">C19</f>
        <v>Mains Replacement - CBD Trunk Replacement</v>
      </c>
      <c r="O19" s="52"/>
      <c r="P19" s="52"/>
      <c r="Q19" s="55">
        <f>'Capex Category Summary (Vic)'!AO24</f>
        <v>0</v>
      </c>
      <c r="R19" s="54">
        <f>'Capex Category Summary (Vic)'!AP24</f>
        <v>1.9910148546375905</v>
      </c>
      <c r="S19" s="54">
        <f>'Capex Category Summary (Vic)'!AQ24</f>
        <v>2.0050770363341903</v>
      </c>
      <c r="T19" s="54">
        <f>'Capex Category Summary (Vic)'!AR24</f>
        <v>0</v>
      </c>
      <c r="U19" s="95">
        <f>'Capex Category Summary (Vic)'!AS24</f>
        <v>0</v>
      </c>
      <c r="V19" s="52">
        <f t="shared" ref="V19" si="31">SUM(Q19:U19)</f>
        <v>3.9960918909717806</v>
      </c>
      <c r="W19" s="45"/>
      <c r="X19" s="198" t="str">
        <f t="shared" ref="X19" si="32">M19</f>
        <v>10</v>
      </c>
      <c r="Y19" s="198" t="str">
        <f t="shared" ref="Y19" si="33">N19</f>
        <v>Mains Replacement - CBD Trunk Replacement</v>
      </c>
      <c r="Z19" s="52"/>
      <c r="AA19" s="52"/>
      <c r="AB19" s="55">
        <f t="shared" si="1"/>
        <v>0</v>
      </c>
      <c r="AC19" s="54">
        <f t="shared" si="2"/>
        <v>0.19639627378944025</v>
      </c>
      <c r="AD19" s="54">
        <f t="shared" si="3"/>
        <v>0.2067420704934167</v>
      </c>
      <c r="AE19" s="54">
        <f t="shared" si="4"/>
        <v>0</v>
      </c>
      <c r="AF19" s="95">
        <f t="shared" si="5"/>
        <v>0</v>
      </c>
      <c r="AG19" s="52">
        <f t="shared" ref="AG19" si="34">SUM(AB19:AF19)</f>
        <v>0.40313834428285694</v>
      </c>
      <c r="AH19" s="32"/>
    </row>
    <row r="20" spans="1:46" ht="18" customHeight="1" x14ac:dyDescent="0.2">
      <c r="A20" s="32"/>
      <c r="B20" s="198" t="str">
        <f>'Capex Model Category Index'!B18</f>
        <v>11</v>
      </c>
      <c r="C20" s="198" t="str">
        <f>'Capex Model Category Index'!C18</f>
        <v>Service Renewal - Non AMRP</v>
      </c>
      <c r="D20" s="52"/>
      <c r="E20" s="52"/>
      <c r="F20" s="55">
        <f t="shared" si="0"/>
        <v>0.81577580124466809</v>
      </c>
      <c r="G20" s="54">
        <f t="shared" si="0"/>
        <v>0.81033176376966576</v>
      </c>
      <c r="H20" s="54">
        <f t="shared" si="0"/>
        <v>0.81937375863307016</v>
      </c>
      <c r="I20" s="54">
        <f t="shared" si="0"/>
        <v>0.84126772758667945</v>
      </c>
      <c r="J20" s="95">
        <f t="shared" si="0"/>
        <v>0.88585037301379321</v>
      </c>
      <c r="K20" s="52">
        <f t="shared" ref="K20:K29" si="35">SUM(F20:J20)</f>
        <v>4.1725994242478768</v>
      </c>
      <c r="L20" s="32"/>
      <c r="M20" s="198" t="str">
        <f t="shared" si="7"/>
        <v>11</v>
      </c>
      <c r="N20" s="198" t="str">
        <f t="shared" si="7"/>
        <v>Service Renewal - Non AMRP</v>
      </c>
      <c r="O20" s="52"/>
      <c r="P20" s="52"/>
      <c r="Q20" s="55">
        <f>'Capex Category Summary (Vic)'!AO30</f>
        <v>0.73338451012296435</v>
      </c>
      <c r="R20" s="54">
        <f>'Capex Category Summary (Vic)'!AP30</f>
        <v>0.73757628727539126</v>
      </c>
      <c r="S20" s="54">
        <f>'Capex Category Summary (Vic)'!AQ30</f>
        <v>0.74278565662922158</v>
      </c>
      <c r="T20" s="54">
        <f>'Capex Category Summary (Vic)'!AR30</f>
        <v>0.74922714298932391</v>
      </c>
      <c r="U20" s="95">
        <f>'Capex Category Summary (Vic)'!AS30</f>
        <v>0.75650420314421918</v>
      </c>
      <c r="V20" s="52">
        <f t="shared" si="8"/>
        <v>3.7194778001611204</v>
      </c>
      <c r="W20" s="45"/>
      <c r="X20" s="198" t="str">
        <f t="shared" si="9"/>
        <v>11</v>
      </c>
      <c r="Y20" s="198" t="str">
        <f t="shared" si="9"/>
        <v>Service Renewal - Non AMRP</v>
      </c>
      <c r="Z20" s="52"/>
      <c r="AA20" s="52"/>
      <c r="AB20" s="55">
        <f t="shared" si="1"/>
        <v>8.239129112170375E-2</v>
      </c>
      <c r="AC20" s="54">
        <f t="shared" si="2"/>
        <v>7.275547649427451E-2</v>
      </c>
      <c r="AD20" s="54">
        <f t="shared" si="3"/>
        <v>7.6588102003848565E-2</v>
      </c>
      <c r="AE20" s="54">
        <f t="shared" si="4"/>
        <v>9.2040584597355521E-2</v>
      </c>
      <c r="AF20" s="95">
        <f t="shared" si="5"/>
        <v>0.12934616986957401</v>
      </c>
      <c r="AG20" s="52">
        <f t="shared" ref="AG20:AG29" si="36">SUM(AB20:AF20)</f>
        <v>0.45312162408675638</v>
      </c>
      <c r="AH20" s="32"/>
    </row>
    <row r="21" spans="1:46" ht="18" customHeight="1" x14ac:dyDescent="0.2">
      <c r="A21" s="32"/>
      <c r="B21" s="198" t="str">
        <f>'Capex Model Category Index'!B19</f>
        <v>12</v>
      </c>
      <c r="C21" s="198" t="str">
        <f>'Capex Model Category Index'!C19</f>
        <v>New Main - Estate</v>
      </c>
      <c r="D21" s="52"/>
      <c r="E21" s="52"/>
      <c r="F21" s="55">
        <f t="shared" si="0"/>
        <v>7.3873985602351349</v>
      </c>
      <c r="G21" s="54">
        <f t="shared" si="0"/>
        <v>6.9198413863561461</v>
      </c>
      <c r="H21" s="54">
        <f t="shared" si="0"/>
        <v>6.9829109183001226</v>
      </c>
      <c r="I21" s="54">
        <f t="shared" si="0"/>
        <v>7.3275657990927376</v>
      </c>
      <c r="J21" s="95">
        <f t="shared" si="0"/>
        <v>7.8465271911734584</v>
      </c>
      <c r="K21" s="52">
        <f t="shared" si="35"/>
        <v>36.464243855157598</v>
      </c>
      <c r="L21" s="32"/>
      <c r="M21" s="198" t="str">
        <f t="shared" si="7"/>
        <v>12</v>
      </c>
      <c r="N21" s="198" t="str">
        <f t="shared" si="7"/>
        <v>New Main - Estate</v>
      </c>
      <c r="O21" s="52"/>
      <c r="P21" s="52"/>
      <c r="Q21" s="55">
        <f>'Capex Category Summary (Vic)'!AO36</f>
        <v>6.6412900038404361</v>
      </c>
      <c r="R21" s="54">
        <f>'Capex Category Summary (Vic)'!AP36</f>
        <v>6.2985448016251437</v>
      </c>
      <c r="S21" s="54">
        <f>'Capex Category Summary (Vic)'!AQ36</f>
        <v>6.3302076945762424</v>
      </c>
      <c r="T21" s="54">
        <f>'Capex Category Summary (Vic)'!AR36</f>
        <v>6.525878752617281</v>
      </c>
      <c r="U21" s="95">
        <f>'Capex Category Summary (Vic)'!AS36</f>
        <v>6.7008277933136906</v>
      </c>
      <c r="V21" s="52">
        <f t="shared" si="8"/>
        <v>32.496749045972791</v>
      </c>
      <c r="W21" s="45"/>
      <c r="X21" s="198" t="str">
        <f t="shared" si="9"/>
        <v>12</v>
      </c>
      <c r="Y21" s="198" t="str">
        <f t="shared" si="9"/>
        <v>New Main - Estate</v>
      </c>
      <c r="Z21" s="52"/>
      <c r="AA21" s="52"/>
      <c r="AB21" s="55">
        <f t="shared" si="1"/>
        <v>0.74610855639469886</v>
      </c>
      <c r="AC21" s="54">
        <f t="shared" si="2"/>
        <v>0.62129658473100202</v>
      </c>
      <c r="AD21" s="54">
        <f t="shared" si="3"/>
        <v>0.65270322372388057</v>
      </c>
      <c r="AE21" s="54">
        <f t="shared" si="4"/>
        <v>0.80168704647545674</v>
      </c>
      <c r="AF21" s="95">
        <f t="shared" si="5"/>
        <v>1.1456993978597678</v>
      </c>
      <c r="AG21" s="52">
        <f t="shared" si="36"/>
        <v>3.9674948091848057</v>
      </c>
      <c r="AH21" s="32"/>
    </row>
    <row r="22" spans="1:46" ht="18" customHeight="1" x14ac:dyDescent="0.2">
      <c r="A22" s="32"/>
      <c r="B22" s="198" t="str">
        <f>'Capex Model Category Index'!B20</f>
        <v>13</v>
      </c>
      <c r="C22" s="198" t="str">
        <f>'Capex Model Category Index'!C20</f>
        <v>New Main - Existing Domestic</v>
      </c>
      <c r="D22" s="52"/>
      <c r="E22" s="52"/>
      <c r="F22" s="55">
        <f t="shared" si="0"/>
        <v>1.0121284649463587</v>
      </c>
      <c r="G22" s="54">
        <f t="shared" si="0"/>
        <v>0.94806965983191827</v>
      </c>
      <c r="H22" s="54">
        <f t="shared" si="0"/>
        <v>0.95671065409137956</v>
      </c>
      <c r="I22" s="54">
        <f t="shared" si="0"/>
        <v>1.0039309323244519</v>
      </c>
      <c r="J22" s="95">
        <f t="shared" si="0"/>
        <v>1.07503249708372</v>
      </c>
      <c r="K22" s="52">
        <f t="shared" si="35"/>
        <v>4.9958722082778282</v>
      </c>
      <c r="L22" s="32"/>
      <c r="M22" s="198" t="str">
        <f t="shared" si="7"/>
        <v>13</v>
      </c>
      <c r="N22" s="198" t="str">
        <f t="shared" si="7"/>
        <v>New Main - Existing Domestic</v>
      </c>
      <c r="O22" s="52"/>
      <c r="P22" s="52"/>
      <c r="Q22" s="55">
        <f>'Capex Category Summary (Vic)'!AO37</f>
        <v>0.90990605177753758</v>
      </c>
      <c r="R22" s="54">
        <f>'Capex Category Summary (Vic)'!AP37</f>
        <v>0.86294741369170336</v>
      </c>
      <c r="S22" s="54">
        <f>'Capex Category Summary (Vic)'!AQ37</f>
        <v>0.86728546516910165</v>
      </c>
      <c r="T22" s="54">
        <f>'Capex Category Summary (Vic)'!AR37</f>
        <v>0.89409385326332724</v>
      </c>
      <c r="U22" s="95">
        <f>'Capex Category Summary (Vic)'!AS37</f>
        <v>0.91806317109017765</v>
      </c>
      <c r="V22" s="52">
        <f t="shared" si="8"/>
        <v>4.4522959549918477</v>
      </c>
      <c r="W22" s="45"/>
      <c r="X22" s="198" t="str">
        <f t="shared" si="9"/>
        <v>13</v>
      </c>
      <c r="Y22" s="198" t="str">
        <f t="shared" si="9"/>
        <v>New Main - Existing Domestic</v>
      </c>
      <c r="Z22" s="52"/>
      <c r="AA22" s="52"/>
      <c r="AB22" s="55">
        <f t="shared" si="1"/>
        <v>0.10222241316882114</v>
      </c>
      <c r="AC22" s="54">
        <f t="shared" si="2"/>
        <v>8.5122246140214894E-2</v>
      </c>
      <c r="AD22" s="54">
        <f t="shared" si="3"/>
        <v>8.9425188922277937E-2</v>
      </c>
      <c r="AE22" s="54">
        <f t="shared" si="4"/>
        <v>0.10983707906112457</v>
      </c>
      <c r="AF22" s="95">
        <f t="shared" si="5"/>
        <v>0.15696932599354232</v>
      </c>
      <c r="AG22" s="52">
        <f t="shared" si="36"/>
        <v>0.54357625328598091</v>
      </c>
      <c r="AH22" s="32"/>
    </row>
    <row r="23" spans="1:46" ht="18" customHeight="1" x14ac:dyDescent="0.2">
      <c r="A23" s="32"/>
      <c r="B23" s="198" t="str">
        <f>'Capex Model Category Index'!B21</f>
        <v>14</v>
      </c>
      <c r="C23" s="198" t="str">
        <f>'Capex Model Category Index'!C21</f>
        <v>New Main - I&amp;C&lt;10TJ</v>
      </c>
      <c r="D23" s="52"/>
      <c r="E23" s="52"/>
      <c r="F23" s="55">
        <f t="shared" si="0"/>
        <v>2.3309790077837946</v>
      </c>
      <c r="G23" s="54">
        <f t="shared" si="0"/>
        <v>2.3291113842841797</v>
      </c>
      <c r="H23" s="54">
        <f t="shared" si="0"/>
        <v>2.3690365278927605</v>
      </c>
      <c r="I23" s="54">
        <f t="shared" si="0"/>
        <v>2.4467452200978781</v>
      </c>
      <c r="J23" s="95">
        <f t="shared" si="0"/>
        <v>2.5916852191595554</v>
      </c>
      <c r="K23" s="52">
        <f t="shared" si="35"/>
        <v>12.067557359218167</v>
      </c>
      <c r="L23" s="32"/>
      <c r="M23" s="198" t="str">
        <f t="shared" si="7"/>
        <v>14</v>
      </c>
      <c r="N23" s="198" t="str">
        <f t="shared" si="7"/>
        <v>New Main - I&amp;C&lt;10TJ</v>
      </c>
      <c r="O23" s="52"/>
      <c r="P23" s="52"/>
      <c r="Q23" s="55">
        <f>'Capex Category Summary (Vic)'!AO38</f>
        <v>2.095556027921103</v>
      </c>
      <c r="R23" s="54">
        <f>'Capex Category Summary (Vic)'!AP38</f>
        <v>2.1199925811614602</v>
      </c>
      <c r="S23" s="54">
        <f>'Capex Category Summary (Vic)'!AQ38</f>
        <v>2.1475991077442518</v>
      </c>
      <c r="T23" s="54">
        <f>'Capex Category Summary (Vic)'!AR38</f>
        <v>2.1790541474061698</v>
      </c>
      <c r="U23" s="95">
        <f>'Capex Category Summary (Vic)'!AS38</f>
        <v>2.2132640243189496</v>
      </c>
      <c r="V23" s="52">
        <f t="shared" si="8"/>
        <v>10.755465888551933</v>
      </c>
      <c r="W23" s="45"/>
      <c r="X23" s="198" t="str">
        <f t="shared" si="9"/>
        <v>14</v>
      </c>
      <c r="Y23" s="198" t="str">
        <f t="shared" si="9"/>
        <v>New Main - I&amp;C&lt;10TJ</v>
      </c>
      <c r="Z23" s="52"/>
      <c r="AA23" s="52"/>
      <c r="AB23" s="55">
        <f t="shared" si="1"/>
        <v>0.23542297986269181</v>
      </c>
      <c r="AC23" s="54">
        <f t="shared" si="2"/>
        <v>0.20911880312271952</v>
      </c>
      <c r="AD23" s="54">
        <f t="shared" si="3"/>
        <v>0.22143742014850878</v>
      </c>
      <c r="AE23" s="54">
        <f t="shared" si="4"/>
        <v>0.26769107269170822</v>
      </c>
      <c r="AF23" s="95">
        <f t="shared" si="5"/>
        <v>0.37842119484060588</v>
      </c>
      <c r="AG23" s="52">
        <f t="shared" si="36"/>
        <v>1.3120914706662341</v>
      </c>
      <c r="AH23" s="32"/>
    </row>
    <row r="24" spans="1:46" ht="18" customHeight="1" x14ac:dyDescent="0.2">
      <c r="A24" s="32"/>
      <c r="B24" s="198" t="str">
        <f>'Capex Model Category Index'!B22</f>
        <v>15</v>
      </c>
      <c r="C24" s="198" t="str">
        <f>'Capex Model Category Index'!C22</f>
        <v>New Meter - Domestic</v>
      </c>
      <c r="D24" s="52"/>
      <c r="E24" s="52"/>
      <c r="F24" s="55">
        <f t="shared" si="0"/>
        <v>4.2030307239604969</v>
      </c>
      <c r="G24" s="54">
        <f t="shared" si="0"/>
        <v>3.9006071986610396</v>
      </c>
      <c r="H24" s="54">
        <f t="shared" si="0"/>
        <v>3.9085026894115598</v>
      </c>
      <c r="I24" s="54">
        <f t="shared" si="0"/>
        <v>4.1970544193088939</v>
      </c>
      <c r="J24" s="95">
        <f t="shared" si="0"/>
        <v>4.4943030914876898</v>
      </c>
      <c r="K24" s="52">
        <f t="shared" si="35"/>
        <v>20.703498122829682</v>
      </c>
      <c r="L24" s="32"/>
      <c r="M24" s="198" t="str">
        <f t="shared" si="7"/>
        <v>15</v>
      </c>
      <c r="N24" s="198" t="str">
        <f t="shared" si="7"/>
        <v>New Meter - Domestic</v>
      </c>
      <c r="O24" s="52"/>
      <c r="P24" s="52"/>
      <c r="Q24" s="55">
        <f>'Capex Category Summary (Vic)'!AO44</f>
        <v>3.7785352591000061</v>
      </c>
      <c r="R24" s="54">
        <f>'Capex Category Summary (Vic)'!AP44</f>
        <v>3.5503919559123327</v>
      </c>
      <c r="S24" s="54">
        <f>'Capex Category Summary (Vic)'!AQ44</f>
        <v>3.5431690434349612</v>
      </c>
      <c r="T24" s="54">
        <f>'Capex Category Summary (Vic)'!AR44</f>
        <v>3.7378672548989726</v>
      </c>
      <c r="U24" s="95">
        <f>'Capex Category Summary (Vic)'!AS44</f>
        <v>3.8380738807473036</v>
      </c>
      <c r="V24" s="52">
        <f t="shared" si="8"/>
        <v>18.448037394093575</v>
      </c>
      <c r="W24" s="45"/>
      <c r="X24" s="198" t="str">
        <f t="shared" si="9"/>
        <v>15</v>
      </c>
      <c r="Y24" s="198" t="str">
        <f t="shared" si="9"/>
        <v>New Meter - Domestic</v>
      </c>
      <c r="Z24" s="52"/>
      <c r="AA24" s="52"/>
      <c r="AB24" s="55">
        <f t="shared" si="1"/>
        <v>0.42449546486049056</v>
      </c>
      <c r="AC24" s="54">
        <f t="shared" si="2"/>
        <v>0.35021524274870675</v>
      </c>
      <c r="AD24" s="54">
        <f t="shared" si="3"/>
        <v>0.36533364597659856</v>
      </c>
      <c r="AE24" s="54">
        <f t="shared" si="4"/>
        <v>0.45918716440992086</v>
      </c>
      <c r="AF24" s="95">
        <f t="shared" si="5"/>
        <v>0.65622921074038632</v>
      </c>
      <c r="AG24" s="52">
        <f t="shared" si="36"/>
        <v>2.2554607287361028</v>
      </c>
      <c r="AH24" s="32"/>
    </row>
    <row r="25" spans="1:46" ht="18" customHeight="1" x14ac:dyDescent="0.2">
      <c r="A25" s="32"/>
      <c r="B25" s="198" t="str">
        <f>'Capex Model Category Index'!B23</f>
        <v>16</v>
      </c>
      <c r="C25" s="198" t="str">
        <f>'Capex Model Category Index'!C23</f>
        <v>New Meter - I&amp;C&lt;10TJ</v>
      </c>
      <c r="D25" s="52"/>
      <c r="E25" s="52"/>
      <c r="F25" s="55">
        <f t="shared" si="0"/>
        <v>2.7453213692052958</v>
      </c>
      <c r="G25" s="54">
        <f t="shared" si="0"/>
        <v>2.7431217669411825</v>
      </c>
      <c r="H25" s="54">
        <f t="shared" si="0"/>
        <v>2.7901437905420892</v>
      </c>
      <c r="I25" s="54">
        <f t="shared" si="0"/>
        <v>2.8816655642566182</v>
      </c>
      <c r="J25" s="95">
        <f t="shared" si="0"/>
        <v>3.0523693223547803</v>
      </c>
      <c r="K25" s="52">
        <f t="shared" si="35"/>
        <v>14.212621813299966</v>
      </c>
      <c r="L25" s="32"/>
      <c r="M25" s="198" t="str">
        <f t="shared" si="7"/>
        <v>16</v>
      </c>
      <c r="N25" s="198" t="str">
        <f t="shared" si="7"/>
        <v>New Meter - I&amp;C&lt;10TJ</v>
      </c>
      <c r="O25" s="52"/>
      <c r="P25" s="52"/>
      <c r="Q25" s="55">
        <f>'Capex Category Summary (Vic)'!AO45</f>
        <v>2.4680508595778736</v>
      </c>
      <c r="R25" s="54">
        <f>'Capex Category Summary (Vic)'!AP45</f>
        <v>2.4968311238258387</v>
      </c>
      <c r="S25" s="54">
        <f>'Capex Category Summary (Vic)'!AQ45</f>
        <v>2.5293448389233113</v>
      </c>
      <c r="T25" s="54">
        <f>'Capex Category Summary (Vic)'!AR45</f>
        <v>2.5663911582014785</v>
      </c>
      <c r="U25" s="95">
        <f>'Capex Category Summary (Vic)'!AS45</f>
        <v>2.606681999866256</v>
      </c>
      <c r="V25" s="52">
        <f t="shared" si="8"/>
        <v>12.667299980394757</v>
      </c>
      <c r="W25" s="45"/>
      <c r="X25" s="198" t="str">
        <f t="shared" si="9"/>
        <v>16</v>
      </c>
      <c r="Y25" s="198" t="str">
        <f t="shared" si="9"/>
        <v>New Meter - I&amp;C&lt;10TJ</v>
      </c>
      <c r="Z25" s="52"/>
      <c r="AA25" s="52"/>
      <c r="AB25" s="55">
        <f t="shared" si="1"/>
        <v>0.27727050962742228</v>
      </c>
      <c r="AC25" s="54">
        <f t="shared" si="2"/>
        <v>0.24629064311534396</v>
      </c>
      <c r="AD25" s="54">
        <f t="shared" si="3"/>
        <v>0.26079895161877786</v>
      </c>
      <c r="AE25" s="54">
        <f t="shared" si="4"/>
        <v>0.31527440605513979</v>
      </c>
      <c r="AF25" s="95">
        <f t="shared" si="5"/>
        <v>0.44568732248852422</v>
      </c>
      <c r="AG25" s="52">
        <f t="shared" si="36"/>
        <v>1.5453218329052083</v>
      </c>
      <c r="AH25" s="32"/>
    </row>
    <row r="26" spans="1:46" ht="18" customHeight="1" x14ac:dyDescent="0.2">
      <c r="A26" s="32"/>
      <c r="B26" s="198" t="str">
        <f>'Capex Model Category Index'!B24</f>
        <v>17</v>
      </c>
      <c r="C26" s="198" t="str">
        <f>'Capex Model Category Index'!C24</f>
        <v>New Service - New Home</v>
      </c>
      <c r="D26" s="52"/>
      <c r="E26" s="52"/>
      <c r="F26" s="55">
        <f t="shared" si="0"/>
        <v>14.077968205079159</v>
      </c>
      <c r="G26" s="54">
        <f t="shared" si="0"/>
        <v>13.186956981810928</v>
      </c>
      <c r="H26" s="54">
        <f t="shared" si="0"/>
        <v>13.307146904985762</v>
      </c>
      <c r="I26" s="54">
        <f t="shared" si="0"/>
        <v>13.963946509604543</v>
      </c>
      <c r="J26" s="95">
        <f t="shared" si="0"/>
        <v>14.952917379093334</v>
      </c>
      <c r="K26" s="52">
        <f t="shared" si="35"/>
        <v>69.488935980573729</v>
      </c>
      <c r="L26" s="32"/>
      <c r="M26" s="198" t="str">
        <f t="shared" si="7"/>
        <v>17</v>
      </c>
      <c r="N26" s="198" t="str">
        <f t="shared" si="7"/>
        <v>New Service - New Home</v>
      </c>
      <c r="O26" s="52"/>
      <c r="P26" s="52"/>
      <c r="Q26" s="55">
        <f>'Capex Category Summary (Vic)'!AO51</f>
        <v>12.656129049005825</v>
      </c>
      <c r="R26" s="54">
        <f>'Capex Category Summary (Vic)'!AP51</f>
        <v>12.002968667866632</v>
      </c>
      <c r="S26" s="54">
        <f>'Capex Category Summary (Vic)'!AQ51</f>
        <v>12.063307797617364</v>
      </c>
      <c r="T26" s="54">
        <f>'Capex Category Summary (Vic)'!AR51</f>
        <v>12.436192908836849</v>
      </c>
      <c r="U26" s="95">
        <f>'Capex Category Summary (Vic)'!AS51</f>
        <v>12.769588624845808</v>
      </c>
      <c r="V26" s="52">
        <f t="shared" si="8"/>
        <v>61.928187048172482</v>
      </c>
      <c r="W26" s="45"/>
      <c r="X26" s="198" t="str">
        <f t="shared" si="9"/>
        <v>17</v>
      </c>
      <c r="Y26" s="198" t="str">
        <f t="shared" si="9"/>
        <v>New Service - New Home</v>
      </c>
      <c r="Z26" s="52"/>
      <c r="AA26" s="52"/>
      <c r="AB26" s="55">
        <f t="shared" si="1"/>
        <v>1.4218391560733332</v>
      </c>
      <c r="AC26" s="54">
        <f t="shared" si="2"/>
        <v>1.1839883139442959</v>
      </c>
      <c r="AD26" s="54">
        <f t="shared" si="3"/>
        <v>1.2438391073683983</v>
      </c>
      <c r="AE26" s="54">
        <f t="shared" si="4"/>
        <v>1.5277536007676933</v>
      </c>
      <c r="AF26" s="95">
        <f t="shared" si="5"/>
        <v>2.1833287542475266</v>
      </c>
      <c r="AG26" s="52">
        <f t="shared" si="36"/>
        <v>7.5607489324012462</v>
      </c>
      <c r="AH26" s="32"/>
    </row>
    <row r="27" spans="1:46" ht="18" customHeight="1" x14ac:dyDescent="0.2">
      <c r="A27" s="32"/>
      <c r="B27" s="198" t="str">
        <f>'Capex Model Category Index'!B25</f>
        <v>18</v>
      </c>
      <c r="C27" s="198" t="str">
        <f>'Capex Model Category Index'!C25</f>
        <v>New Service - Exist Home</v>
      </c>
      <c r="D27" s="52"/>
      <c r="E27" s="52"/>
      <c r="F27" s="55">
        <f t="shared" si="0"/>
        <v>1.4471753549734723</v>
      </c>
      <c r="G27" s="54">
        <f t="shared" si="0"/>
        <v>1.3555819187236782</v>
      </c>
      <c r="H27" s="54">
        <f t="shared" si="0"/>
        <v>1.367937103236172</v>
      </c>
      <c r="I27" s="54">
        <f t="shared" si="0"/>
        <v>1.4354542468405798</v>
      </c>
      <c r="J27" s="95">
        <f t="shared" si="0"/>
        <v>1.537117657942368</v>
      </c>
      <c r="K27" s="52">
        <f t="shared" si="35"/>
        <v>7.1432662817162704</v>
      </c>
      <c r="L27" s="32"/>
      <c r="M27" s="198" t="str">
        <f t="shared" si="7"/>
        <v>18</v>
      </c>
      <c r="N27" s="198" t="str">
        <f t="shared" si="7"/>
        <v>New Service - Exist Home</v>
      </c>
      <c r="O27" s="52"/>
      <c r="P27" s="52"/>
      <c r="Q27" s="55">
        <f>'Capex Category Summary (Vic)'!AO52</f>
        <v>1.3010143070558309</v>
      </c>
      <c r="R27" s="54">
        <f>'Capex Category Summary (Vic)'!AP52</f>
        <v>1.2338712653427029</v>
      </c>
      <c r="S27" s="54">
        <f>'Capex Category Summary (Vic)'!AQ52</f>
        <v>1.2400739573962551</v>
      </c>
      <c r="T27" s="54">
        <f>'Capex Category Summary (Vic)'!AR52</f>
        <v>1.2784054932636744</v>
      </c>
      <c r="U27" s="95">
        <f>'Capex Category Summary (Vic)'!AS52</f>
        <v>1.3126776308785204</v>
      </c>
      <c r="V27" s="52">
        <f t="shared" si="8"/>
        <v>6.3660426539369848</v>
      </c>
      <c r="W27" s="45"/>
      <c r="X27" s="198" t="str">
        <f t="shared" si="9"/>
        <v>18</v>
      </c>
      <c r="Y27" s="198" t="str">
        <f t="shared" si="9"/>
        <v>New Service - Exist Home</v>
      </c>
      <c r="Z27" s="52"/>
      <c r="AA27" s="52"/>
      <c r="AB27" s="55">
        <f t="shared" si="1"/>
        <v>0.14616104791764148</v>
      </c>
      <c r="AC27" s="54">
        <f t="shared" si="2"/>
        <v>0.12171065338097523</v>
      </c>
      <c r="AD27" s="54">
        <f t="shared" si="3"/>
        <v>0.12786314583991684</v>
      </c>
      <c r="AE27" s="54">
        <f t="shared" si="4"/>
        <v>0.15704875357690545</v>
      </c>
      <c r="AF27" s="95">
        <f t="shared" si="5"/>
        <v>0.22444002706384766</v>
      </c>
      <c r="AG27" s="52">
        <f t="shared" si="36"/>
        <v>0.77722362777928666</v>
      </c>
      <c r="AH27" s="32"/>
    </row>
    <row r="28" spans="1:46" ht="18" customHeight="1" x14ac:dyDescent="0.2">
      <c r="A28" s="32"/>
      <c r="B28" s="198" t="str">
        <f>'Capex Model Category Index'!B26</f>
        <v>19</v>
      </c>
      <c r="C28" s="198" t="str">
        <f>'Capex Model Category Index'!C26</f>
        <v>New Service - Multi User</v>
      </c>
      <c r="D28" s="52"/>
      <c r="E28" s="52"/>
      <c r="F28" s="55">
        <f t="shared" si="0"/>
        <v>3.9034543587264405</v>
      </c>
      <c r="G28" s="54">
        <f t="shared" si="0"/>
        <v>3.6564001252976617</v>
      </c>
      <c r="H28" s="54">
        <f t="shared" si="0"/>
        <v>3.6897256643710166</v>
      </c>
      <c r="I28" s="54">
        <f t="shared" si="0"/>
        <v>3.8718391087339601</v>
      </c>
      <c r="J28" s="95">
        <f t="shared" si="0"/>
        <v>4.146055003735535</v>
      </c>
      <c r="K28" s="52">
        <f t="shared" si="35"/>
        <v>19.267474260864613</v>
      </c>
      <c r="L28" s="32"/>
      <c r="M28" s="198" t="str">
        <f t="shared" si="7"/>
        <v>19</v>
      </c>
      <c r="N28" s="198" t="str">
        <f t="shared" si="7"/>
        <v>New Service - Multi User</v>
      </c>
      <c r="O28" s="52"/>
      <c r="P28" s="52"/>
      <c r="Q28" s="55">
        <f>'Capex Category Summary (Vic)'!AO53</f>
        <v>3.5092153484991</v>
      </c>
      <c r="R28" s="54">
        <f>'Capex Category Summary (Vic)'!AP53</f>
        <v>3.3281109661362143</v>
      </c>
      <c r="S28" s="54">
        <f>'Capex Category Summary (Vic)'!AQ53</f>
        <v>3.3448414371527835</v>
      </c>
      <c r="T28" s="54">
        <f>'Capex Category Summary (Vic)'!AR53</f>
        <v>3.4482327782533226</v>
      </c>
      <c r="U28" s="95">
        <f>'Capex Category Summary (Vic)'!AS53</f>
        <v>3.5406747373398875</v>
      </c>
      <c r="V28" s="52">
        <f t="shared" si="8"/>
        <v>17.171075267381308</v>
      </c>
      <c r="W28" s="45"/>
      <c r="X28" s="198" t="str">
        <f t="shared" si="9"/>
        <v>19</v>
      </c>
      <c r="Y28" s="198" t="str">
        <f t="shared" si="9"/>
        <v>New Service - Multi User</v>
      </c>
      <c r="Z28" s="52"/>
      <c r="AA28" s="52"/>
      <c r="AB28" s="55">
        <f t="shared" si="1"/>
        <v>0.39423901022734043</v>
      </c>
      <c r="AC28" s="54">
        <f t="shared" si="2"/>
        <v>0.32828915916144763</v>
      </c>
      <c r="AD28" s="54">
        <f t="shared" si="3"/>
        <v>0.34488422721823297</v>
      </c>
      <c r="AE28" s="54">
        <f t="shared" si="4"/>
        <v>0.42360633048063728</v>
      </c>
      <c r="AF28" s="95">
        <f t="shared" si="5"/>
        <v>0.60538026639564746</v>
      </c>
      <c r="AG28" s="52">
        <f t="shared" si="36"/>
        <v>2.0963989934833056</v>
      </c>
      <c r="AH28" s="32"/>
    </row>
    <row r="29" spans="1:46" ht="18" customHeight="1" x14ac:dyDescent="0.2">
      <c r="A29" s="32"/>
      <c r="B29" s="198" t="str">
        <f>'Capex Model Category Index'!B27</f>
        <v>20</v>
      </c>
      <c r="C29" s="198" t="str">
        <f>'Capex Model Category Index'!C27</f>
        <v>New Service - I&amp;C &lt; 10 Tj</v>
      </c>
      <c r="D29" s="52"/>
      <c r="E29" s="52"/>
      <c r="F29" s="55">
        <f t="shared" si="0"/>
        <v>1.880398562925117</v>
      </c>
      <c r="G29" s="54">
        <f t="shared" si="0"/>
        <v>1.878891952812785</v>
      </c>
      <c r="H29" s="54">
        <f t="shared" si="0"/>
        <v>1.9110995284346406</v>
      </c>
      <c r="I29" s="54">
        <f t="shared" si="0"/>
        <v>1.9737870570058313</v>
      </c>
      <c r="J29" s="95">
        <f t="shared" si="0"/>
        <v>2.0907100172881172</v>
      </c>
      <c r="K29" s="52">
        <f t="shared" si="35"/>
        <v>9.7348871184664905</v>
      </c>
      <c r="L29" s="32"/>
      <c r="M29" s="198" t="str">
        <f t="shared" si="7"/>
        <v>20</v>
      </c>
      <c r="N29" s="198" t="str">
        <f t="shared" si="7"/>
        <v>New Service - I&amp;C &lt; 10 Tj</v>
      </c>
      <c r="O29" s="52"/>
      <c r="P29" s="52"/>
      <c r="Q29" s="55">
        <f>'Capex Category Summary (Vic)'!AO54</f>
        <v>1.6904830675323694</v>
      </c>
      <c r="R29" s="54">
        <f>'Capex Category Summary (Vic)'!AP54</f>
        <v>1.7101960119400925</v>
      </c>
      <c r="S29" s="54">
        <f>'Capex Category Summary (Vic)'!AQ54</f>
        <v>1.7324661708476972</v>
      </c>
      <c r="T29" s="54">
        <f>'Capex Category Summary (Vic)'!AR54</f>
        <v>1.7578409216195876</v>
      </c>
      <c r="U29" s="95">
        <f>'Capex Category Summary (Vic)'!AS54</f>
        <v>1.785437996998571</v>
      </c>
      <c r="V29" s="52">
        <f t="shared" si="8"/>
        <v>8.6764241689383184</v>
      </c>
      <c r="W29" s="97"/>
      <c r="X29" s="198" t="str">
        <f t="shared" si="9"/>
        <v>20</v>
      </c>
      <c r="Y29" s="198" t="str">
        <f t="shared" si="9"/>
        <v>New Service - I&amp;C &lt; 10 Tj</v>
      </c>
      <c r="Z29" s="52"/>
      <c r="AA29" s="52"/>
      <c r="AB29" s="133">
        <f t="shared" si="1"/>
        <v>0.18991549539274752</v>
      </c>
      <c r="AC29" s="132">
        <f t="shared" si="2"/>
        <v>0.16869594087269243</v>
      </c>
      <c r="AD29" s="132">
        <f t="shared" si="3"/>
        <v>0.17863335758694351</v>
      </c>
      <c r="AE29" s="132">
        <f t="shared" si="4"/>
        <v>0.21594613538624363</v>
      </c>
      <c r="AF29" s="134">
        <f t="shared" si="5"/>
        <v>0.30527202028954631</v>
      </c>
      <c r="AG29" s="52">
        <f t="shared" si="36"/>
        <v>1.0584629495281734</v>
      </c>
      <c r="AH29" s="32"/>
    </row>
    <row r="30" spans="1:46" s="323" customFormat="1" ht="18" customHeight="1" thickBot="1" x14ac:dyDescent="0.25">
      <c r="A30" s="290"/>
      <c r="B30" s="98"/>
      <c r="C30" s="98" t="s">
        <v>46</v>
      </c>
      <c r="D30" s="99"/>
      <c r="E30" s="99"/>
      <c r="F30" s="100">
        <f>SUM(F10:F29)</f>
        <v>84.7882230677602</v>
      </c>
      <c r="G30" s="99">
        <f>SUM(G10:G29)</f>
        <v>84.551938833967739</v>
      </c>
      <c r="H30" s="99">
        <f>SUM(H10:H29)</f>
        <v>85.410956115790967</v>
      </c>
      <c r="I30" s="99">
        <f>SUM(I10:I29)</f>
        <v>83.257512625203887</v>
      </c>
      <c r="J30" s="101">
        <f>SUM(J10:J29)</f>
        <v>58.060080858334914</v>
      </c>
      <c r="K30" s="99">
        <f>SUM(F30:J30)</f>
        <v>396.06871150105769</v>
      </c>
      <c r="L30" s="290"/>
      <c r="M30" s="98"/>
      <c r="N30" s="98" t="s">
        <v>46</v>
      </c>
      <c r="O30" s="99"/>
      <c r="P30" s="99"/>
      <c r="Q30" s="100">
        <f>SUM(Q10:Q29)</f>
        <v>76.224827144751458</v>
      </c>
      <c r="R30" s="99">
        <f>SUM(R10:R29)</f>
        <v>76.960459796094739</v>
      </c>
      <c r="S30" s="99">
        <f>SUM(S10:S29)</f>
        <v>77.427465126092557</v>
      </c>
      <c r="T30" s="99">
        <f>SUM(T10:T29)</f>
        <v>74.14855731542599</v>
      </c>
      <c r="U30" s="101">
        <f>SUM(U10:U29)</f>
        <v>49.582521543443193</v>
      </c>
      <c r="V30" s="99">
        <f>SUM(Q30:U30)</f>
        <v>354.34383092580794</v>
      </c>
      <c r="W30" s="102"/>
      <c r="X30" s="98"/>
      <c r="Y30" s="98" t="s">
        <v>46</v>
      </c>
      <c r="Z30" s="99"/>
      <c r="AA30" s="99"/>
      <c r="AB30" s="100">
        <f>SUM(AB10:AB29)</f>
        <v>8.563395923008752</v>
      </c>
      <c r="AC30" s="99">
        <f>SUM(AC10:AC29)</f>
        <v>7.591479037873003</v>
      </c>
      <c r="AD30" s="99">
        <f>SUM(AD10:AD29)</f>
        <v>7.9834909896984056</v>
      </c>
      <c r="AE30" s="99">
        <f>SUM(AE10:AE29)</f>
        <v>9.1089553097779028</v>
      </c>
      <c r="AF30" s="101">
        <f>SUM(AF10:AF29)</f>
        <v>8.4775593148917245</v>
      </c>
      <c r="AG30" s="99">
        <f>SUM(AB30:AF30)</f>
        <v>41.724880575249784</v>
      </c>
      <c r="AH30" s="32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</row>
    <row r="31" spans="1:46" x14ac:dyDescent="0.2">
      <c r="A31" s="3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32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97"/>
      <c r="X31" s="103"/>
      <c r="Y31" s="103"/>
      <c r="Z31" s="52"/>
      <c r="AA31" s="54"/>
      <c r="AB31" s="54"/>
      <c r="AC31" s="54"/>
      <c r="AD31" s="54"/>
      <c r="AE31" s="54"/>
      <c r="AF31" s="54"/>
      <c r="AG31" s="54"/>
      <c r="AH31" s="32"/>
    </row>
    <row r="32" spans="1:46" ht="18" customHeight="1" x14ac:dyDescent="0.2">
      <c r="A32" s="32"/>
      <c r="B32" s="114" t="s">
        <v>44</v>
      </c>
      <c r="C32" s="104"/>
      <c r="D32" s="104"/>
      <c r="E32" s="104"/>
      <c r="F32" s="104"/>
      <c r="G32" s="104"/>
      <c r="H32" s="104"/>
      <c r="I32" s="104"/>
      <c r="J32" s="104"/>
      <c r="K32" s="104"/>
      <c r="L32" s="32"/>
      <c r="M32" s="114" t="s">
        <v>44</v>
      </c>
      <c r="N32" s="104"/>
      <c r="O32" s="104"/>
      <c r="P32" s="104"/>
      <c r="Q32" s="104"/>
      <c r="R32" s="104"/>
      <c r="S32" s="104"/>
      <c r="T32" s="104"/>
      <c r="U32" s="104"/>
      <c r="V32" s="428"/>
      <c r="W32" s="97"/>
      <c r="X32" s="114" t="s">
        <v>44</v>
      </c>
      <c r="Y32" s="104"/>
      <c r="Z32" s="52"/>
      <c r="AA32" s="52"/>
      <c r="AB32" s="52"/>
      <c r="AC32" s="52"/>
      <c r="AD32" s="52"/>
      <c r="AE32" s="52"/>
      <c r="AF32" s="52"/>
      <c r="AG32" s="52"/>
      <c r="AH32" s="32"/>
    </row>
    <row r="33" spans="1:46" ht="18" customHeight="1" x14ac:dyDescent="0.2">
      <c r="A33" s="32"/>
      <c r="B33" s="504">
        <f>'Capex Model Category Index'!B32</f>
        <v>21</v>
      </c>
      <c r="C33" s="198" t="str">
        <f>'Capex Model Category Index'!C32</f>
        <v>Telemetry</v>
      </c>
      <c r="D33" s="52"/>
      <c r="E33" s="52"/>
      <c r="F33" s="55">
        <f t="shared" ref="F33:J40" si="37">Q33+AB33</f>
        <v>0.30451714574997218</v>
      </c>
      <c r="G33" s="54">
        <f t="shared" si="37"/>
        <v>0.28933127682913617</v>
      </c>
      <c r="H33" s="54">
        <f t="shared" si="37"/>
        <v>0.28508626241141982</v>
      </c>
      <c r="I33" s="54">
        <f t="shared" si="37"/>
        <v>0.19082882634983295</v>
      </c>
      <c r="J33" s="95">
        <f t="shared" si="37"/>
        <v>0.17230659808500184</v>
      </c>
      <c r="K33" s="52">
        <f>SUM(F33:J33)</f>
        <v>1.242070109425363</v>
      </c>
      <c r="L33" s="32"/>
      <c r="M33" s="504">
        <f>B33</f>
        <v>21</v>
      </c>
      <c r="N33" s="198" t="str">
        <f>C33</f>
        <v>Telemetry</v>
      </c>
      <c r="O33" s="52"/>
      <c r="P33" s="52"/>
      <c r="Q33" s="55">
        <f>'Capex Category Summary (Vic)'!AO62</f>
        <v>0.27376168479028706</v>
      </c>
      <c r="R33" s="54">
        <f>'Capex Category Summary (Vic)'!AP62</f>
        <v>0.26335372559447401</v>
      </c>
      <c r="S33" s="54">
        <f>'Capex Category Summary (Vic)'!AQ62</f>
        <v>0.25843881914708228</v>
      </c>
      <c r="T33" s="54">
        <f>'Capex Category Summary (Vic)'!AR62</f>
        <v>0.169950815510583</v>
      </c>
      <c r="U33" s="95">
        <f>'Capex Category Summary (Vic)'!AS62</f>
        <v>0.14714749764942067</v>
      </c>
      <c r="V33" s="52">
        <f>SUM(Q33:U33)</f>
        <v>1.112652542691847</v>
      </c>
      <c r="W33" s="97"/>
      <c r="X33" s="504">
        <f>M33</f>
        <v>21</v>
      </c>
      <c r="Y33" s="198" t="str">
        <f>N33</f>
        <v>Telemetry</v>
      </c>
      <c r="Z33" s="52"/>
      <c r="AA33" s="52"/>
      <c r="AB33" s="55">
        <f>(Q33/Q$43)*Q$45</f>
        <v>3.0755460959685135E-2</v>
      </c>
      <c r="AC33" s="54">
        <f t="shared" ref="AC33:AF40" si="38">(R33/R$43)*R$45</f>
        <v>2.5977551234662159E-2</v>
      </c>
      <c r="AD33" s="54">
        <f t="shared" si="38"/>
        <v>2.6647443264337569E-2</v>
      </c>
      <c r="AE33" s="54">
        <f t="shared" si="38"/>
        <v>2.0878010839249946E-2</v>
      </c>
      <c r="AF33" s="95">
        <f t="shared" si="38"/>
        <v>2.5159100435581165E-2</v>
      </c>
      <c r="AG33" s="52">
        <f>SUM(AB33:AF33)</f>
        <v>0.12941756673351598</v>
      </c>
      <c r="AH33" s="32"/>
    </row>
    <row r="34" spans="1:46" ht="18" customHeight="1" x14ac:dyDescent="0.2">
      <c r="A34" s="32"/>
      <c r="B34" s="504">
        <f>'Capex Model Category Index'!B33</f>
        <v>22</v>
      </c>
      <c r="C34" s="198" t="str">
        <f>'Capex Model Category Index'!C33</f>
        <v>Regulators</v>
      </c>
      <c r="D34" s="52"/>
      <c r="E34" s="52"/>
      <c r="F34" s="55">
        <f t="shared" si="37"/>
        <v>2.7177364159270625</v>
      </c>
      <c r="G34" s="54">
        <f t="shared" si="37"/>
        <v>4.8811652357097017</v>
      </c>
      <c r="H34" s="54">
        <f t="shared" si="37"/>
        <v>11.043457399517511</v>
      </c>
      <c r="I34" s="54">
        <f t="shared" si="37"/>
        <v>6.3968506674660679</v>
      </c>
      <c r="J34" s="95">
        <f t="shared" si="37"/>
        <v>3.2844885388432874</v>
      </c>
      <c r="K34" s="52">
        <f t="shared" ref="K34:K40" si="39">SUM(F34:J34)</f>
        <v>28.323698257463629</v>
      </c>
      <c r="L34" s="32"/>
      <c r="M34" s="504">
        <f t="shared" ref="M34:N40" si="40">B34</f>
        <v>22</v>
      </c>
      <c r="N34" s="198" t="str">
        <f t="shared" si="40"/>
        <v>Regulators</v>
      </c>
      <c r="O34" s="52"/>
      <c r="P34" s="52"/>
      <c r="Q34" s="55">
        <f>'Capex Category Summary (Vic)'!AO63</f>
        <v>2.4432519167606737</v>
      </c>
      <c r="R34" s="54">
        <f>'Capex Category Summary (Vic)'!AP63</f>
        <v>4.4429107843239208</v>
      </c>
      <c r="S34" s="54">
        <f>'Capex Category Summary (Vic)'!AQ63</f>
        <v>10.011208767098022</v>
      </c>
      <c r="T34" s="54">
        <f>'Capex Category Summary (Vic)'!AR63</f>
        <v>5.6969903783943021</v>
      </c>
      <c r="U34" s="95">
        <f>'Capex Category Summary (Vic)'!AS63</f>
        <v>2.8049086623518003</v>
      </c>
      <c r="V34" s="52">
        <f t="shared" ref="V34:V40" si="41">SUM(Q34:U34)</f>
        <v>25.399270508928716</v>
      </c>
      <c r="W34" s="97"/>
      <c r="X34" s="504">
        <f t="shared" ref="X34:Y40" si="42">M34</f>
        <v>22</v>
      </c>
      <c r="Y34" s="198" t="str">
        <f t="shared" si="42"/>
        <v>Regulators</v>
      </c>
      <c r="Z34" s="52"/>
      <c r="AA34" s="52"/>
      <c r="AB34" s="55">
        <f t="shared" ref="AB34:AB40" si="43">(Q34/Q$43)*Q$45</f>
        <v>0.2744844991663889</v>
      </c>
      <c r="AC34" s="54">
        <f t="shared" si="38"/>
        <v>0.4382544513857809</v>
      </c>
      <c r="AD34" s="54">
        <f t="shared" si="38"/>
        <v>1.0322486324194893</v>
      </c>
      <c r="AE34" s="54">
        <f t="shared" si="38"/>
        <v>0.69986028907176556</v>
      </c>
      <c r="AF34" s="95">
        <f t="shared" si="38"/>
        <v>0.47957987649148714</v>
      </c>
      <c r="AG34" s="52">
        <f t="shared" ref="AG34:AG40" si="44">SUM(AB34:AF34)</f>
        <v>2.9244277485349115</v>
      </c>
      <c r="AH34" s="32"/>
    </row>
    <row r="35" spans="1:46" ht="18" customHeight="1" x14ac:dyDescent="0.2">
      <c r="A35" s="32"/>
      <c r="B35" s="504">
        <f>'Capex Model Category Index'!B34</f>
        <v>23</v>
      </c>
      <c r="C35" s="198" t="str">
        <f>'Capex Model Category Index'!C34</f>
        <v>Information Technology</v>
      </c>
      <c r="D35" s="52"/>
      <c r="E35" s="52"/>
      <c r="F35" s="55">
        <f t="shared" si="37"/>
        <v>12.47138930501788</v>
      </c>
      <c r="G35" s="54">
        <f t="shared" si="37"/>
        <v>26.014396012558972</v>
      </c>
      <c r="H35" s="54">
        <f t="shared" si="37"/>
        <v>17.886496967997672</v>
      </c>
      <c r="I35" s="54">
        <f t="shared" si="37"/>
        <v>5.8429214602968482</v>
      </c>
      <c r="J35" s="95">
        <f t="shared" si="37"/>
        <v>7.1795909124785995</v>
      </c>
      <c r="K35" s="52">
        <f t="shared" si="39"/>
        <v>69.39479465834998</v>
      </c>
      <c r="L35" s="32"/>
      <c r="M35" s="504">
        <f t="shared" si="40"/>
        <v>23</v>
      </c>
      <c r="N35" s="198" t="str">
        <f t="shared" si="40"/>
        <v>Information Technology</v>
      </c>
      <c r="O35" s="52"/>
      <c r="P35" s="52"/>
      <c r="Q35" s="55">
        <f>'Capex Category Summary (Vic)'!AO64</f>
        <v>11.21181055145094</v>
      </c>
      <c r="R35" s="54">
        <f>'Capex Category Summary (Vic)'!AP64</f>
        <v>23.678698632513441</v>
      </c>
      <c r="S35" s="54">
        <f>'Capex Category Summary (Vic)'!AQ64</f>
        <v>16.214619098047489</v>
      </c>
      <c r="T35" s="54">
        <f>'Capex Category Summary (Vic)'!AR64</f>
        <v>5.2036649081586992</v>
      </c>
      <c r="U35" s="95">
        <f>'Capex Category Summary (Vic)'!AS64</f>
        <v>6.1312732574325288</v>
      </c>
      <c r="V35" s="52">
        <f t="shared" si="41"/>
        <v>62.440066447603101</v>
      </c>
      <c r="W35" s="97"/>
      <c r="X35" s="504">
        <f t="shared" si="42"/>
        <v>23</v>
      </c>
      <c r="Y35" s="198" t="str">
        <f t="shared" si="42"/>
        <v>Information Technology</v>
      </c>
      <c r="Z35" s="52"/>
      <c r="AA35" s="52"/>
      <c r="AB35" s="55">
        <f t="shared" si="43"/>
        <v>1.2595787535669398</v>
      </c>
      <c r="AC35" s="54">
        <f t="shared" si="38"/>
        <v>2.3356973800455312</v>
      </c>
      <c r="AD35" s="54">
        <f t="shared" si="38"/>
        <v>1.6718778699501846</v>
      </c>
      <c r="AE35" s="54">
        <f t="shared" si="38"/>
        <v>0.6392565521381488</v>
      </c>
      <c r="AF35" s="95">
        <f t="shared" si="38"/>
        <v>1.0483176550460709</v>
      </c>
      <c r="AG35" s="52">
        <f t="shared" si="44"/>
        <v>6.9547282107468753</v>
      </c>
      <c r="AH35" s="32"/>
    </row>
    <row r="36" spans="1:46" ht="18" customHeight="1" x14ac:dyDescent="0.2">
      <c r="A36" s="32"/>
      <c r="B36" s="504">
        <f>'Capex Model Category Index'!B35</f>
        <v>24</v>
      </c>
      <c r="C36" s="198" t="str">
        <f>'Capex Model Category Index'!C35</f>
        <v>Other Distribution System</v>
      </c>
      <c r="D36" s="52"/>
      <c r="E36" s="52"/>
      <c r="F36" s="55">
        <f t="shared" si="37"/>
        <v>0.66370116713038818</v>
      </c>
      <c r="G36" s="54">
        <f t="shared" si="37"/>
        <v>0.36784973194191695</v>
      </c>
      <c r="H36" s="54">
        <f t="shared" si="37"/>
        <v>0.38800662489251225</v>
      </c>
      <c r="I36" s="54">
        <f t="shared" si="37"/>
        <v>0.39131093077535145</v>
      </c>
      <c r="J36" s="95">
        <f t="shared" si="37"/>
        <v>0.41118056535823816</v>
      </c>
      <c r="K36" s="52">
        <f t="shared" si="39"/>
        <v>2.2220490200984071</v>
      </c>
      <c r="L36" s="32"/>
      <c r="M36" s="504">
        <f t="shared" si="40"/>
        <v>24</v>
      </c>
      <c r="N36" s="198" t="str">
        <f t="shared" si="40"/>
        <v>Other Distribution System</v>
      </c>
      <c r="O36" s="52"/>
      <c r="P36" s="52"/>
      <c r="Q36" s="55">
        <f>'Capex Category Summary (Vic)'!AO65</f>
        <v>0.59666902913926168</v>
      </c>
      <c r="R36" s="54">
        <f>'Capex Category Summary (Vic)'!AP65</f>
        <v>0.33482241680715857</v>
      </c>
      <c r="S36" s="54">
        <f>'Capex Category Summary (Vic)'!AQ65</f>
        <v>0.35173905999635063</v>
      </c>
      <c r="T36" s="54">
        <f>'Capex Category Summary (Vic)'!AR65</f>
        <v>0.34849877282984448</v>
      </c>
      <c r="U36" s="95">
        <f>'Capex Category Summary (Vic)'!AS65</f>
        <v>0.35114262568570381</v>
      </c>
      <c r="V36" s="52">
        <f t="shared" si="41"/>
        <v>1.9828719044583192</v>
      </c>
      <c r="W36" s="97"/>
      <c r="X36" s="504">
        <f t="shared" si="42"/>
        <v>24</v>
      </c>
      <c r="Y36" s="198" t="str">
        <f t="shared" si="42"/>
        <v>Other Distribution System</v>
      </c>
      <c r="Z36" s="52"/>
      <c r="AA36" s="52"/>
      <c r="AB36" s="55">
        <f t="shared" si="43"/>
        <v>6.7032137991126478E-2</v>
      </c>
      <c r="AC36" s="54">
        <f t="shared" si="38"/>
        <v>3.3027315134758352E-2</v>
      </c>
      <c r="AD36" s="54">
        <f t="shared" si="38"/>
        <v>3.6267564896161612E-2</v>
      </c>
      <c r="AE36" s="54">
        <f t="shared" si="38"/>
        <v>4.2812157945506989E-2</v>
      </c>
      <c r="AF36" s="95">
        <f t="shared" si="38"/>
        <v>6.0037939672534325E-2</v>
      </c>
      <c r="AG36" s="52">
        <f t="shared" si="44"/>
        <v>0.23917711564008776</v>
      </c>
      <c r="AH36" s="32"/>
    </row>
    <row r="37" spans="1:46" ht="18" customHeight="1" x14ac:dyDescent="0.2">
      <c r="A37" s="32"/>
      <c r="B37" s="504">
        <f>'Capex Model Category Index'!B36</f>
        <v>25</v>
      </c>
      <c r="C37" s="198" t="str">
        <f>'Capex Model Category Index'!C36</f>
        <v>Other Non-Distribution System</v>
      </c>
      <c r="D37" s="52"/>
      <c r="E37" s="52"/>
      <c r="F37" s="55">
        <f t="shared" si="37"/>
        <v>1.826491000014828</v>
      </c>
      <c r="G37" s="54">
        <f t="shared" si="37"/>
        <v>1.8154359458662426</v>
      </c>
      <c r="H37" s="54">
        <f t="shared" si="37"/>
        <v>1.3655906922192145</v>
      </c>
      <c r="I37" s="54">
        <f t="shared" si="37"/>
        <v>2.4874849480394641</v>
      </c>
      <c r="J37" s="95">
        <f t="shared" si="37"/>
        <v>1.1441653959169544</v>
      </c>
      <c r="K37" s="52">
        <f t="shared" si="39"/>
        <v>8.6391679820567049</v>
      </c>
      <c r="L37" s="32"/>
      <c r="M37" s="504">
        <f t="shared" si="40"/>
        <v>25</v>
      </c>
      <c r="N37" s="198" t="str">
        <f t="shared" si="40"/>
        <v>Other Non-Distribution System</v>
      </c>
      <c r="O37" s="52"/>
      <c r="P37" s="52"/>
      <c r="Q37" s="55">
        <f>'Capex Category Summary (Vic)'!AO66</f>
        <v>1.6420200320309919</v>
      </c>
      <c r="R37" s="54">
        <f>'Capex Category Summary (Vic)'!AP66</f>
        <v>1.6524373899761435</v>
      </c>
      <c r="S37" s="54">
        <f>'Capex Category Summary (Vic)'!AQ66</f>
        <v>1.2379468689587876</v>
      </c>
      <c r="T37" s="54">
        <f>'Capex Category Summary (Vic)'!AR66</f>
        <v>2.2153366636265388</v>
      </c>
      <c r="U37" s="95">
        <f>'Capex Category Summary (Vic)'!AS66</f>
        <v>0.97710172899579328</v>
      </c>
      <c r="V37" s="52">
        <f t="shared" si="41"/>
        <v>7.7248426835882551</v>
      </c>
      <c r="W37" s="97"/>
      <c r="X37" s="504">
        <f t="shared" si="42"/>
        <v>25</v>
      </c>
      <c r="Y37" s="198" t="str">
        <f t="shared" si="42"/>
        <v>Other Non-Distribution System</v>
      </c>
      <c r="Z37" s="52"/>
      <c r="AA37" s="52"/>
      <c r="AB37" s="55">
        <f t="shared" si="43"/>
        <v>0.18447096798383619</v>
      </c>
      <c r="AC37" s="54">
        <f t="shared" si="38"/>
        <v>0.16299855589009907</v>
      </c>
      <c r="AD37" s="54">
        <f t="shared" si="38"/>
        <v>0.127643823260427</v>
      </c>
      <c r="AE37" s="54">
        <f t="shared" si="38"/>
        <v>0.27214828441292505</v>
      </c>
      <c r="AF37" s="95">
        <f t="shared" si="38"/>
        <v>0.16706366692116123</v>
      </c>
      <c r="AG37" s="52">
        <f t="shared" si="44"/>
        <v>0.91432529846844857</v>
      </c>
      <c r="AH37" s="32"/>
    </row>
    <row r="38" spans="1:46" ht="18" customHeight="1" x14ac:dyDescent="0.2">
      <c r="A38" s="32"/>
      <c r="B38" s="504">
        <f>'Capex Model Category Index'!B37</f>
        <v>26</v>
      </c>
      <c r="C38" s="198" t="str">
        <f>'Capex Model Category Index'!C37</f>
        <v>Large Consumers</v>
      </c>
      <c r="D38" s="52"/>
      <c r="E38" s="52"/>
      <c r="F38" s="55">
        <f t="shared" si="37"/>
        <v>0</v>
      </c>
      <c r="G38" s="54">
        <f t="shared" si="37"/>
        <v>0</v>
      </c>
      <c r="H38" s="54">
        <f t="shared" si="37"/>
        <v>0</v>
      </c>
      <c r="I38" s="54">
        <f t="shared" si="37"/>
        <v>0</v>
      </c>
      <c r="J38" s="95">
        <f t="shared" si="37"/>
        <v>0</v>
      </c>
      <c r="K38" s="52">
        <f t="shared" si="39"/>
        <v>0</v>
      </c>
      <c r="L38" s="32"/>
      <c r="M38" s="504">
        <f t="shared" si="40"/>
        <v>26</v>
      </c>
      <c r="N38" s="198" t="str">
        <f t="shared" si="40"/>
        <v>Large Consumers</v>
      </c>
      <c r="O38" s="52"/>
      <c r="P38" s="52"/>
      <c r="Q38" s="55">
        <f>'Capex Category Summary (Vic)'!AO67</f>
        <v>0</v>
      </c>
      <c r="R38" s="54">
        <f>'Capex Category Summary (Vic)'!AP67</f>
        <v>0</v>
      </c>
      <c r="S38" s="54">
        <f>'Capex Category Summary (Vic)'!AQ67</f>
        <v>0</v>
      </c>
      <c r="T38" s="54">
        <f>'Capex Category Summary (Vic)'!AR67</f>
        <v>0</v>
      </c>
      <c r="U38" s="95">
        <f>'Capex Category Summary (Vic)'!AS67</f>
        <v>0</v>
      </c>
      <c r="V38" s="52">
        <f t="shared" si="41"/>
        <v>0</v>
      </c>
      <c r="W38" s="97"/>
      <c r="X38" s="504">
        <f t="shared" si="42"/>
        <v>26</v>
      </c>
      <c r="Y38" s="198" t="str">
        <f t="shared" si="42"/>
        <v>Large Consumers</v>
      </c>
      <c r="Z38" s="52"/>
      <c r="AA38" s="52"/>
      <c r="AB38" s="55">
        <f t="shared" si="43"/>
        <v>0</v>
      </c>
      <c r="AC38" s="54">
        <f t="shared" si="38"/>
        <v>0</v>
      </c>
      <c r="AD38" s="54">
        <f t="shared" si="38"/>
        <v>0</v>
      </c>
      <c r="AE38" s="54">
        <f t="shared" si="38"/>
        <v>0</v>
      </c>
      <c r="AF38" s="95">
        <f t="shared" si="38"/>
        <v>0</v>
      </c>
      <c r="AG38" s="52">
        <f t="shared" si="44"/>
        <v>0</v>
      </c>
      <c r="AH38" s="32"/>
    </row>
    <row r="39" spans="1:46" ht="18" customHeight="1" x14ac:dyDescent="0.2">
      <c r="A39" s="32"/>
      <c r="B39" s="504">
        <f>'Capex Model Category Index'!B38</f>
        <v>27</v>
      </c>
      <c r="C39" s="198" t="str">
        <f>'Capex Model Category Index'!C38</f>
        <v>Mains Augmentation</v>
      </c>
      <c r="D39" s="52"/>
      <c r="E39" s="52"/>
      <c r="F39" s="55">
        <f t="shared" si="37"/>
        <v>10.37912643213426</v>
      </c>
      <c r="G39" s="54">
        <f t="shared" si="37"/>
        <v>13.311307038428371</v>
      </c>
      <c r="H39" s="54">
        <f t="shared" si="37"/>
        <v>8.301323771340984</v>
      </c>
      <c r="I39" s="54">
        <f t="shared" si="37"/>
        <v>3.9872747368715866</v>
      </c>
      <c r="J39" s="95">
        <f t="shared" si="37"/>
        <v>2.6019535926648838</v>
      </c>
      <c r="K39" s="52">
        <f t="shared" si="39"/>
        <v>38.580985571440081</v>
      </c>
      <c r="L39" s="32"/>
      <c r="M39" s="504">
        <f t="shared" si="40"/>
        <v>27</v>
      </c>
      <c r="N39" s="198" t="str">
        <f t="shared" si="40"/>
        <v>Mains Augmentation</v>
      </c>
      <c r="O39" s="52"/>
      <c r="P39" s="52"/>
      <c r="Q39" s="55">
        <f>'Capex Category Summary (Vic)'!AO68</f>
        <v>9.3308609330177124</v>
      </c>
      <c r="R39" s="54">
        <f>'Capex Category Summary (Vic)'!AP68</f>
        <v>12.116153979344128</v>
      </c>
      <c r="S39" s="54">
        <f>'Capex Category Summary (Vic)'!AQ68</f>
        <v>7.5253865081961555</v>
      </c>
      <c r="T39" s="54">
        <f>'Capex Category Summary (Vic)'!AR68</f>
        <v>3.5510389397553648</v>
      </c>
      <c r="U39" s="95">
        <f>'Capex Category Summary (Vic)'!AS68</f>
        <v>2.2220330760153524</v>
      </c>
      <c r="V39" s="52">
        <f t="shared" si="41"/>
        <v>34.745473436328709</v>
      </c>
      <c r="W39" s="97"/>
      <c r="X39" s="504">
        <f t="shared" si="42"/>
        <v>27</v>
      </c>
      <c r="Y39" s="198" t="str">
        <f t="shared" si="42"/>
        <v>Mains Augmentation</v>
      </c>
      <c r="Z39" s="52"/>
      <c r="AA39" s="52"/>
      <c r="AB39" s="55">
        <f t="shared" si="43"/>
        <v>1.0482654991165485</v>
      </c>
      <c r="AC39" s="54">
        <f t="shared" si="38"/>
        <v>1.195153059084243</v>
      </c>
      <c r="AD39" s="54">
        <f t="shared" si="38"/>
        <v>0.77593726314482903</v>
      </c>
      <c r="AE39" s="54">
        <f t="shared" si="38"/>
        <v>0.4362357971162219</v>
      </c>
      <c r="AF39" s="95">
        <f t="shared" si="38"/>
        <v>0.37992051664953141</v>
      </c>
      <c r="AG39" s="52">
        <f t="shared" si="44"/>
        <v>3.8355121351113737</v>
      </c>
      <c r="AH39" s="32"/>
    </row>
    <row r="40" spans="1:46" ht="18" customHeight="1" x14ac:dyDescent="0.2">
      <c r="A40" s="32"/>
      <c r="B40" s="504">
        <f>'Capex Model Category Index'!B39</f>
        <v>28</v>
      </c>
      <c r="C40" s="198" t="str">
        <f>'Capex Model Category Index'!C39</f>
        <v>Growth New Areas</v>
      </c>
      <c r="D40" s="52"/>
      <c r="E40" s="52"/>
      <c r="F40" s="55">
        <f t="shared" si="37"/>
        <v>0</v>
      </c>
      <c r="G40" s="54">
        <f t="shared" si="37"/>
        <v>0</v>
      </c>
      <c r="H40" s="54">
        <f t="shared" si="37"/>
        <v>0</v>
      </c>
      <c r="I40" s="54">
        <f t="shared" si="37"/>
        <v>0</v>
      </c>
      <c r="J40" s="95">
        <f t="shared" si="37"/>
        <v>0</v>
      </c>
      <c r="K40" s="52">
        <f t="shared" si="39"/>
        <v>0</v>
      </c>
      <c r="L40" s="32"/>
      <c r="M40" s="504">
        <f t="shared" si="40"/>
        <v>28</v>
      </c>
      <c r="N40" s="198" t="str">
        <f t="shared" si="40"/>
        <v>Growth New Areas</v>
      </c>
      <c r="O40" s="52"/>
      <c r="P40" s="52"/>
      <c r="Q40" s="55">
        <f>'Capex Category Summary (Vic)'!AO69</f>
        <v>0</v>
      </c>
      <c r="R40" s="54">
        <f>'Capex Category Summary (Vic)'!AP69</f>
        <v>0</v>
      </c>
      <c r="S40" s="54">
        <f>'Capex Category Summary (Vic)'!AQ69</f>
        <v>0</v>
      </c>
      <c r="T40" s="54">
        <f>'Capex Category Summary (Vic)'!AR69</f>
        <v>0</v>
      </c>
      <c r="U40" s="95">
        <f>'Capex Category Summary (Vic)'!AS69</f>
        <v>0</v>
      </c>
      <c r="V40" s="52">
        <f t="shared" si="41"/>
        <v>0</v>
      </c>
      <c r="W40" s="97"/>
      <c r="X40" s="504">
        <f t="shared" si="42"/>
        <v>28</v>
      </c>
      <c r="Y40" s="198" t="str">
        <f t="shared" si="42"/>
        <v>Growth New Areas</v>
      </c>
      <c r="Z40" s="52"/>
      <c r="AA40" s="52"/>
      <c r="AB40" s="133">
        <f t="shared" si="43"/>
        <v>0</v>
      </c>
      <c r="AC40" s="132">
        <f t="shared" si="38"/>
        <v>0</v>
      </c>
      <c r="AD40" s="132">
        <f t="shared" si="38"/>
        <v>0</v>
      </c>
      <c r="AE40" s="132">
        <f t="shared" si="38"/>
        <v>0</v>
      </c>
      <c r="AF40" s="134">
        <f t="shared" si="38"/>
        <v>0</v>
      </c>
      <c r="AG40" s="52">
        <f t="shared" si="44"/>
        <v>0</v>
      </c>
      <c r="AH40" s="32"/>
    </row>
    <row r="41" spans="1:46" s="323" customFormat="1" ht="18" customHeight="1" thickBot="1" x14ac:dyDescent="0.25">
      <c r="A41" s="290"/>
      <c r="B41" s="98"/>
      <c r="C41" s="98" t="s">
        <v>46</v>
      </c>
      <c r="D41" s="99"/>
      <c r="E41" s="99"/>
      <c r="F41" s="100">
        <f>SUM(F33:F40)</f>
        <v>28.36296146597439</v>
      </c>
      <c r="G41" s="99">
        <f t="shared" ref="G41:J41" si="45">SUM(G33:G40)</f>
        <v>46.679485241334334</v>
      </c>
      <c r="H41" s="99">
        <f t="shared" si="45"/>
        <v>39.269961718379314</v>
      </c>
      <c r="I41" s="99">
        <f t="shared" si="45"/>
        <v>19.296671569799148</v>
      </c>
      <c r="J41" s="101">
        <f t="shared" si="45"/>
        <v>14.793685603346965</v>
      </c>
      <c r="K41" s="99">
        <f>SUM(F41:J41)</f>
        <v>148.40276559883415</v>
      </c>
      <c r="L41" s="290"/>
      <c r="M41" s="98"/>
      <c r="N41" s="98" t="s">
        <v>46</v>
      </c>
      <c r="O41" s="99"/>
      <c r="P41" s="99"/>
      <c r="Q41" s="100">
        <f>SUM(Q33:Q40)</f>
        <v>25.498374147189871</v>
      </c>
      <c r="R41" s="99">
        <f t="shared" ref="R41:U41" si="46">SUM(R33:R40)</f>
        <v>42.488376928559269</v>
      </c>
      <c r="S41" s="99">
        <f t="shared" si="46"/>
        <v>35.599339121443883</v>
      </c>
      <c r="T41" s="99">
        <f t="shared" si="46"/>
        <v>17.185480478275331</v>
      </c>
      <c r="U41" s="101">
        <f t="shared" si="46"/>
        <v>12.633606848130597</v>
      </c>
      <c r="V41" s="99">
        <f>SUM(Q41:U41)</f>
        <v>133.40517752359895</v>
      </c>
      <c r="W41" s="102"/>
      <c r="X41" s="98"/>
      <c r="Y41" s="98" t="s">
        <v>46</v>
      </c>
      <c r="Z41" s="99"/>
      <c r="AA41" s="99"/>
      <c r="AB41" s="144">
        <f>SUM(AB33:AB40)</f>
        <v>2.8645873187845252</v>
      </c>
      <c r="AC41" s="145">
        <f t="shared" ref="AC41:AF41" si="47">SUM(AC33:AC40)</f>
        <v>4.191108312775075</v>
      </c>
      <c r="AD41" s="145">
        <f t="shared" si="47"/>
        <v>3.6706225969354285</v>
      </c>
      <c r="AE41" s="145">
        <f t="shared" si="47"/>
        <v>2.1111910915238181</v>
      </c>
      <c r="AF41" s="300">
        <f t="shared" si="47"/>
        <v>2.1600787552163663</v>
      </c>
      <c r="AG41" s="99">
        <f>SUM(AB41:AF41)</f>
        <v>14.997588075235212</v>
      </c>
      <c r="AH41" s="32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</row>
    <row r="42" spans="1:46" ht="15" x14ac:dyDescent="0.25">
      <c r="A42" s="32"/>
      <c r="B42" s="105"/>
      <c r="C42" s="105"/>
      <c r="D42" s="57"/>
      <c r="E42" s="57"/>
      <c r="F42" s="57"/>
      <c r="G42" s="57"/>
      <c r="H42" s="57"/>
      <c r="I42" s="57"/>
      <c r="J42" s="57"/>
      <c r="K42" s="57"/>
      <c r="L42" s="32"/>
      <c r="M42" s="105"/>
      <c r="N42" s="105"/>
      <c r="O42" s="57"/>
      <c r="P42" s="57"/>
      <c r="Q42" s="57"/>
      <c r="R42" s="57"/>
      <c r="S42" s="57"/>
      <c r="T42" s="57"/>
      <c r="U42" s="57"/>
      <c r="V42" s="57"/>
      <c r="W42" s="106"/>
      <c r="X42" s="105"/>
      <c r="Y42" s="105"/>
      <c r="Z42" s="57"/>
      <c r="AA42" s="57"/>
      <c r="AB42" s="57"/>
      <c r="AC42" s="57"/>
      <c r="AD42" s="57"/>
      <c r="AE42" s="57"/>
      <c r="AF42" s="57"/>
      <c r="AG42" s="57"/>
      <c r="AH42" s="32"/>
    </row>
    <row r="43" spans="1:46" ht="15.75" thickBot="1" x14ac:dyDescent="0.25">
      <c r="A43" s="32"/>
      <c r="B43" s="98"/>
      <c r="C43" s="149" t="s">
        <v>228</v>
      </c>
      <c r="D43" s="99"/>
      <c r="E43" s="99"/>
      <c r="F43" s="100">
        <f>F30+F41</f>
        <v>113.15118453373459</v>
      </c>
      <c r="G43" s="99">
        <f t="shared" ref="G43:J43" si="48">G30+G41</f>
        <v>131.23142407530207</v>
      </c>
      <c r="H43" s="99">
        <f t="shared" si="48"/>
        <v>124.68091783417029</v>
      </c>
      <c r="I43" s="99">
        <f t="shared" si="48"/>
        <v>102.55418419500303</v>
      </c>
      <c r="J43" s="101">
        <f t="shared" si="48"/>
        <v>72.853766461681886</v>
      </c>
      <c r="K43" s="99">
        <f>SUM(F43:J43)</f>
        <v>544.47147709989179</v>
      </c>
      <c r="L43" s="32"/>
      <c r="M43" s="98"/>
      <c r="N43" s="149" t="s">
        <v>227</v>
      </c>
      <c r="O43" s="99"/>
      <c r="P43" s="99"/>
      <c r="Q43" s="100">
        <f>Q30+Q41</f>
        <v>101.72320129194134</v>
      </c>
      <c r="R43" s="99">
        <f t="shared" ref="R43:U43" si="49">R30+R41</f>
        <v>119.448836724654</v>
      </c>
      <c r="S43" s="99">
        <f t="shared" si="49"/>
        <v>113.02680424753643</v>
      </c>
      <c r="T43" s="99">
        <f t="shared" si="49"/>
        <v>91.334037793701327</v>
      </c>
      <c r="U43" s="101">
        <f t="shared" si="49"/>
        <v>62.21612839157379</v>
      </c>
      <c r="V43" s="99">
        <f>SUM(Q43:U43)</f>
        <v>487.74900844940692</v>
      </c>
      <c r="W43" s="106"/>
      <c r="X43" s="98"/>
      <c r="Y43" s="149" t="s">
        <v>194</v>
      </c>
      <c r="Z43" s="99"/>
      <c r="AA43" s="99"/>
      <c r="AB43" s="99">
        <f>AB30+AB41</f>
        <v>11.427983241793278</v>
      </c>
      <c r="AC43" s="99">
        <f t="shared" ref="AC43:AF43" si="50">AC30+AC41</f>
        <v>11.782587350648079</v>
      </c>
      <c r="AD43" s="99">
        <f t="shared" si="50"/>
        <v>11.654113586633834</v>
      </c>
      <c r="AE43" s="99">
        <f t="shared" si="50"/>
        <v>11.22014640130172</v>
      </c>
      <c r="AF43" s="99">
        <f t="shared" si="50"/>
        <v>10.637638070108091</v>
      </c>
      <c r="AG43" s="100">
        <f>SUM(AB43:AF43)</f>
        <v>56.722468650484998</v>
      </c>
      <c r="AH43" s="32"/>
    </row>
    <row r="44" spans="1:46" ht="15" x14ac:dyDescent="0.25">
      <c r="A44" s="32"/>
      <c r="B44" s="305"/>
      <c r="C44" s="305" t="s">
        <v>11</v>
      </c>
      <c r="D44" s="50"/>
      <c r="E44" s="50"/>
      <c r="F44" s="50">
        <f>F43-Q47</f>
        <v>0</v>
      </c>
      <c r="G44" s="50">
        <f>G43-R47</f>
        <v>0</v>
      </c>
      <c r="H44" s="50">
        <f>H43-S47</f>
        <v>0</v>
      </c>
      <c r="I44" s="50">
        <f>I43-T47</f>
        <v>0</v>
      </c>
      <c r="J44" s="50">
        <f>J43-U47</f>
        <v>0</v>
      </c>
      <c r="K44" s="57"/>
      <c r="L44" s="32"/>
      <c r="M44" s="105"/>
      <c r="N44" s="105"/>
      <c r="O44" s="57"/>
      <c r="P44" s="57"/>
      <c r="Q44" s="57"/>
      <c r="R44" s="57"/>
      <c r="S44" s="57"/>
      <c r="T44" s="57"/>
      <c r="U44" s="57"/>
      <c r="V44" s="57"/>
      <c r="W44" s="106"/>
      <c r="X44" s="105"/>
      <c r="Y44" s="305" t="s">
        <v>11</v>
      </c>
      <c r="Z44" s="50"/>
      <c r="AA44" s="50"/>
      <c r="AB44" s="50">
        <f>Q45-AB43</f>
        <v>0</v>
      </c>
      <c r="AC44" s="50">
        <f t="shared" ref="AC44:AG44" si="51">R45-AC43</f>
        <v>0</v>
      </c>
      <c r="AD44" s="50">
        <f t="shared" si="51"/>
        <v>0</v>
      </c>
      <c r="AE44" s="50">
        <f t="shared" si="51"/>
        <v>0</v>
      </c>
      <c r="AF44" s="50">
        <f t="shared" si="51"/>
        <v>0</v>
      </c>
      <c r="AG44" s="50">
        <f t="shared" si="51"/>
        <v>0</v>
      </c>
      <c r="AH44" s="32"/>
    </row>
    <row r="45" spans="1:46" ht="19.5" customHeight="1" thickBo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98"/>
      <c r="N45" s="149" t="s">
        <v>61</v>
      </c>
      <c r="O45" s="99"/>
      <c r="P45" s="99"/>
      <c r="Q45" s="100">
        <f>Overheads!C51</f>
        <v>11.427983241793278</v>
      </c>
      <c r="R45" s="99">
        <f>Overheads!D51</f>
        <v>11.782587350648077</v>
      </c>
      <c r="S45" s="99">
        <f>Overheads!E51</f>
        <v>11.654113586633834</v>
      </c>
      <c r="T45" s="99">
        <f>Overheads!F51</f>
        <v>11.220146401301722</v>
      </c>
      <c r="U45" s="101">
        <f>Overheads!G51</f>
        <v>10.637638070108089</v>
      </c>
      <c r="V45" s="99">
        <f>SUM(Q45:U45)</f>
        <v>56.722468650485006</v>
      </c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32"/>
    </row>
    <row r="46" spans="1:46" ht="1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105"/>
      <c r="N46" s="105"/>
      <c r="O46" s="57"/>
      <c r="P46" s="57"/>
      <c r="Q46" s="57"/>
      <c r="R46" s="57"/>
      <c r="S46" s="57"/>
      <c r="T46" s="57"/>
      <c r="U46" s="57"/>
      <c r="V46" s="57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32"/>
    </row>
    <row r="47" spans="1:46" s="323" customFormat="1" ht="18.75" customHeight="1" thickBot="1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98"/>
      <c r="N47" s="149" t="s">
        <v>228</v>
      </c>
      <c r="O47" s="99"/>
      <c r="P47" s="99"/>
      <c r="Q47" s="100">
        <f>Q30+Q41+Q45</f>
        <v>113.15118453373461</v>
      </c>
      <c r="R47" s="99">
        <f t="shared" ref="R47:U47" si="52">R30+R41+R45</f>
        <v>131.23142407530207</v>
      </c>
      <c r="S47" s="99">
        <f t="shared" si="52"/>
        <v>124.68091783417026</v>
      </c>
      <c r="T47" s="99">
        <f t="shared" si="52"/>
        <v>102.55418419500305</v>
      </c>
      <c r="U47" s="101">
        <f t="shared" si="52"/>
        <v>72.853766461681886</v>
      </c>
      <c r="V47" s="99">
        <f>SUM(Q47:U47)</f>
        <v>544.47147709989179</v>
      </c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32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</row>
    <row r="48" spans="1:46" ht="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105"/>
      <c r="N48" s="105"/>
      <c r="O48" s="57"/>
      <c r="P48" s="57"/>
      <c r="Q48" s="57"/>
      <c r="R48" s="57"/>
      <c r="S48" s="57"/>
      <c r="T48" s="57"/>
      <c r="U48" s="57"/>
      <c r="V48" s="57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32"/>
    </row>
    <row r="49" spans="13:23" ht="15" x14ac:dyDescent="0.25">
      <c r="M49" s="107"/>
      <c r="N49" s="107"/>
      <c r="O49" s="108"/>
      <c r="P49" s="108"/>
      <c r="Q49" s="108"/>
      <c r="R49" s="108"/>
      <c r="S49" s="108"/>
      <c r="T49" s="108"/>
      <c r="U49" s="108"/>
      <c r="V49" s="108"/>
      <c r="W49" s="109"/>
    </row>
    <row r="50" spans="13:23" x14ac:dyDescent="0.2">
      <c r="M50" s="110"/>
      <c r="N50" s="110"/>
      <c r="O50" s="111"/>
      <c r="P50" s="111"/>
      <c r="Q50" s="112"/>
      <c r="R50" s="112"/>
      <c r="S50" s="112"/>
      <c r="T50" s="112"/>
      <c r="U50" s="112"/>
      <c r="V50" s="112"/>
      <c r="W50" s="113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zoomScale="80" zoomScaleNormal="80" workbookViewId="0">
      <selection activeCell="T22" sqref="T22"/>
    </sheetView>
  </sheetViews>
  <sheetFormatPr defaultRowHeight="14.25" x14ac:dyDescent="0.2"/>
  <cols>
    <col min="1" max="1" width="3.85546875" style="44" customWidth="1"/>
    <col min="2" max="2" width="5.28515625" style="44" customWidth="1"/>
    <col min="3" max="3" width="46.7109375" style="44" bestFit="1" customWidth="1"/>
    <col min="4" max="4" width="5.5703125" style="44" bestFit="1" customWidth="1"/>
    <col min="5" max="5" width="5.85546875" style="44" bestFit="1" customWidth="1"/>
    <col min="6" max="9" width="9.5703125" style="44" bestFit="1" customWidth="1"/>
    <col min="10" max="10" width="8.5703125" style="44" bestFit="1" customWidth="1"/>
    <col min="11" max="11" width="12.28515625" style="44" customWidth="1"/>
    <col min="12" max="13" width="3.85546875" style="44" customWidth="1"/>
    <col min="14" max="14" width="46.7109375" style="44" bestFit="1" customWidth="1"/>
    <col min="15" max="16" width="9.28515625" style="44" bestFit="1" customWidth="1"/>
    <col min="17" max="17" width="10.5703125" style="44" bestFit="1" customWidth="1"/>
    <col min="18" max="19" width="9.85546875" style="44" bestFit="1" customWidth="1"/>
    <col min="20" max="21" width="9.28515625" style="44" bestFit="1" customWidth="1"/>
    <col min="22" max="22" width="13.85546875" style="44" customWidth="1"/>
    <col min="23" max="23" width="4" style="44" customWidth="1"/>
    <col min="24" max="24" width="4.140625" style="44" customWidth="1"/>
    <col min="25" max="25" width="46.7109375" style="44" bestFit="1" customWidth="1"/>
    <col min="26" max="32" width="9.140625" style="44"/>
    <col min="33" max="33" width="11.28515625" style="44" customWidth="1"/>
    <col min="34" max="34" width="5.28515625" style="44" customWidth="1"/>
    <col min="35" max="35" width="4.42578125" style="44" customWidth="1"/>
    <col min="36" max="36" width="32" style="44" bestFit="1" customWidth="1"/>
    <col min="37" max="16384" width="9.140625" style="44"/>
  </cols>
  <sheetData>
    <row r="1" spans="1:34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24" customHeight="1" x14ac:dyDescent="0.25">
      <c r="A2" s="63"/>
      <c r="B2" s="340" t="s">
        <v>423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41"/>
      <c r="Q2" s="341"/>
      <c r="R2" s="341"/>
      <c r="S2" s="341"/>
      <c r="T2" s="341"/>
      <c r="U2" s="341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2"/>
    </row>
    <row r="3" spans="1:34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4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24" customHeight="1" x14ac:dyDescent="0.2">
      <c r="A5" s="32"/>
      <c r="B5" s="354" t="s">
        <v>230</v>
      </c>
      <c r="C5" s="354"/>
      <c r="D5" s="354"/>
      <c r="E5" s="354"/>
      <c r="F5" s="354"/>
      <c r="G5" s="354"/>
      <c r="H5" s="354"/>
      <c r="I5" s="354"/>
      <c r="J5" s="354"/>
      <c r="K5" s="354"/>
      <c r="L5" s="32"/>
      <c r="M5" s="354" t="s">
        <v>226</v>
      </c>
      <c r="N5" s="354"/>
      <c r="O5" s="354"/>
      <c r="P5" s="354"/>
      <c r="Q5" s="354"/>
      <c r="R5" s="354"/>
      <c r="S5" s="354"/>
      <c r="T5" s="354"/>
      <c r="U5" s="354"/>
      <c r="V5" s="354"/>
      <c r="W5" s="32"/>
      <c r="X5" s="354" t="s">
        <v>229</v>
      </c>
      <c r="Y5" s="354"/>
      <c r="Z5" s="354"/>
      <c r="AA5" s="354"/>
      <c r="AB5" s="354"/>
      <c r="AC5" s="354"/>
      <c r="AD5" s="354"/>
      <c r="AE5" s="354"/>
      <c r="AF5" s="354"/>
      <c r="AG5" s="354"/>
      <c r="AH5" s="32"/>
    </row>
    <row r="6" spans="1:34" ht="16.5" customHeight="1" x14ac:dyDescent="0.2">
      <c r="A6" s="322"/>
      <c r="B6" s="32"/>
      <c r="C6" s="32"/>
      <c r="D6" s="32"/>
      <c r="E6" s="32"/>
      <c r="F6" s="32"/>
      <c r="G6" s="32"/>
      <c r="H6" s="32"/>
      <c r="I6" s="32"/>
      <c r="J6" s="32"/>
      <c r="K6" s="32"/>
      <c r="L6" s="32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2.5" x14ac:dyDescent="0.2">
      <c r="A7" s="32"/>
      <c r="B7" s="299"/>
      <c r="C7" s="298"/>
      <c r="D7" s="3"/>
      <c r="E7" s="4"/>
      <c r="F7" s="5">
        <v>2018</v>
      </c>
      <c r="G7" s="4">
        <v>2019</v>
      </c>
      <c r="H7" s="4">
        <v>2020</v>
      </c>
      <c r="I7" s="4">
        <v>2021</v>
      </c>
      <c r="J7" s="6">
        <v>2022</v>
      </c>
      <c r="K7" s="3" t="s">
        <v>73</v>
      </c>
      <c r="L7" s="32"/>
      <c r="M7" s="299"/>
      <c r="N7" s="298"/>
      <c r="O7" s="3"/>
      <c r="P7" s="4"/>
      <c r="Q7" s="5">
        <v>2018</v>
      </c>
      <c r="R7" s="4">
        <v>2019</v>
      </c>
      <c r="S7" s="4">
        <v>2020</v>
      </c>
      <c r="T7" s="4">
        <v>2021</v>
      </c>
      <c r="U7" s="6">
        <v>2022</v>
      </c>
      <c r="V7" s="3" t="s">
        <v>73</v>
      </c>
      <c r="W7" s="45"/>
      <c r="X7" s="36"/>
      <c r="Y7" s="81"/>
      <c r="Z7" s="301"/>
      <c r="AA7" s="8"/>
      <c r="AB7" s="7">
        <v>2018</v>
      </c>
      <c r="AC7" s="8">
        <v>2019</v>
      </c>
      <c r="AD7" s="8">
        <v>2020</v>
      </c>
      <c r="AE7" s="8">
        <v>2021</v>
      </c>
      <c r="AF7" s="9">
        <v>2022</v>
      </c>
      <c r="AG7" s="301" t="s">
        <v>73</v>
      </c>
      <c r="AH7" s="32"/>
    </row>
    <row r="8" spans="1:34" x14ac:dyDescent="0.2">
      <c r="A8" s="32"/>
      <c r="B8" s="36"/>
      <c r="C8" s="81"/>
      <c r="D8" s="301"/>
      <c r="E8" s="8"/>
      <c r="F8" s="8"/>
      <c r="G8" s="8"/>
      <c r="H8" s="8"/>
      <c r="I8" s="8"/>
      <c r="J8" s="8"/>
      <c r="K8" s="301"/>
      <c r="L8" s="32"/>
      <c r="M8" s="36"/>
      <c r="N8" s="81"/>
      <c r="O8" s="301"/>
      <c r="P8" s="8"/>
      <c r="Q8" s="8"/>
      <c r="R8" s="8"/>
      <c r="S8" s="8"/>
      <c r="T8" s="8"/>
      <c r="U8" s="8"/>
      <c r="V8" s="301"/>
      <c r="W8" s="45"/>
      <c r="X8" s="38"/>
      <c r="Y8" s="182"/>
      <c r="Z8" s="303"/>
      <c r="AA8" s="304"/>
      <c r="AB8" s="304"/>
      <c r="AC8" s="304"/>
      <c r="AD8" s="304"/>
      <c r="AE8" s="304"/>
      <c r="AF8" s="304"/>
      <c r="AG8" s="303"/>
      <c r="AH8" s="32"/>
    </row>
    <row r="9" spans="1:34" ht="18" customHeight="1" x14ac:dyDescent="0.2">
      <c r="A9" s="32"/>
      <c r="B9" s="302" t="s">
        <v>43</v>
      </c>
      <c r="C9" s="81"/>
      <c r="D9" s="54"/>
      <c r="E9" s="54"/>
      <c r="F9" s="54"/>
      <c r="G9" s="54"/>
      <c r="H9" s="54"/>
      <c r="I9" s="54"/>
      <c r="J9" s="54"/>
      <c r="K9" s="54"/>
      <c r="L9" s="32"/>
      <c r="M9" s="302" t="s">
        <v>43</v>
      </c>
      <c r="N9" s="81"/>
      <c r="O9" s="54"/>
      <c r="P9" s="54"/>
      <c r="Q9" s="54"/>
      <c r="R9" s="54"/>
      <c r="S9" s="54"/>
      <c r="T9" s="54"/>
      <c r="U9" s="54"/>
      <c r="V9" s="54"/>
      <c r="W9" s="45"/>
      <c r="X9" s="302" t="s">
        <v>43</v>
      </c>
      <c r="Y9" s="81"/>
      <c r="Z9" s="54"/>
      <c r="AA9" s="54"/>
      <c r="AB9" s="54"/>
      <c r="AC9" s="54"/>
      <c r="AD9" s="54"/>
      <c r="AE9" s="54"/>
      <c r="AF9" s="54"/>
      <c r="AG9" s="54"/>
      <c r="AH9" s="32"/>
    </row>
    <row r="10" spans="1:34" ht="18" customHeight="1" x14ac:dyDescent="0.2">
      <c r="A10" s="32"/>
      <c r="B10" s="335" t="str">
        <f>'Capex Model Category Index'!B8</f>
        <v>01</v>
      </c>
      <c r="C10" s="335" t="str">
        <f>'Capex Model Category Index'!C8</f>
        <v>Meter Replacement - Meters &lt; 25m3</v>
      </c>
      <c r="D10" s="148"/>
      <c r="E10" s="52"/>
      <c r="F10" s="55">
        <f t="shared" ref="F10:J29" si="0">Q10+AB10</f>
        <v>0.26692643049548725</v>
      </c>
      <c r="G10" s="54">
        <f t="shared" si="0"/>
        <v>0.2641288314229262</v>
      </c>
      <c r="H10" s="54">
        <f t="shared" si="0"/>
        <v>0.26488934917079099</v>
      </c>
      <c r="I10" s="54">
        <f t="shared" si="0"/>
        <v>0.1409007127221667</v>
      </c>
      <c r="J10" s="95">
        <f t="shared" si="0"/>
        <v>0.14253502601326665</v>
      </c>
      <c r="K10" s="52">
        <f>SUM(F10:J10)</f>
        <v>1.0793803498246379</v>
      </c>
      <c r="L10" s="32"/>
      <c r="M10" s="335" t="str">
        <f>B10</f>
        <v>01</v>
      </c>
      <c r="N10" s="335" t="str">
        <f>C10</f>
        <v>Meter Replacement - Meters &lt; 25m3</v>
      </c>
      <c r="O10" s="148"/>
      <c r="P10" s="52"/>
      <c r="Q10" s="55">
        <f>'Capex Category Summary (Alb)'!AO10</f>
        <v>0.25241727247672341</v>
      </c>
      <c r="R10" s="54">
        <f>'Capex Category Summary (Alb)'!AP10</f>
        <v>0.25151235655489435</v>
      </c>
      <c r="S10" s="54">
        <f>'Capex Category Summary (Alb)'!AQ10</f>
        <v>0.25150911243131463</v>
      </c>
      <c r="T10" s="54">
        <f>'Capex Category Summary (Alb)'!AR10</f>
        <v>0.13294603962774548</v>
      </c>
      <c r="U10" s="95">
        <f>'Capex Category Summary (Alb)'!AS10</f>
        <v>0.13423731202327852</v>
      </c>
      <c r="V10" s="52">
        <f>SUM(Q10:U10)</f>
        <v>1.0226220931139565</v>
      </c>
      <c r="W10" s="45"/>
      <c r="X10" s="335" t="str">
        <f>M10</f>
        <v>01</v>
      </c>
      <c r="Y10" s="335" t="str">
        <f>N10</f>
        <v>Meter Replacement - Meters &lt; 25m3</v>
      </c>
      <c r="Z10" s="148"/>
      <c r="AA10" s="52"/>
      <c r="AB10" s="55">
        <f t="shared" ref="AB10:AB29" si="1">(Q10/Q$43)*Q$45</f>
        <v>1.4509158018763842E-2</v>
      </c>
      <c r="AC10" s="54">
        <f t="shared" ref="AC10:AC29" si="2">(R10/R$43)*R$45</f>
        <v>1.2616474868031882E-2</v>
      </c>
      <c r="AD10" s="54">
        <f t="shared" ref="AD10:AD29" si="3">(S10/S$43)*S$45</f>
        <v>1.3380236739476366E-2</v>
      </c>
      <c r="AE10" s="54">
        <f t="shared" ref="AE10:AE29" si="4">(T10/T$43)*T$45</f>
        <v>7.9546730944212076E-3</v>
      </c>
      <c r="AF10" s="95">
        <f t="shared" ref="AF10:AF29" si="5">(U10/U$43)*U$45</f>
        <v>8.2977139899881348E-3</v>
      </c>
      <c r="AG10" s="52">
        <f>SUM(AB10:AF10)</f>
        <v>5.6758256710681437E-2</v>
      </c>
      <c r="AH10" s="32"/>
    </row>
    <row r="11" spans="1:34" ht="18" customHeight="1" x14ac:dyDescent="0.2">
      <c r="A11" s="32"/>
      <c r="B11" s="335" t="str">
        <f>'Capex Model Category Index'!B9</f>
        <v>02</v>
      </c>
      <c r="C11" s="335" t="str">
        <f>'Capex Model Category Index'!C9</f>
        <v>Meter Replacement - Meters &gt; 25m3</v>
      </c>
      <c r="D11" s="52"/>
      <c r="E11" s="52"/>
      <c r="F11" s="55">
        <f t="shared" si="0"/>
        <v>9.3156931594762932E-2</v>
      </c>
      <c r="G11" s="54">
        <f t="shared" si="0"/>
        <v>9.3040998511717959E-2</v>
      </c>
      <c r="H11" s="54">
        <f t="shared" si="0"/>
        <v>9.3969131638718437E-2</v>
      </c>
      <c r="I11" s="54">
        <f t="shared" si="0"/>
        <v>9.5381076807673715E-2</v>
      </c>
      <c r="J11" s="95">
        <f t="shared" si="0"/>
        <v>9.6487405927907333E-2</v>
      </c>
      <c r="K11" s="52">
        <f t="shared" ref="K11:K18" si="6">SUM(F11:J11)</f>
        <v>0.47203554448078039</v>
      </c>
      <c r="L11" s="32"/>
      <c r="M11" s="335" t="str">
        <f t="shared" ref="M11:N29" si="7">B11</f>
        <v>02</v>
      </c>
      <c r="N11" s="335" t="str">
        <f t="shared" si="7"/>
        <v>Meter Replacement - Meters &gt; 25m3</v>
      </c>
      <c r="O11" s="52"/>
      <c r="P11" s="52"/>
      <c r="Q11" s="55">
        <f>'Capex Category Summary (Alb)'!AO11</f>
        <v>8.8093256789152252E-2</v>
      </c>
      <c r="R11" s="54">
        <f>'Capex Category Summary (Alb)'!AP11</f>
        <v>8.8596767970523849E-2</v>
      </c>
      <c r="S11" s="54">
        <f>'Capex Category Summary (Alb)'!AQ11</f>
        <v>8.9222511091440818E-2</v>
      </c>
      <c r="T11" s="54">
        <f>'Capex Category Summary (Alb)'!AR11</f>
        <v>8.9996254610961279E-2</v>
      </c>
      <c r="U11" s="95">
        <f>'Capex Category Summary (Alb)'!AS11</f>
        <v>9.0870366240054457E-2</v>
      </c>
      <c r="V11" s="52">
        <f t="shared" ref="V11:V29" si="8">SUM(Q11:U11)</f>
        <v>0.44677915670213264</v>
      </c>
      <c r="W11" s="45"/>
      <c r="X11" s="335" t="str">
        <f t="shared" ref="X11:Y29" si="9">M11</f>
        <v>02</v>
      </c>
      <c r="Y11" s="335" t="str">
        <f t="shared" si="9"/>
        <v>Meter Replacement - Meters &gt; 25m3</v>
      </c>
      <c r="Z11" s="52"/>
      <c r="AA11" s="52"/>
      <c r="AB11" s="55">
        <f t="shared" si="1"/>
        <v>5.0636748056106812E-3</v>
      </c>
      <c r="AC11" s="54">
        <f t="shared" si="2"/>
        <v>4.4442305411941177E-3</v>
      </c>
      <c r="AD11" s="54">
        <f t="shared" si="3"/>
        <v>4.7466205472776156E-3</v>
      </c>
      <c r="AE11" s="54">
        <f t="shared" si="4"/>
        <v>5.3848221967124302E-3</v>
      </c>
      <c r="AF11" s="95">
        <f t="shared" si="5"/>
        <v>5.6170396878528752E-3</v>
      </c>
      <c r="AG11" s="52">
        <f t="shared" ref="AG11:AG18" si="10">SUM(AB11:AF11)</f>
        <v>2.5256387778647721E-2</v>
      </c>
      <c r="AH11" s="32"/>
    </row>
    <row r="12" spans="1:34" ht="18" customHeight="1" x14ac:dyDescent="0.2">
      <c r="A12" s="32"/>
      <c r="B12" s="335" t="str">
        <f>'Capex Model Category Index'!B10</f>
        <v>03</v>
      </c>
      <c r="C12" s="335" t="str">
        <f>'Capex Model Category Index'!C10</f>
        <v>Mains Replacement - General Trunk Replacement</v>
      </c>
      <c r="D12" s="52"/>
      <c r="E12" s="52"/>
      <c r="F12" s="55">
        <f t="shared" si="0"/>
        <v>0</v>
      </c>
      <c r="G12" s="54">
        <f t="shared" si="0"/>
        <v>0</v>
      </c>
      <c r="H12" s="54">
        <f t="shared" si="0"/>
        <v>0</v>
      </c>
      <c r="I12" s="54">
        <f t="shared" si="0"/>
        <v>0</v>
      </c>
      <c r="J12" s="95">
        <f t="shared" si="0"/>
        <v>0</v>
      </c>
      <c r="K12" s="52">
        <f t="shared" si="6"/>
        <v>0</v>
      </c>
      <c r="L12" s="32"/>
      <c r="M12" s="335" t="str">
        <f t="shared" si="7"/>
        <v>03</v>
      </c>
      <c r="N12" s="335" t="str">
        <f t="shared" si="7"/>
        <v>Mains Replacement - General Trunk Replacement</v>
      </c>
      <c r="O12" s="52"/>
      <c r="P12" s="52"/>
      <c r="Q12" s="55">
        <f>'Capex Category Summary (Alb)'!AO17</f>
        <v>0</v>
      </c>
      <c r="R12" s="54">
        <f>'Capex Category Summary (Alb)'!AP17</f>
        <v>0</v>
      </c>
      <c r="S12" s="54">
        <f>'Capex Category Summary (Alb)'!AQ17</f>
        <v>0</v>
      </c>
      <c r="T12" s="54">
        <f>'Capex Category Summary (Alb)'!AR17</f>
        <v>0</v>
      </c>
      <c r="U12" s="95">
        <f>'Capex Category Summary (Alb)'!AS17</f>
        <v>0</v>
      </c>
      <c r="V12" s="52">
        <f t="shared" si="8"/>
        <v>0</v>
      </c>
      <c r="W12" s="45"/>
      <c r="X12" s="335" t="str">
        <f t="shared" si="9"/>
        <v>03</v>
      </c>
      <c r="Y12" s="335" t="str">
        <f t="shared" si="9"/>
        <v>Mains Replacement - General Trunk Replacement</v>
      </c>
      <c r="Z12" s="52"/>
      <c r="AA12" s="52"/>
      <c r="AB12" s="55">
        <f t="shared" si="1"/>
        <v>0</v>
      </c>
      <c r="AC12" s="54">
        <f t="shared" si="2"/>
        <v>0</v>
      </c>
      <c r="AD12" s="54">
        <f t="shared" si="3"/>
        <v>0</v>
      </c>
      <c r="AE12" s="54">
        <f t="shared" si="4"/>
        <v>0</v>
      </c>
      <c r="AF12" s="95">
        <f t="shared" si="5"/>
        <v>0</v>
      </c>
      <c r="AG12" s="52">
        <f t="shared" si="10"/>
        <v>0</v>
      </c>
      <c r="AH12" s="32"/>
    </row>
    <row r="13" spans="1:34" ht="18" customHeight="1" x14ac:dyDescent="0.2">
      <c r="A13" s="32"/>
      <c r="B13" s="335" t="str">
        <f>'Capex Model Category Index'!B11</f>
        <v>04</v>
      </c>
      <c r="C13" s="335" t="str">
        <f>'Capex Model Category Index'!C11</f>
        <v>Mains Replacement - Decommissioned Trunk Replacement</v>
      </c>
      <c r="D13" s="52"/>
      <c r="E13" s="52"/>
      <c r="F13" s="55">
        <f t="shared" si="0"/>
        <v>0</v>
      </c>
      <c r="G13" s="54">
        <f t="shared" si="0"/>
        <v>0</v>
      </c>
      <c r="H13" s="54">
        <f t="shared" si="0"/>
        <v>0</v>
      </c>
      <c r="I13" s="54">
        <f t="shared" si="0"/>
        <v>0</v>
      </c>
      <c r="J13" s="95">
        <f t="shared" si="0"/>
        <v>0</v>
      </c>
      <c r="K13" s="52">
        <f t="shared" si="6"/>
        <v>0</v>
      </c>
      <c r="L13" s="32"/>
      <c r="M13" s="335" t="str">
        <f t="shared" si="7"/>
        <v>04</v>
      </c>
      <c r="N13" s="335" t="str">
        <f t="shared" si="7"/>
        <v>Mains Replacement - Decommissioned Trunk Replacement</v>
      </c>
      <c r="O13" s="52"/>
      <c r="P13" s="52"/>
      <c r="Q13" s="55">
        <f>'Capex Category Summary (Alb)'!AO18</f>
        <v>0</v>
      </c>
      <c r="R13" s="54">
        <f>'Capex Category Summary (Alb)'!AP18</f>
        <v>0</v>
      </c>
      <c r="S13" s="54">
        <f>'Capex Category Summary (Alb)'!AQ18</f>
        <v>0</v>
      </c>
      <c r="T13" s="54">
        <f>'Capex Category Summary (Alb)'!AR18</f>
        <v>0</v>
      </c>
      <c r="U13" s="95">
        <f>'Capex Category Summary (Alb)'!AS18</f>
        <v>0</v>
      </c>
      <c r="V13" s="52">
        <f t="shared" si="8"/>
        <v>0</v>
      </c>
      <c r="W13" s="45"/>
      <c r="X13" s="335" t="str">
        <f t="shared" si="9"/>
        <v>04</v>
      </c>
      <c r="Y13" s="335" t="str">
        <f t="shared" si="9"/>
        <v>Mains Replacement - Decommissioned Trunk Replacement</v>
      </c>
      <c r="Z13" s="52"/>
      <c r="AA13" s="52"/>
      <c r="AB13" s="55">
        <f t="shared" si="1"/>
        <v>0</v>
      </c>
      <c r="AC13" s="54">
        <f t="shared" si="2"/>
        <v>0</v>
      </c>
      <c r="AD13" s="54">
        <f t="shared" si="3"/>
        <v>0</v>
      </c>
      <c r="AE13" s="54">
        <f t="shared" si="4"/>
        <v>0</v>
      </c>
      <c r="AF13" s="95">
        <f t="shared" si="5"/>
        <v>0</v>
      </c>
      <c r="AG13" s="52">
        <f t="shared" si="10"/>
        <v>0</v>
      </c>
      <c r="AH13" s="32"/>
    </row>
    <row r="14" spans="1:34" ht="18" customHeight="1" x14ac:dyDescent="0.2">
      <c r="A14" s="32"/>
      <c r="B14" s="335" t="str">
        <f>'Capex Model Category Index'!B12</f>
        <v>05</v>
      </c>
      <c r="C14" s="335" t="str">
        <f>'Capex Model Category Index'!C12</f>
        <v>Mains Replacement - Piecemeal Replacement</v>
      </c>
      <c r="D14" s="52"/>
      <c r="E14" s="52"/>
      <c r="F14" s="55">
        <f t="shared" si="0"/>
        <v>0</v>
      </c>
      <c r="G14" s="54">
        <f t="shared" si="0"/>
        <v>0</v>
      </c>
      <c r="H14" s="54">
        <f t="shared" si="0"/>
        <v>0</v>
      </c>
      <c r="I14" s="54">
        <f t="shared" si="0"/>
        <v>0</v>
      </c>
      <c r="J14" s="95">
        <f t="shared" si="0"/>
        <v>0</v>
      </c>
      <c r="K14" s="52">
        <f t="shared" si="6"/>
        <v>0</v>
      </c>
      <c r="L14" s="32"/>
      <c r="M14" s="335" t="str">
        <f t="shared" si="7"/>
        <v>05</v>
      </c>
      <c r="N14" s="335" t="str">
        <f t="shared" si="7"/>
        <v>Mains Replacement - Piecemeal Replacement</v>
      </c>
      <c r="O14" s="52"/>
      <c r="P14" s="52"/>
      <c r="Q14" s="55">
        <f>'Capex Category Summary (Alb)'!AO19</f>
        <v>0</v>
      </c>
      <c r="R14" s="54">
        <f>'Capex Category Summary (Alb)'!AP19</f>
        <v>0</v>
      </c>
      <c r="S14" s="54">
        <f>'Capex Category Summary (Alb)'!AQ19</f>
        <v>0</v>
      </c>
      <c r="T14" s="54">
        <f>'Capex Category Summary (Alb)'!AR19</f>
        <v>0</v>
      </c>
      <c r="U14" s="95">
        <f>'Capex Category Summary (Alb)'!AS19</f>
        <v>0</v>
      </c>
      <c r="V14" s="52">
        <f t="shared" si="8"/>
        <v>0</v>
      </c>
      <c r="W14" s="45"/>
      <c r="X14" s="335" t="str">
        <f t="shared" si="9"/>
        <v>05</v>
      </c>
      <c r="Y14" s="335" t="str">
        <f t="shared" si="9"/>
        <v>Mains Replacement - Piecemeal Replacement</v>
      </c>
      <c r="Z14" s="52"/>
      <c r="AA14" s="52"/>
      <c r="AB14" s="55">
        <f t="shared" si="1"/>
        <v>0</v>
      </c>
      <c r="AC14" s="54">
        <f t="shared" si="2"/>
        <v>0</v>
      </c>
      <c r="AD14" s="54">
        <f t="shared" si="3"/>
        <v>0</v>
      </c>
      <c r="AE14" s="54">
        <f t="shared" si="4"/>
        <v>0</v>
      </c>
      <c r="AF14" s="95">
        <f t="shared" si="5"/>
        <v>0</v>
      </c>
      <c r="AG14" s="52">
        <f t="shared" si="10"/>
        <v>0</v>
      </c>
      <c r="AH14" s="32"/>
    </row>
    <row r="15" spans="1:34" ht="18" customHeight="1" x14ac:dyDescent="0.2">
      <c r="A15" s="32"/>
      <c r="B15" s="335" t="str">
        <f>'Capex Model Category Index'!B13</f>
        <v>06</v>
      </c>
      <c r="C15" s="335" t="str">
        <f>'Capex Model Category Index'!C13</f>
        <v>Mains Replacement - HDPE Replacement</v>
      </c>
      <c r="D15" s="52"/>
      <c r="E15" s="52"/>
      <c r="F15" s="55">
        <f>Q15+AB15</f>
        <v>0</v>
      </c>
      <c r="G15" s="54">
        <f>R15+AC15</f>
        <v>0</v>
      </c>
      <c r="H15" s="54">
        <f>S15+AD15</f>
        <v>0</v>
      </c>
      <c r="I15" s="54">
        <f>T15+AE15</f>
        <v>0</v>
      </c>
      <c r="J15" s="95">
        <f>U15+AF15</f>
        <v>0</v>
      </c>
      <c r="K15" s="52">
        <f>SUM(F15:J15)</f>
        <v>0</v>
      </c>
      <c r="L15" s="32"/>
      <c r="M15" s="335" t="str">
        <f t="shared" si="7"/>
        <v>06</v>
      </c>
      <c r="N15" s="335" t="str">
        <f t="shared" si="7"/>
        <v>Mains Replacement - HDPE Replacement</v>
      </c>
      <c r="O15" s="52"/>
      <c r="P15" s="52"/>
      <c r="Q15" s="55">
        <f>'Capex Category Summary (Alb)'!AO20</f>
        <v>0</v>
      </c>
      <c r="R15" s="54">
        <f>'Capex Category Summary (Alb)'!AP20</f>
        <v>0</v>
      </c>
      <c r="S15" s="54">
        <f>'Capex Category Summary (Alb)'!AQ20</f>
        <v>0</v>
      </c>
      <c r="T15" s="54">
        <f>'Capex Category Summary (Alb)'!AR20</f>
        <v>0</v>
      </c>
      <c r="U15" s="95">
        <f>'Capex Category Summary (Alb)'!AS20</f>
        <v>0</v>
      </c>
      <c r="V15" s="52">
        <f>SUM(Q15:U15)</f>
        <v>0</v>
      </c>
      <c r="W15" s="45"/>
      <c r="X15" s="335" t="str">
        <f>M15</f>
        <v>06</v>
      </c>
      <c r="Y15" s="335" t="str">
        <f>N15</f>
        <v>Mains Replacement - HDPE Replacement</v>
      </c>
      <c r="Z15" s="52"/>
      <c r="AA15" s="52"/>
      <c r="AB15" s="55">
        <f t="shared" si="1"/>
        <v>0</v>
      </c>
      <c r="AC15" s="54">
        <f t="shared" si="2"/>
        <v>0</v>
      </c>
      <c r="AD15" s="54">
        <f t="shared" si="3"/>
        <v>0</v>
      </c>
      <c r="AE15" s="54">
        <f t="shared" si="4"/>
        <v>0</v>
      </c>
      <c r="AF15" s="95">
        <f t="shared" si="5"/>
        <v>0</v>
      </c>
      <c r="AG15" s="52">
        <f>SUM(AB15:AF15)</f>
        <v>0</v>
      </c>
      <c r="AH15" s="32"/>
    </row>
    <row r="16" spans="1:34" ht="18" customHeight="1" x14ac:dyDescent="0.2">
      <c r="A16" s="32"/>
      <c r="B16" s="335" t="str">
        <f>'Capex Model Category Index'!B14</f>
        <v>07</v>
      </c>
      <c r="C16" s="335" t="str">
        <f>'Capex Model Category Index'!C14</f>
        <v>Mains Replacement - HDICS Block Replacement</v>
      </c>
      <c r="D16" s="52"/>
      <c r="E16" s="52"/>
      <c r="F16" s="55">
        <f t="shared" si="0"/>
        <v>0</v>
      </c>
      <c r="G16" s="54">
        <f t="shared" si="0"/>
        <v>0</v>
      </c>
      <c r="H16" s="54">
        <f t="shared" si="0"/>
        <v>0</v>
      </c>
      <c r="I16" s="54">
        <f t="shared" si="0"/>
        <v>0</v>
      </c>
      <c r="J16" s="95">
        <f t="shared" si="0"/>
        <v>0</v>
      </c>
      <c r="K16" s="52">
        <f t="shared" si="6"/>
        <v>0</v>
      </c>
      <c r="L16" s="32"/>
      <c r="M16" s="335" t="str">
        <f t="shared" si="7"/>
        <v>07</v>
      </c>
      <c r="N16" s="335" t="str">
        <f t="shared" si="7"/>
        <v>Mains Replacement - HDICS Block Replacement</v>
      </c>
      <c r="O16" s="52"/>
      <c r="P16" s="52"/>
      <c r="Q16" s="55">
        <f>'Capex Category Summary (Alb)'!AO21</f>
        <v>0</v>
      </c>
      <c r="R16" s="54">
        <f>'Capex Category Summary (Alb)'!AP21</f>
        <v>0</v>
      </c>
      <c r="S16" s="54">
        <f>'Capex Category Summary (Alb)'!AQ21</f>
        <v>0</v>
      </c>
      <c r="T16" s="54">
        <f>'Capex Category Summary (Alb)'!AR21</f>
        <v>0</v>
      </c>
      <c r="U16" s="95">
        <f>'Capex Category Summary (Alb)'!AS21</f>
        <v>0</v>
      </c>
      <c r="V16" s="52">
        <f t="shared" si="8"/>
        <v>0</v>
      </c>
      <c r="W16" s="45"/>
      <c r="X16" s="335" t="str">
        <f t="shared" si="9"/>
        <v>07</v>
      </c>
      <c r="Y16" s="335" t="str">
        <f t="shared" si="9"/>
        <v>Mains Replacement - HDICS Block Replacement</v>
      </c>
      <c r="Z16" s="52"/>
      <c r="AA16" s="52"/>
      <c r="AB16" s="55">
        <f t="shared" si="1"/>
        <v>0</v>
      </c>
      <c r="AC16" s="54">
        <f t="shared" si="2"/>
        <v>0</v>
      </c>
      <c r="AD16" s="54">
        <f t="shared" si="3"/>
        <v>0</v>
      </c>
      <c r="AE16" s="54">
        <f t="shared" si="4"/>
        <v>0</v>
      </c>
      <c r="AF16" s="95">
        <f t="shared" si="5"/>
        <v>0</v>
      </c>
      <c r="AG16" s="52">
        <f t="shared" si="10"/>
        <v>0</v>
      </c>
      <c r="AH16" s="32"/>
    </row>
    <row r="17" spans="1:46" ht="18" customHeight="1" x14ac:dyDescent="0.2">
      <c r="A17" s="32"/>
      <c r="B17" s="335" t="str">
        <f>'Capex Model Category Index'!B15</f>
        <v>08</v>
      </c>
      <c r="C17" s="335" t="str">
        <f>'Capex Model Category Index'!C15</f>
        <v>Mains Replacement - LDS Block Replacement</v>
      </c>
      <c r="D17" s="52"/>
      <c r="E17" s="52"/>
      <c r="F17" s="55">
        <f t="shared" ref="F17" si="11">Q17+AB17</f>
        <v>0</v>
      </c>
      <c r="G17" s="54">
        <f t="shared" ref="G17" si="12">R17+AC17</f>
        <v>0</v>
      </c>
      <c r="H17" s="54">
        <f t="shared" ref="H17" si="13">S17+AD17</f>
        <v>0</v>
      </c>
      <c r="I17" s="54">
        <f t="shared" ref="I17" si="14">T17+AE17</f>
        <v>0</v>
      </c>
      <c r="J17" s="95">
        <f t="shared" ref="J17" si="15">U17+AF17</f>
        <v>0</v>
      </c>
      <c r="K17" s="52">
        <f t="shared" ref="K17" si="16">SUM(F17:J17)</f>
        <v>0</v>
      </c>
      <c r="L17" s="32"/>
      <c r="M17" s="335" t="str">
        <f t="shared" ref="M17" si="17">B17</f>
        <v>08</v>
      </c>
      <c r="N17" s="335" t="str">
        <f t="shared" ref="N17" si="18">C17</f>
        <v>Mains Replacement - LDS Block Replacement</v>
      </c>
      <c r="O17" s="52"/>
      <c r="P17" s="52"/>
      <c r="Q17" s="55">
        <f>'Capex Category Summary (Alb)'!AO22</f>
        <v>0</v>
      </c>
      <c r="R17" s="54">
        <f>'Capex Category Summary (Alb)'!AP22</f>
        <v>0</v>
      </c>
      <c r="S17" s="54">
        <f>'Capex Category Summary (Alb)'!AQ22</f>
        <v>0</v>
      </c>
      <c r="T17" s="54">
        <f>'Capex Category Summary (Alb)'!AR22</f>
        <v>0</v>
      </c>
      <c r="U17" s="95">
        <f>'Capex Category Summary (Alb)'!AS22</f>
        <v>0</v>
      </c>
      <c r="V17" s="52">
        <f t="shared" ref="V17" si="19">SUM(Q17:U17)</f>
        <v>0</v>
      </c>
      <c r="W17" s="45"/>
      <c r="X17" s="335" t="str">
        <f t="shared" ref="X17" si="20">M17</f>
        <v>08</v>
      </c>
      <c r="Y17" s="335" t="str">
        <f t="shared" ref="Y17" si="21">N17</f>
        <v>Mains Replacement - LDS Block Replacement</v>
      </c>
      <c r="Z17" s="52"/>
      <c r="AA17" s="52"/>
      <c r="AB17" s="55">
        <f t="shared" si="1"/>
        <v>0</v>
      </c>
      <c r="AC17" s="54">
        <f t="shared" si="2"/>
        <v>0</v>
      </c>
      <c r="AD17" s="54">
        <f t="shared" si="3"/>
        <v>0</v>
      </c>
      <c r="AE17" s="54">
        <f t="shared" si="4"/>
        <v>0</v>
      </c>
      <c r="AF17" s="95">
        <f t="shared" si="5"/>
        <v>0</v>
      </c>
      <c r="AG17" s="52">
        <f t="shared" ref="AG17" si="22">SUM(AB17:AF17)</f>
        <v>0</v>
      </c>
      <c r="AH17" s="32"/>
    </row>
    <row r="18" spans="1:46" ht="18" customHeight="1" x14ac:dyDescent="0.2">
      <c r="A18" s="32"/>
      <c r="B18" s="335" t="str">
        <f>'Capex Model Category Index'!B16</f>
        <v>09</v>
      </c>
      <c r="C18" s="335" t="str">
        <f>'Capex Model Category Index'!C16</f>
        <v>Mains Replacement - CBD Block Replacement</v>
      </c>
      <c r="D18" s="52"/>
      <c r="E18" s="52"/>
      <c r="F18" s="55">
        <f t="shared" si="0"/>
        <v>0</v>
      </c>
      <c r="G18" s="54">
        <f t="shared" si="0"/>
        <v>0</v>
      </c>
      <c r="H18" s="54">
        <f t="shared" si="0"/>
        <v>0</v>
      </c>
      <c r="I18" s="54">
        <f t="shared" si="0"/>
        <v>0</v>
      </c>
      <c r="J18" s="95">
        <f t="shared" si="0"/>
        <v>0</v>
      </c>
      <c r="K18" s="52">
        <f t="shared" si="6"/>
        <v>0</v>
      </c>
      <c r="L18" s="32"/>
      <c r="M18" s="335" t="str">
        <f t="shared" si="7"/>
        <v>09</v>
      </c>
      <c r="N18" s="335" t="str">
        <f t="shared" si="7"/>
        <v>Mains Replacement - CBD Block Replacement</v>
      </c>
      <c r="O18" s="52"/>
      <c r="P18" s="52"/>
      <c r="Q18" s="55">
        <f>'Capex Category Summary (Alb)'!AO23</f>
        <v>0</v>
      </c>
      <c r="R18" s="54">
        <f>'Capex Category Summary (Alb)'!AP23</f>
        <v>0</v>
      </c>
      <c r="S18" s="54">
        <f>'Capex Category Summary (Alb)'!AQ23</f>
        <v>0</v>
      </c>
      <c r="T18" s="54">
        <f>'Capex Category Summary (Alb)'!AR23</f>
        <v>0</v>
      </c>
      <c r="U18" s="95">
        <f>'Capex Category Summary (Alb)'!AS23</f>
        <v>0</v>
      </c>
      <c r="V18" s="52">
        <f t="shared" si="8"/>
        <v>0</v>
      </c>
      <c r="W18" s="45"/>
      <c r="X18" s="335" t="str">
        <f t="shared" si="9"/>
        <v>09</v>
      </c>
      <c r="Y18" s="335" t="str">
        <f t="shared" si="9"/>
        <v>Mains Replacement - CBD Block Replacement</v>
      </c>
      <c r="Z18" s="52"/>
      <c r="AA18" s="52"/>
      <c r="AB18" s="55">
        <f t="shared" si="1"/>
        <v>0</v>
      </c>
      <c r="AC18" s="54">
        <f t="shared" si="2"/>
        <v>0</v>
      </c>
      <c r="AD18" s="54">
        <f t="shared" si="3"/>
        <v>0</v>
      </c>
      <c r="AE18" s="54">
        <f t="shared" si="4"/>
        <v>0</v>
      </c>
      <c r="AF18" s="95">
        <f t="shared" si="5"/>
        <v>0</v>
      </c>
      <c r="AG18" s="52">
        <f t="shared" si="10"/>
        <v>0</v>
      </c>
      <c r="AH18" s="32"/>
    </row>
    <row r="19" spans="1:46" ht="18" customHeight="1" x14ac:dyDescent="0.2">
      <c r="A19" s="32"/>
      <c r="B19" s="335" t="str">
        <f>'Capex Model Category Index'!B17</f>
        <v>10</v>
      </c>
      <c r="C19" s="335" t="str">
        <f>'Capex Model Category Index'!C17</f>
        <v>Mains Replacement - CBD Trunk Replacement</v>
      </c>
      <c r="D19" s="52"/>
      <c r="E19" s="52"/>
      <c r="F19" s="55">
        <f t="shared" ref="F19" si="23">Q19+AB19</f>
        <v>0</v>
      </c>
      <c r="G19" s="54">
        <f t="shared" ref="G19" si="24">R19+AC19</f>
        <v>0</v>
      </c>
      <c r="H19" s="54">
        <f t="shared" ref="H19" si="25">S19+AD19</f>
        <v>0</v>
      </c>
      <c r="I19" s="54">
        <f t="shared" ref="I19" si="26">T19+AE19</f>
        <v>0</v>
      </c>
      <c r="J19" s="95">
        <f t="shared" ref="J19" si="27">U19+AF19</f>
        <v>0</v>
      </c>
      <c r="K19" s="52">
        <f t="shared" ref="K19" si="28">SUM(F19:J19)</f>
        <v>0</v>
      </c>
      <c r="L19" s="32"/>
      <c r="M19" s="335" t="str">
        <f t="shared" ref="M19" si="29">B19</f>
        <v>10</v>
      </c>
      <c r="N19" s="335" t="str">
        <f t="shared" ref="N19" si="30">C19</f>
        <v>Mains Replacement - CBD Trunk Replacement</v>
      </c>
      <c r="O19" s="52"/>
      <c r="P19" s="52"/>
      <c r="Q19" s="55">
        <f>'Capex Category Summary (Alb)'!AO24</f>
        <v>0</v>
      </c>
      <c r="R19" s="54">
        <f>'Capex Category Summary (Alb)'!AP24</f>
        <v>0</v>
      </c>
      <c r="S19" s="54">
        <f>'Capex Category Summary (Alb)'!AQ24</f>
        <v>0</v>
      </c>
      <c r="T19" s="54">
        <f>'Capex Category Summary (Alb)'!AR24</f>
        <v>0</v>
      </c>
      <c r="U19" s="95">
        <f>'Capex Category Summary (Alb)'!AS24</f>
        <v>0</v>
      </c>
      <c r="V19" s="52">
        <f t="shared" ref="V19" si="31">SUM(Q19:U19)</f>
        <v>0</v>
      </c>
      <c r="W19" s="45"/>
      <c r="X19" s="335" t="str">
        <f t="shared" ref="X19" si="32">M19</f>
        <v>10</v>
      </c>
      <c r="Y19" s="335" t="str">
        <f t="shared" ref="Y19" si="33">N19</f>
        <v>Mains Replacement - CBD Trunk Replacement</v>
      </c>
      <c r="Z19" s="52"/>
      <c r="AA19" s="52"/>
      <c r="AB19" s="55">
        <f t="shared" si="1"/>
        <v>0</v>
      </c>
      <c r="AC19" s="54">
        <f t="shared" si="2"/>
        <v>0</v>
      </c>
      <c r="AD19" s="54">
        <f t="shared" si="3"/>
        <v>0</v>
      </c>
      <c r="AE19" s="54">
        <f t="shared" si="4"/>
        <v>0</v>
      </c>
      <c r="AF19" s="95">
        <f t="shared" si="5"/>
        <v>0</v>
      </c>
      <c r="AG19" s="52">
        <f t="shared" ref="AG19" si="34">SUM(AB19:AF19)</f>
        <v>0</v>
      </c>
      <c r="AH19" s="32"/>
    </row>
    <row r="20" spans="1:46" ht="18" customHeight="1" x14ac:dyDescent="0.2">
      <c r="A20" s="32"/>
      <c r="B20" s="335" t="str">
        <f>'Capex Model Category Index'!B18</f>
        <v>11</v>
      </c>
      <c r="C20" s="335" t="str">
        <f>'Capex Model Category Index'!C18</f>
        <v>Service Renewal - Non AMRP</v>
      </c>
      <c r="D20" s="52"/>
      <c r="E20" s="52"/>
      <c r="F20" s="55">
        <f t="shared" si="0"/>
        <v>1.8587828869679041E-2</v>
      </c>
      <c r="G20" s="54">
        <f t="shared" si="0"/>
        <v>1.8564696459979799E-2</v>
      </c>
      <c r="H20" s="54">
        <f t="shared" si="0"/>
        <v>1.8749889117548338E-2</v>
      </c>
      <c r="I20" s="54">
        <f t="shared" si="0"/>
        <v>1.9031617967185395E-2</v>
      </c>
      <c r="J20" s="95">
        <f t="shared" si="0"/>
        <v>1.9252366504179948E-2</v>
      </c>
      <c r="K20" s="52">
        <f t="shared" ref="K20:K29" si="35">SUM(F20:J20)</f>
        <v>9.4186398918572528E-2</v>
      </c>
      <c r="L20" s="32"/>
      <c r="M20" s="335" t="str">
        <f t="shared" si="7"/>
        <v>11</v>
      </c>
      <c r="N20" s="335" t="str">
        <f t="shared" si="7"/>
        <v>Service Renewal - Non AMRP</v>
      </c>
      <c r="O20" s="52"/>
      <c r="P20" s="52"/>
      <c r="Q20" s="55">
        <f>'Capex Category Summary (Alb)'!AO30</f>
        <v>1.7577461534397595E-2</v>
      </c>
      <c r="R20" s="54">
        <f>'Capex Category Summary (Alb)'!AP30</f>
        <v>1.7677928343609581E-2</v>
      </c>
      <c r="S20" s="54">
        <f>'Capex Category Summary (Alb)'!AQ30</f>
        <v>1.7802784388660311E-2</v>
      </c>
      <c r="T20" s="54">
        <f>'Capex Category Summary (Alb)'!AR30</f>
        <v>1.7957171312785642E-2</v>
      </c>
      <c r="U20" s="95">
        <f>'Capex Category Summary (Alb)'!AS30</f>
        <v>1.8131584929640902E-2</v>
      </c>
      <c r="V20" s="52">
        <f t="shared" si="8"/>
        <v>8.914693050909403E-2</v>
      </c>
      <c r="W20" s="45"/>
      <c r="X20" s="335" t="str">
        <f t="shared" si="9"/>
        <v>11</v>
      </c>
      <c r="Y20" s="335" t="str">
        <f t="shared" si="9"/>
        <v>Service Renewal - Non AMRP</v>
      </c>
      <c r="Z20" s="52"/>
      <c r="AA20" s="52"/>
      <c r="AB20" s="55">
        <f t="shared" si="1"/>
        <v>1.0103673352814466E-3</v>
      </c>
      <c r="AC20" s="54">
        <f t="shared" si="2"/>
        <v>8.8676811637021969E-4</v>
      </c>
      <c r="AD20" s="54">
        <f t="shared" si="3"/>
        <v>9.4710472888802875E-4</v>
      </c>
      <c r="AE20" s="54">
        <f t="shared" si="4"/>
        <v>1.0744466543997544E-3</v>
      </c>
      <c r="AF20" s="95">
        <f t="shared" si="5"/>
        <v>1.1207815745390463E-3</v>
      </c>
      <c r="AG20" s="52">
        <f t="shared" ref="AG20:AG29" si="36">SUM(AB20:AF20)</f>
        <v>5.0394684094784955E-3</v>
      </c>
      <c r="AH20" s="32"/>
    </row>
    <row r="21" spans="1:46" ht="18" customHeight="1" x14ac:dyDescent="0.2">
      <c r="A21" s="32"/>
      <c r="B21" s="335" t="str">
        <f>'Capex Model Category Index'!B19</f>
        <v>12</v>
      </c>
      <c r="C21" s="335" t="str">
        <f>'Capex Model Category Index'!C19</f>
        <v>New Main - Estate</v>
      </c>
      <c r="D21" s="52"/>
      <c r="E21" s="52"/>
      <c r="F21" s="55">
        <f t="shared" si="0"/>
        <v>0.28656275682165372</v>
      </c>
      <c r="G21" s="54">
        <f t="shared" si="0"/>
        <v>0.29151351956443644</v>
      </c>
      <c r="H21" s="54">
        <f t="shared" si="0"/>
        <v>0.29988125449875913</v>
      </c>
      <c r="I21" s="54">
        <f t="shared" si="0"/>
        <v>0.31003169418737864</v>
      </c>
      <c r="J21" s="95">
        <f t="shared" si="0"/>
        <v>0.31944365770887068</v>
      </c>
      <c r="K21" s="52">
        <f t="shared" si="35"/>
        <v>1.5074328827810985</v>
      </c>
      <c r="L21" s="32"/>
      <c r="M21" s="335" t="str">
        <f t="shared" si="7"/>
        <v>12</v>
      </c>
      <c r="N21" s="335" t="str">
        <f t="shared" si="7"/>
        <v>New Main - Estate</v>
      </c>
      <c r="O21" s="52"/>
      <c r="P21" s="52"/>
      <c r="Q21" s="55">
        <f>'Capex Category Summary (Alb)'!AO36</f>
        <v>0.27098623892756579</v>
      </c>
      <c r="R21" s="54">
        <f>'Capex Category Summary (Alb)'!AP36</f>
        <v>0.27758897761472712</v>
      </c>
      <c r="S21" s="54">
        <f>'Capex Category Summary (Alb)'!AQ36</f>
        <v>0.28473348735944143</v>
      </c>
      <c r="T21" s="54">
        <f>'Capex Category Summary (Alb)'!AR36</f>
        <v>0.29252858346122418</v>
      </c>
      <c r="U21" s="95">
        <f>'Capex Category Summary (Alb)'!AS36</f>
        <v>0.30084716124254129</v>
      </c>
      <c r="V21" s="52">
        <f t="shared" si="8"/>
        <v>1.4266844486054997</v>
      </c>
      <c r="W21" s="45"/>
      <c r="X21" s="335" t="str">
        <f t="shared" si="9"/>
        <v>12</v>
      </c>
      <c r="Y21" s="335" t="str">
        <f t="shared" si="9"/>
        <v>New Main - Estate</v>
      </c>
      <c r="Z21" s="52"/>
      <c r="AA21" s="52"/>
      <c r="AB21" s="55">
        <f t="shared" si="1"/>
        <v>1.5576517894087911E-2</v>
      </c>
      <c r="AC21" s="54">
        <f t="shared" si="2"/>
        <v>1.3924541949709301E-2</v>
      </c>
      <c r="AD21" s="54">
        <f t="shared" si="3"/>
        <v>1.5147767139317697E-2</v>
      </c>
      <c r="AE21" s="54">
        <f t="shared" si="4"/>
        <v>1.7503110726154469E-2</v>
      </c>
      <c r="AF21" s="95">
        <f t="shared" si="5"/>
        <v>1.8596496466329361E-2</v>
      </c>
      <c r="AG21" s="52">
        <f t="shared" si="36"/>
        <v>8.0748434175598738E-2</v>
      </c>
      <c r="AH21" s="32"/>
    </row>
    <row r="22" spans="1:46" ht="18" customHeight="1" x14ac:dyDescent="0.2">
      <c r="A22" s="32"/>
      <c r="B22" s="335" t="str">
        <f>'Capex Model Category Index'!B20</f>
        <v>13</v>
      </c>
      <c r="C22" s="335" t="str">
        <f>'Capex Model Category Index'!C20</f>
        <v>New Main - Existing Domestic</v>
      </c>
      <c r="D22" s="52"/>
      <c r="E22" s="52"/>
      <c r="F22" s="55">
        <f t="shared" si="0"/>
        <v>3.1322418048707265E-3</v>
      </c>
      <c r="G22" s="54">
        <f t="shared" si="0"/>
        <v>3.1863555571284615E-3</v>
      </c>
      <c r="H22" s="54">
        <f t="shared" si="0"/>
        <v>3.277818137486295E-3</v>
      </c>
      <c r="I22" s="54">
        <f t="shared" si="0"/>
        <v>3.388766370547509E-3</v>
      </c>
      <c r="J22" s="95">
        <f t="shared" si="0"/>
        <v>3.4916427733812628E-3</v>
      </c>
      <c r="K22" s="52">
        <f t="shared" si="35"/>
        <v>1.6476824643414253E-2</v>
      </c>
      <c r="L22" s="32"/>
      <c r="M22" s="335" t="str">
        <f t="shared" si="7"/>
        <v>13</v>
      </c>
      <c r="N22" s="335" t="str">
        <f t="shared" si="7"/>
        <v>New Main - Existing Domestic</v>
      </c>
      <c r="O22" s="52"/>
      <c r="P22" s="52"/>
      <c r="Q22" s="55">
        <f>'Capex Category Summary (Alb)'!AO37</f>
        <v>2.9619844376422844E-3</v>
      </c>
      <c r="R22" s="54">
        <f>'Capex Category Summary (Alb)'!AP37</f>
        <v>3.0341549261312518E-3</v>
      </c>
      <c r="S22" s="54">
        <f>'Capex Category Summary (Alb)'!AQ37</f>
        <v>3.112247181893671E-3</v>
      </c>
      <c r="T22" s="54">
        <f>'Capex Category Summary (Alb)'!AR37</f>
        <v>3.1974505982545216E-3</v>
      </c>
      <c r="U22" s="95">
        <f>'Capex Category Summary (Alb)'!AS37</f>
        <v>3.2883758719108131E-3</v>
      </c>
      <c r="V22" s="52">
        <f t="shared" si="8"/>
        <v>1.5594213015832543E-2</v>
      </c>
      <c r="W22" s="45"/>
      <c r="X22" s="335" t="str">
        <f t="shared" si="9"/>
        <v>13</v>
      </c>
      <c r="Y22" s="335" t="str">
        <f t="shared" si="9"/>
        <v>New Main - Existing Domestic</v>
      </c>
      <c r="Z22" s="52"/>
      <c r="AA22" s="52"/>
      <c r="AB22" s="55">
        <f t="shared" si="1"/>
        <v>1.7025736722844223E-4</v>
      </c>
      <c r="AC22" s="54">
        <f t="shared" si="2"/>
        <v>1.5220063099720952E-4</v>
      </c>
      <c r="AD22" s="54">
        <f t="shared" si="3"/>
        <v>1.6557095559262405E-4</v>
      </c>
      <c r="AE22" s="54">
        <f t="shared" si="4"/>
        <v>1.9131577229298743E-4</v>
      </c>
      <c r="AF22" s="95">
        <f t="shared" si="5"/>
        <v>2.0326690147044982E-4</v>
      </c>
      <c r="AG22" s="52">
        <f t="shared" si="36"/>
        <v>8.826116275817131E-4</v>
      </c>
      <c r="AH22" s="32"/>
    </row>
    <row r="23" spans="1:46" ht="18" customHeight="1" x14ac:dyDescent="0.2">
      <c r="A23" s="32"/>
      <c r="B23" s="335" t="str">
        <f>'Capex Model Category Index'!B21</f>
        <v>14</v>
      </c>
      <c r="C23" s="335" t="str">
        <f>'Capex Model Category Index'!C21</f>
        <v>New Main - I&amp;C&lt;10TJ</v>
      </c>
      <c r="D23" s="52"/>
      <c r="E23" s="52"/>
      <c r="F23" s="55">
        <f t="shared" si="0"/>
        <v>0.19845257836370997</v>
      </c>
      <c r="G23" s="54">
        <f t="shared" si="0"/>
        <v>0.19935427763999097</v>
      </c>
      <c r="H23" s="54">
        <f t="shared" si="0"/>
        <v>0.20250979586598103</v>
      </c>
      <c r="I23" s="54">
        <f t="shared" si="0"/>
        <v>0.20674388323889473</v>
      </c>
      <c r="J23" s="95">
        <f t="shared" si="0"/>
        <v>0.2103539660108838</v>
      </c>
      <c r="K23" s="52">
        <f t="shared" si="35"/>
        <v>1.0174145011194604</v>
      </c>
      <c r="L23" s="32"/>
      <c r="M23" s="335" t="str">
        <f t="shared" si="7"/>
        <v>14</v>
      </c>
      <c r="N23" s="335" t="str">
        <f t="shared" si="7"/>
        <v>New Main - I&amp;C&lt;10TJ</v>
      </c>
      <c r="O23" s="52"/>
      <c r="P23" s="52"/>
      <c r="Q23" s="55">
        <f>'Capex Category Summary (Alb)'!AO38</f>
        <v>0.18766541197720685</v>
      </c>
      <c r="R23" s="54">
        <f>'Capex Category Summary (Alb)'!AP38</f>
        <v>0.1898318479221526</v>
      </c>
      <c r="S23" s="54">
        <f>'Capex Category Summary (Alb)'!AQ38</f>
        <v>0.19228050948949185</v>
      </c>
      <c r="T23" s="54">
        <f>'Capex Category Summary (Alb)'!AR38</f>
        <v>0.19507197630766834</v>
      </c>
      <c r="U23" s="95">
        <f>'Capex Category Summary (Alb)'!AS38</f>
        <v>0.19810815460972309</v>
      </c>
      <c r="V23" s="52">
        <f t="shared" si="8"/>
        <v>0.96295790030624273</v>
      </c>
      <c r="W23" s="45"/>
      <c r="X23" s="335" t="str">
        <f t="shared" si="9"/>
        <v>14</v>
      </c>
      <c r="Y23" s="335" t="str">
        <f t="shared" si="9"/>
        <v>New Main - I&amp;C&lt;10TJ</v>
      </c>
      <c r="Z23" s="52"/>
      <c r="AA23" s="52"/>
      <c r="AB23" s="55">
        <f t="shared" si="1"/>
        <v>1.0787166386503124E-2</v>
      </c>
      <c r="AC23" s="54">
        <f t="shared" si="2"/>
        <v>9.5224297178383797E-3</v>
      </c>
      <c r="AD23" s="54">
        <f t="shared" si="3"/>
        <v>1.0229286376489182E-2</v>
      </c>
      <c r="AE23" s="54">
        <f t="shared" si="4"/>
        <v>1.167190693122639E-2</v>
      </c>
      <c r="AF23" s="95">
        <f t="shared" si="5"/>
        <v>1.2245811401160709E-2</v>
      </c>
      <c r="AG23" s="52">
        <f t="shared" si="36"/>
        <v>5.4456600813217786E-2</v>
      </c>
      <c r="AH23" s="32"/>
    </row>
    <row r="24" spans="1:46" ht="18" customHeight="1" x14ac:dyDescent="0.2">
      <c r="A24" s="32"/>
      <c r="B24" s="335" t="str">
        <f>'Capex Model Category Index'!B22</f>
        <v>15</v>
      </c>
      <c r="C24" s="335" t="str">
        <f>'Capex Model Category Index'!C22</f>
        <v>New Meter - Domestic</v>
      </c>
      <c r="D24" s="52"/>
      <c r="E24" s="52"/>
      <c r="F24" s="55">
        <f t="shared" si="0"/>
        <v>0.11228197507659848</v>
      </c>
      <c r="G24" s="54">
        <f t="shared" si="0"/>
        <v>0.11316549868100803</v>
      </c>
      <c r="H24" s="54">
        <f t="shared" si="0"/>
        <v>0.11559591711746203</v>
      </c>
      <c r="I24" s="54">
        <f t="shared" si="0"/>
        <v>0.1222954303146865</v>
      </c>
      <c r="J24" s="95">
        <f t="shared" si="0"/>
        <v>0.1260080834096676</v>
      </c>
      <c r="K24" s="52">
        <f t="shared" si="35"/>
        <v>0.58934690459942263</v>
      </c>
      <c r="L24" s="32"/>
      <c r="M24" s="335" t="str">
        <f t="shared" si="7"/>
        <v>15</v>
      </c>
      <c r="N24" s="335" t="str">
        <f t="shared" si="7"/>
        <v>New Meter - Domestic</v>
      </c>
      <c r="O24" s="52"/>
      <c r="P24" s="52"/>
      <c r="Q24" s="55">
        <f>'Capex Category Summary (Alb)'!AO44</f>
        <v>0.10617873188700054</v>
      </c>
      <c r="R24" s="54">
        <f>'Capex Category Summary (Alb)'!AP44</f>
        <v>0.10775999386600696</v>
      </c>
      <c r="S24" s="54">
        <f>'Capex Category Summary (Alb)'!AQ44</f>
        <v>0.1097568724673456</v>
      </c>
      <c r="T24" s="54">
        <f>'Capex Category Summary (Alb)'!AR44</f>
        <v>0.11539113472738777</v>
      </c>
      <c r="U24" s="95">
        <f>'Capex Category Summary (Alb)'!AS44</f>
        <v>0.1186724897257497</v>
      </c>
      <c r="V24" s="52">
        <f t="shared" si="8"/>
        <v>0.55775922267349054</v>
      </c>
      <c r="W24" s="45"/>
      <c r="X24" s="335" t="str">
        <f t="shared" si="9"/>
        <v>15</v>
      </c>
      <c r="Y24" s="335" t="str">
        <f t="shared" si="9"/>
        <v>New Meter - Domestic</v>
      </c>
      <c r="Z24" s="52"/>
      <c r="AA24" s="52"/>
      <c r="AB24" s="55">
        <f t="shared" si="1"/>
        <v>6.1032431895979419E-3</v>
      </c>
      <c r="AC24" s="54">
        <f t="shared" si="2"/>
        <v>5.4055048150010668E-3</v>
      </c>
      <c r="AD24" s="54">
        <f t="shared" si="3"/>
        <v>5.839044650116431E-3</v>
      </c>
      <c r="AE24" s="54">
        <f t="shared" si="4"/>
        <v>6.9042955872987231E-3</v>
      </c>
      <c r="AF24" s="95">
        <f t="shared" si="5"/>
        <v>7.3355936839178864E-3</v>
      </c>
      <c r="AG24" s="52">
        <f t="shared" si="36"/>
        <v>3.1587681925932053E-2</v>
      </c>
      <c r="AH24" s="32"/>
    </row>
    <row r="25" spans="1:46" ht="18" customHeight="1" x14ac:dyDescent="0.2">
      <c r="A25" s="32"/>
      <c r="B25" s="335" t="str">
        <f>'Capex Model Category Index'!B23</f>
        <v>16</v>
      </c>
      <c r="C25" s="335" t="str">
        <f>'Capex Model Category Index'!C23</f>
        <v>New Meter - I&amp;C&lt;10TJ</v>
      </c>
      <c r="D25" s="52"/>
      <c r="E25" s="52"/>
      <c r="F25" s="55">
        <f t="shared" si="0"/>
        <v>0.19542826496428287</v>
      </c>
      <c r="G25" s="54">
        <f t="shared" si="0"/>
        <v>0.19631622281565519</v>
      </c>
      <c r="H25" s="54">
        <f t="shared" si="0"/>
        <v>0.19942365259587305</v>
      </c>
      <c r="I25" s="54">
        <f t="shared" si="0"/>
        <v>0.20359321469387304</v>
      </c>
      <c r="J25" s="95">
        <f t="shared" si="0"/>
        <v>0.20714828169438468</v>
      </c>
      <c r="K25" s="52">
        <f t="shared" si="35"/>
        <v>1.0019096367640687</v>
      </c>
      <c r="L25" s="32"/>
      <c r="M25" s="335" t="str">
        <f t="shared" si="7"/>
        <v>16</v>
      </c>
      <c r="N25" s="335" t="str">
        <f t="shared" si="7"/>
        <v>New Meter - I&amp;C&lt;10TJ</v>
      </c>
      <c r="O25" s="52"/>
      <c r="P25" s="52"/>
      <c r="Q25" s="55">
        <f>'Capex Category Summary (Alb)'!AO45</f>
        <v>0.18480548934616151</v>
      </c>
      <c r="R25" s="54">
        <f>'Capex Category Summary (Alb)'!AP45</f>
        <v>0.18693890994148907</v>
      </c>
      <c r="S25" s="54">
        <f>'Capex Category Summary (Alb)'!AQ45</f>
        <v>0.18935025518847701</v>
      </c>
      <c r="T25" s="54">
        <f>'Capex Category Summary (Alb)'!AR45</f>
        <v>0.19209918151374641</v>
      </c>
      <c r="U25" s="95">
        <f>'Capex Category Summary (Alb)'!AS45</f>
        <v>0.19508909004799235</v>
      </c>
      <c r="V25" s="52">
        <f t="shared" si="8"/>
        <v>0.94828292603786635</v>
      </c>
      <c r="W25" s="45"/>
      <c r="X25" s="335" t="str">
        <f t="shared" si="9"/>
        <v>16</v>
      </c>
      <c r="Y25" s="335" t="str">
        <f t="shared" si="9"/>
        <v>New Meter - I&amp;C&lt;10TJ</v>
      </c>
      <c r="Z25" s="52"/>
      <c r="AA25" s="52"/>
      <c r="AB25" s="55">
        <f t="shared" si="1"/>
        <v>1.0622775618121368E-2</v>
      </c>
      <c r="AC25" s="54">
        <f t="shared" si="2"/>
        <v>9.3773128741661289E-3</v>
      </c>
      <c r="AD25" s="54">
        <f t="shared" si="3"/>
        <v>1.0073397407396047E-2</v>
      </c>
      <c r="AE25" s="54">
        <f t="shared" si="4"/>
        <v>1.1494033180126616E-2</v>
      </c>
      <c r="AF25" s="95">
        <f t="shared" si="5"/>
        <v>1.2059191646392331E-2</v>
      </c>
      <c r="AG25" s="52">
        <f t="shared" si="36"/>
        <v>5.3626710726202488E-2</v>
      </c>
      <c r="AH25" s="32"/>
    </row>
    <row r="26" spans="1:46" ht="18" customHeight="1" x14ac:dyDescent="0.2">
      <c r="A26" s="32"/>
      <c r="B26" s="335" t="str">
        <f>'Capex Model Category Index'!B24</f>
        <v>17</v>
      </c>
      <c r="C26" s="335" t="str">
        <f>'Capex Model Category Index'!C24</f>
        <v>New Service - New Home</v>
      </c>
      <c r="D26" s="52"/>
      <c r="E26" s="52"/>
      <c r="F26" s="55">
        <f t="shared" si="0"/>
        <v>0.3996362727639563</v>
      </c>
      <c r="G26" s="54">
        <f t="shared" si="0"/>
        <v>0.40654053482441549</v>
      </c>
      <c r="H26" s="54">
        <f t="shared" si="0"/>
        <v>0.41821005684367318</v>
      </c>
      <c r="I26" s="54">
        <f t="shared" si="0"/>
        <v>0.43236571310922145</v>
      </c>
      <c r="J26" s="95">
        <f t="shared" si="0"/>
        <v>0.44549150120128789</v>
      </c>
      <c r="K26" s="52">
        <f t="shared" si="35"/>
        <v>2.1022440787425545</v>
      </c>
      <c r="L26" s="32"/>
      <c r="M26" s="335" t="str">
        <f t="shared" si="7"/>
        <v>17</v>
      </c>
      <c r="N26" s="335" t="str">
        <f t="shared" si="7"/>
        <v>New Service - New Home</v>
      </c>
      <c r="O26" s="52"/>
      <c r="P26" s="52"/>
      <c r="Q26" s="55">
        <f>'Capex Category Summary (Alb)'!AO51</f>
        <v>0.3779134863737188</v>
      </c>
      <c r="R26" s="54">
        <f>'Capex Category Summary (Alb)'!AP51</f>
        <v>0.38712157017441223</v>
      </c>
      <c r="S26" s="54">
        <f>'Capex Category Summary (Alb)'!AQ51</f>
        <v>0.39708520005001524</v>
      </c>
      <c r="T26" s="54">
        <f>'Capex Category Summary (Alb)'!AR51</f>
        <v>0.40795612824216715</v>
      </c>
      <c r="U26" s="95">
        <f>'Capex Category Summary (Alb)'!AS51</f>
        <v>0.41955709640737654</v>
      </c>
      <c r="V26" s="52">
        <f t="shared" si="8"/>
        <v>1.9896334812476897</v>
      </c>
      <c r="W26" s="45"/>
      <c r="X26" s="335" t="str">
        <f t="shared" si="9"/>
        <v>17</v>
      </c>
      <c r="Y26" s="335" t="str">
        <f t="shared" si="9"/>
        <v>New Service - New Home</v>
      </c>
      <c r="Z26" s="52"/>
      <c r="AA26" s="52"/>
      <c r="AB26" s="55">
        <f t="shared" si="1"/>
        <v>2.1722786390237517E-2</v>
      </c>
      <c r="AC26" s="54">
        <f t="shared" si="2"/>
        <v>1.9418964650003274E-2</v>
      </c>
      <c r="AD26" s="54">
        <f t="shared" si="3"/>
        <v>2.1124856793657942E-2</v>
      </c>
      <c r="AE26" s="54">
        <f t="shared" si="4"/>
        <v>2.4409584867054284E-2</v>
      </c>
      <c r="AF26" s="95">
        <f t="shared" si="5"/>
        <v>2.5934404793911355E-2</v>
      </c>
      <c r="AG26" s="52">
        <f t="shared" si="36"/>
        <v>0.11261059749486438</v>
      </c>
      <c r="AH26" s="32"/>
    </row>
    <row r="27" spans="1:46" ht="18" customHeight="1" x14ac:dyDescent="0.2">
      <c r="A27" s="32"/>
      <c r="B27" s="335" t="str">
        <f>'Capex Model Category Index'!B25</f>
        <v>18</v>
      </c>
      <c r="C27" s="335" t="str">
        <f>'Capex Model Category Index'!C25</f>
        <v>New Service - Exist Home</v>
      </c>
      <c r="D27" s="52"/>
      <c r="E27" s="52"/>
      <c r="F27" s="55">
        <f t="shared" si="0"/>
        <v>4.8407352860356918E-2</v>
      </c>
      <c r="G27" s="54">
        <f t="shared" si="0"/>
        <v>4.9243655950388057E-2</v>
      </c>
      <c r="H27" s="54">
        <f t="shared" si="0"/>
        <v>5.065716795767166E-2</v>
      </c>
      <c r="I27" s="54">
        <f t="shared" si="0"/>
        <v>5.2371821742917636E-2</v>
      </c>
      <c r="J27" s="95">
        <f t="shared" si="0"/>
        <v>5.3961729113808921E-2</v>
      </c>
      <c r="K27" s="52">
        <f t="shared" si="35"/>
        <v>0.2546417276251432</v>
      </c>
      <c r="L27" s="32"/>
      <c r="M27" s="335" t="str">
        <f t="shared" si="7"/>
        <v>18</v>
      </c>
      <c r="N27" s="335" t="str">
        <f t="shared" si="7"/>
        <v>New Service - Exist Home</v>
      </c>
      <c r="O27" s="52"/>
      <c r="P27" s="52"/>
      <c r="Q27" s="55">
        <f>'Capex Category Summary (Alb)'!AO52</f>
        <v>4.5776103753188219E-2</v>
      </c>
      <c r="R27" s="54">
        <f>'Capex Category Summary (Alb)'!AP52</f>
        <v>4.6891465375958577E-2</v>
      </c>
      <c r="S27" s="54">
        <f>'Capex Category Summary (Alb)'!AQ52</f>
        <v>4.8098345181494126E-2</v>
      </c>
      <c r="T27" s="54">
        <f>'Capex Category Summary (Alb)'!AR52</f>
        <v>4.941512469521938E-2</v>
      </c>
      <c r="U27" s="95">
        <f>'Capex Category Summary (Alb)'!AS52</f>
        <v>5.0820332875175435E-2</v>
      </c>
      <c r="V27" s="52">
        <f t="shared" si="8"/>
        <v>0.24100137188103574</v>
      </c>
      <c r="W27" s="45"/>
      <c r="X27" s="335" t="str">
        <f t="shared" si="9"/>
        <v>18</v>
      </c>
      <c r="Y27" s="335" t="str">
        <f t="shared" si="9"/>
        <v>New Service - Exist Home</v>
      </c>
      <c r="Z27" s="52"/>
      <c r="AA27" s="52"/>
      <c r="AB27" s="55">
        <f t="shared" si="1"/>
        <v>2.6312491071686984E-3</v>
      </c>
      <c r="AC27" s="54">
        <f t="shared" si="2"/>
        <v>2.3521905744294776E-3</v>
      </c>
      <c r="AD27" s="54">
        <f t="shared" si="3"/>
        <v>2.5588227761775325E-3</v>
      </c>
      <c r="AE27" s="54">
        <f t="shared" si="4"/>
        <v>2.9566970476982576E-3</v>
      </c>
      <c r="AF27" s="95">
        <f t="shared" si="5"/>
        <v>3.1413962386334887E-3</v>
      </c>
      <c r="AG27" s="52">
        <f t="shared" si="36"/>
        <v>1.3640355744107456E-2</v>
      </c>
      <c r="AH27" s="32"/>
    </row>
    <row r="28" spans="1:46" ht="18" customHeight="1" x14ac:dyDescent="0.2">
      <c r="A28" s="32"/>
      <c r="B28" s="335" t="str">
        <f>'Capex Model Category Index'!B26</f>
        <v>19</v>
      </c>
      <c r="C28" s="335" t="str">
        <f>'Capex Model Category Index'!C26</f>
        <v>New Service - Multi User</v>
      </c>
      <c r="D28" s="52"/>
      <c r="E28" s="52"/>
      <c r="F28" s="55">
        <f t="shared" si="0"/>
        <v>6.6994108702274735E-2</v>
      </c>
      <c r="G28" s="54">
        <f t="shared" si="0"/>
        <v>6.8151523367836364E-2</v>
      </c>
      <c r="H28" s="54">
        <f t="shared" si="0"/>
        <v>7.0107775289752122E-2</v>
      </c>
      <c r="I28" s="54">
        <f t="shared" si="0"/>
        <v>7.248079705788954E-2</v>
      </c>
      <c r="J28" s="95">
        <f t="shared" si="0"/>
        <v>7.46811740861337E-2</v>
      </c>
      <c r="K28" s="52">
        <f t="shared" si="35"/>
        <v>0.35241537850388649</v>
      </c>
      <c r="L28" s="32"/>
      <c r="M28" s="335" t="str">
        <f t="shared" si="7"/>
        <v>19</v>
      </c>
      <c r="N28" s="335" t="str">
        <f t="shared" si="7"/>
        <v>New Service - Multi User</v>
      </c>
      <c r="O28" s="52"/>
      <c r="P28" s="52"/>
      <c r="Q28" s="55">
        <f>'Capex Category Summary (Alb)'!AO53</f>
        <v>6.3352550585743517E-2</v>
      </c>
      <c r="R28" s="54">
        <f>'Capex Category Summary (Alb)'!AP53</f>
        <v>6.4896172646916314E-2</v>
      </c>
      <c r="S28" s="54">
        <f>'Capex Category Summary (Alb)'!AQ53</f>
        <v>6.6566452720190947E-2</v>
      </c>
      <c r="T28" s="54">
        <f>'Capex Category Summary (Alb)'!AR53</f>
        <v>6.8388830203502629E-2</v>
      </c>
      <c r="U28" s="95">
        <f>'Capex Category Summary (Alb)'!AS53</f>
        <v>7.0333589914467906E-2</v>
      </c>
      <c r="V28" s="52">
        <f t="shared" si="8"/>
        <v>0.33353759607082134</v>
      </c>
      <c r="W28" s="45"/>
      <c r="X28" s="335" t="str">
        <f t="shared" si="9"/>
        <v>19</v>
      </c>
      <c r="Y28" s="335" t="str">
        <f t="shared" si="9"/>
        <v>New Service - Multi User</v>
      </c>
      <c r="Z28" s="52"/>
      <c r="AA28" s="52"/>
      <c r="AB28" s="55">
        <f t="shared" si="1"/>
        <v>3.6415581165312114E-3</v>
      </c>
      <c r="AC28" s="54">
        <f t="shared" si="2"/>
        <v>3.2553507209200569E-3</v>
      </c>
      <c r="AD28" s="54">
        <f t="shared" si="3"/>
        <v>3.541322569561182E-3</v>
      </c>
      <c r="AE28" s="54">
        <f t="shared" si="4"/>
        <v>4.0919668543869083E-3</v>
      </c>
      <c r="AF28" s="95">
        <f t="shared" si="5"/>
        <v>4.3475841716657986E-3</v>
      </c>
      <c r="AG28" s="52">
        <f t="shared" si="36"/>
        <v>1.8877782433065156E-2</v>
      </c>
      <c r="AH28" s="32"/>
    </row>
    <row r="29" spans="1:46" ht="18" customHeight="1" x14ac:dyDescent="0.2">
      <c r="A29" s="32"/>
      <c r="B29" s="335" t="str">
        <f>'Capex Model Category Index'!B27</f>
        <v>20</v>
      </c>
      <c r="C29" s="335" t="str">
        <f>'Capex Model Category Index'!C27</f>
        <v>New Service - I&amp;C &lt; 10 Tj</v>
      </c>
      <c r="D29" s="52"/>
      <c r="E29" s="52"/>
      <c r="F29" s="55">
        <f t="shared" si="0"/>
        <v>0.13385792742368952</v>
      </c>
      <c r="G29" s="54">
        <f t="shared" si="0"/>
        <v>0.13446613114307485</v>
      </c>
      <c r="H29" s="54">
        <f t="shared" si="0"/>
        <v>0.13659455463427572</v>
      </c>
      <c r="I29" s="54">
        <f t="shared" si="0"/>
        <v>0.13945048205503369</v>
      </c>
      <c r="J29" s="95">
        <f t="shared" si="0"/>
        <v>0.14188551314241407</v>
      </c>
      <c r="K29" s="52">
        <f t="shared" si="35"/>
        <v>0.68625460839848784</v>
      </c>
      <c r="L29" s="32"/>
      <c r="M29" s="335" t="str">
        <f t="shared" si="7"/>
        <v>20</v>
      </c>
      <c r="N29" s="335" t="str">
        <f t="shared" si="7"/>
        <v>New Service - I&amp;C &lt; 10 Tj</v>
      </c>
      <c r="O29" s="52"/>
      <c r="P29" s="52"/>
      <c r="Q29" s="55">
        <f>'Capex Category Summary (Alb)'!AO54</f>
        <v>0.12658189328406028</v>
      </c>
      <c r="R29" s="54">
        <f>'Capex Category Summary (Alb)'!AP54</f>
        <v>0.12804317248676805</v>
      </c>
      <c r="S29" s="54">
        <f>'Capex Category Summary (Alb)'!AQ54</f>
        <v>0.12969481523723589</v>
      </c>
      <c r="T29" s="54">
        <f>'Capex Category Summary (Alb)'!AR54</f>
        <v>0.13157768300259334</v>
      </c>
      <c r="U29" s="95">
        <f>'Capex Category Summary (Alb)'!AS54</f>
        <v>0.13362561071486007</v>
      </c>
      <c r="V29" s="52">
        <f t="shared" si="8"/>
        <v>0.64952317472551768</v>
      </c>
      <c r="W29" s="97"/>
      <c r="X29" s="335" t="str">
        <f t="shared" si="9"/>
        <v>20</v>
      </c>
      <c r="Y29" s="335" t="str">
        <f t="shared" si="9"/>
        <v>New Service - I&amp;C &lt; 10 Tj</v>
      </c>
      <c r="Z29" s="52"/>
      <c r="AA29" s="52"/>
      <c r="AB29" s="133">
        <f t="shared" si="1"/>
        <v>7.2760341396292264E-3</v>
      </c>
      <c r="AC29" s="132">
        <f t="shared" si="2"/>
        <v>6.4229586563067983E-3</v>
      </c>
      <c r="AD29" s="132">
        <f t="shared" si="3"/>
        <v>6.8997393970398344E-3</v>
      </c>
      <c r="AE29" s="132">
        <f t="shared" si="4"/>
        <v>7.8727990524403522E-3</v>
      </c>
      <c r="AF29" s="134">
        <f t="shared" si="5"/>
        <v>8.2599024275540039E-3</v>
      </c>
      <c r="AG29" s="52">
        <f t="shared" si="36"/>
        <v>3.6731433672970215E-2</v>
      </c>
      <c r="AH29" s="32"/>
    </row>
    <row r="30" spans="1:46" s="410" customFormat="1" ht="18" customHeight="1" thickBot="1" x14ac:dyDescent="0.3">
      <c r="A30" s="288"/>
      <c r="B30" s="149"/>
      <c r="C30" s="149" t="s">
        <v>46</v>
      </c>
      <c r="D30" s="99"/>
      <c r="E30" s="99"/>
      <c r="F30" s="100">
        <f>SUM(F10:F29)</f>
        <v>1.8234246697413226</v>
      </c>
      <c r="G30" s="99">
        <f>SUM(G10:G29)</f>
        <v>1.8376722459385579</v>
      </c>
      <c r="H30" s="99">
        <f>SUM(H10:H29)</f>
        <v>1.8738663628679921</v>
      </c>
      <c r="I30" s="99">
        <f>SUM(I10:I29)</f>
        <v>1.7980352102674684</v>
      </c>
      <c r="J30" s="101">
        <f>SUM(J10:J29)</f>
        <v>1.8407403475861865</v>
      </c>
      <c r="K30" s="99">
        <f>SUM(F30:J30)</f>
        <v>9.173738836401526</v>
      </c>
      <c r="L30" s="288"/>
      <c r="M30" s="149"/>
      <c r="N30" s="149" t="s">
        <v>46</v>
      </c>
      <c r="O30" s="99"/>
      <c r="P30" s="99"/>
      <c r="Q30" s="100">
        <f>SUM(Q10:Q29)</f>
        <v>1.7243098813725612</v>
      </c>
      <c r="R30" s="99">
        <f>SUM(R10:R29)</f>
        <v>1.74989331782359</v>
      </c>
      <c r="S30" s="99">
        <f>SUM(S10:S29)</f>
        <v>1.7792125927870013</v>
      </c>
      <c r="T30" s="99">
        <f>SUM(T10:T29)</f>
        <v>1.6965255583032564</v>
      </c>
      <c r="U30" s="101">
        <f>SUM(U10:U29)</f>
        <v>1.7335811646027712</v>
      </c>
      <c r="V30" s="99">
        <f>SUM(Q30:U30)</f>
        <v>8.6835225148891801</v>
      </c>
      <c r="W30" s="102"/>
      <c r="X30" s="149"/>
      <c r="Y30" s="149" t="s">
        <v>46</v>
      </c>
      <c r="Z30" s="99"/>
      <c r="AA30" s="99"/>
      <c r="AB30" s="100">
        <f>SUM(AB10:AB29)</f>
        <v>9.9114788368761406E-2</v>
      </c>
      <c r="AC30" s="99">
        <f>SUM(AC10:AC29)</f>
        <v>8.7778928114967902E-2</v>
      </c>
      <c r="AD30" s="99">
        <f>SUM(AD10:AD29)</f>
        <v>9.4653770080990463E-2</v>
      </c>
      <c r="AE30" s="99">
        <f>SUM(AE10:AE29)</f>
        <v>0.10150965196421238</v>
      </c>
      <c r="AF30" s="101">
        <f>SUM(AF10:AF29)</f>
        <v>0.10715918298341544</v>
      </c>
      <c r="AG30" s="99">
        <f>SUM(AB30:AF30)</f>
        <v>0.49021632151234762</v>
      </c>
      <c r="AH30" s="45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</row>
    <row r="31" spans="1:46" x14ac:dyDescent="0.2">
      <c r="A31" s="3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32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97"/>
      <c r="X31" s="103"/>
      <c r="Y31" s="103"/>
      <c r="Z31" s="52"/>
      <c r="AA31" s="54"/>
      <c r="AB31" s="54"/>
      <c r="AC31" s="54"/>
      <c r="AD31" s="54"/>
      <c r="AE31" s="54"/>
      <c r="AF31" s="54"/>
      <c r="AG31" s="54"/>
      <c r="AH31" s="32"/>
    </row>
    <row r="32" spans="1:46" ht="18" customHeight="1" x14ac:dyDescent="0.2">
      <c r="A32" s="32"/>
      <c r="B32" s="114" t="s">
        <v>44</v>
      </c>
      <c r="C32" s="104"/>
      <c r="D32" s="104"/>
      <c r="E32" s="104"/>
      <c r="F32" s="104"/>
      <c r="G32" s="104"/>
      <c r="H32" s="104"/>
      <c r="I32" s="104"/>
      <c r="J32" s="104"/>
      <c r="K32" s="104"/>
      <c r="L32" s="32"/>
      <c r="M32" s="114" t="s">
        <v>44</v>
      </c>
      <c r="N32" s="104"/>
      <c r="O32" s="104"/>
      <c r="P32" s="104"/>
      <c r="Q32" s="104"/>
      <c r="R32" s="104"/>
      <c r="S32" s="104"/>
      <c r="T32" s="104"/>
      <c r="U32" s="104"/>
      <c r="V32" s="104"/>
      <c r="W32" s="97"/>
      <c r="X32" s="114" t="s">
        <v>44</v>
      </c>
      <c r="Y32" s="104"/>
      <c r="Z32" s="52"/>
      <c r="AA32" s="52"/>
      <c r="AB32" s="52"/>
      <c r="AC32" s="52"/>
      <c r="AD32" s="52"/>
      <c r="AE32" s="52"/>
      <c r="AF32" s="52"/>
      <c r="AG32" s="52"/>
      <c r="AH32" s="32"/>
    </row>
    <row r="33" spans="1:46" ht="18" customHeight="1" x14ac:dyDescent="0.2">
      <c r="A33" s="32"/>
      <c r="B33" s="532">
        <f>'Capex Model Category Index'!B32</f>
        <v>21</v>
      </c>
      <c r="C33" s="335" t="str">
        <f>'Capex Model Category Index'!C32</f>
        <v>Telemetry</v>
      </c>
      <c r="D33" s="52"/>
      <c r="E33" s="52"/>
      <c r="F33" s="55">
        <f t="shared" ref="F33:J40" si="37">Q33+AB33</f>
        <v>0</v>
      </c>
      <c r="G33" s="54">
        <f t="shared" si="37"/>
        <v>0</v>
      </c>
      <c r="H33" s="54">
        <f t="shared" si="37"/>
        <v>0</v>
      </c>
      <c r="I33" s="54">
        <f t="shared" si="37"/>
        <v>9.7782400693119761E-2</v>
      </c>
      <c r="J33" s="95">
        <f t="shared" si="37"/>
        <v>0</v>
      </c>
      <c r="K33" s="52">
        <f>SUM(F33:J33)</f>
        <v>9.7782400693119761E-2</v>
      </c>
      <c r="L33" s="32"/>
      <c r="M33" s="532">
        <f>B33</f>
        <v>21</v>
      </c>
      <c r="N33" s="335" t="str">
        <f>C33</f>
        <v>Telemetry</v>
      </c>
      <c r="O33" s="52"/>
      <c r="P33" s="52"/>
      <c r="Q33" s="55">
        <f>'Capex Category Summary (Alb)'!AO62</f>
        <v>0</v>
      </c>
      <c r="R33" s="54">
        <f>'Capex Category Summary (Alb)'!AP62</f>
        <v>0</v>
      </c>
      <c r="S33" s="54">
        <f>'Capex Category Summary (Alb)'!AQ62</f>
        <v>0</v>
      </c>
      <c r="T33" s="54">
        <f>'Capex Category Summary (Alb)'!AR62</f>
        <v>9.2262009654110452E-2</v>
      </c>
      <c r="U33" s="95">
        <f>'Capex Category Summary (Alb)'!AS62</f>
        <v>0</v>
      </c>
      <c r="V33" s="52">
        <f>SUM(Q33:U33)</f>
        <v>9.2262009654110452E-2</v>
      </c>
      <c r="W33" s="97"/>
      <c r="X33" s="532">
        <f>M33</f>
        <v>21</v>
      </c>
      <c r="Y33" s="335" t="str">
        <f>N33</f>
        <v>Telemetry</v>
      </c>
      <c r="Z33" s="52"/>
      <c r="AA33" s="52"/>
      <c r="AB33" s="55">
        <f>(Q33/Q$43)*Q$45</f>
        <v>0</v>
      </c>
      <c r="AC33" s="54">
        <f t="shared" ref="AC33:AF40" si="38">(R33/R$43)*R$45</f>
        <v>0</v>
      </c>
      <c r="AD33" s="54">
        <f t="shared" si="38"/>
        <v>0</v>
      </c>
      <c r="AE33" s="54">
        <f t="shared" si="38"/>
        <v>5.5203910390093057E-3</v>
      </c>
      <c r="AF33" s="95">
        <f t="shared" si="38"/>
        <v>0</v>
      </c>
      <c r="AG33" s="52">
        <f>SUM(AB33:AF33)</f>
        <v>5.5203910390093057E-3</v>
      </c>
      <c r="AH33" s="32"/>
    </row>
    <row r="34" spans="1:46" ht="18" customHeight="1" x14ac:dyDescent="0.2">
      <c r="A34" s="32"/>
      <c r="B34" s="532">
        <f>'Capex Model Category Index'!B33</f>
        <v>22</v>
      </c>
      <c r="C34" s="335" t="str">
        <f>'Capex Model Category Index'!C33</f>
        <v>Regulators</v>
      </c>
      <c r="D34" s="52"/>
      <c r="E34" s="52"/>
      <c r="F34" s="55">
        <f t="shared" si="37"/>
        <v>0</v>
      </c>
      <c r="G34" s="54">
        <f t="shared" si="37"/>
        <v>5.4195118376819978E-2</v>
      </c>
      <c r="H34" s="54">
        <f t="shared" si="37"/>
        <v>8.7577189314638468E-2</v>
      </c>
      <c r="I34" s="54">
        <f t="shared" si="37"/>
        <v>7.4447964164079825E-2</v>
      </c>
      <c r="J34" s="95">
        <f t="shared" si="37"/>
        <v>0</v>
      </c>
      <c r="K34" s="52">
        <f t="shared" ref="K34:K40" si="39">SUM(F34:J34)</f>
        <v>0.21622027185553827</v>
      </c>
      <c r="L34" s="32"/>
      <c r="M34" s="532">
        <f t="shared" ref="M34:N40" si="40">B34</f>
        <v>22</v>
      </c>
      <c r="N34" s="335" t="str">
        <f t="shared" si="40"/>
        <v>Regulators</v>
      </c>
      <c r="O34" s="52"/>
      <c r="P34" s="52"/>
      <c r="Q34" s="55">
        <f>'Capex Category Summary (Alb)'!AO63</f>
        <v>0</v>
      </c>
      <c r="R34" s="54">
        <f>'Capex Category Summary (Alb)'!AP63</f>
        <v>5.1606414427737148E-2</v>
      </c>
      <c r="S34" s="54">
        <f>'Capex Category Summary (Alb)'!AQ63</f>
        <v>8.3153442079515527E-2</v>
      </c>
      <c r="T34" s="54">
        <f>'Capex Category Summary (Alb)'!AR63</f>
        <v>7.0244939168470466E-2</v>
      </c>
      <c r="U34" s="95">
        <f>'Capex Category Summary (Alb)'!AS63</f>
        <v>0</v>
      </c>
      <c r="V34" s="52">
        <f t="shared" ref="V34:V40" si="41">SUM(Q34:U34)</f>
        <v>0.20500479567572313</v>
      </c>
      <c r="W34" s="97"/>
      <c r="X34" s="532">
        <f t="shared" ref="X34:Y40" si="42">M34</f>
        <v>22</v>
      </c>
      <c r="Y34" s="335" t="str">
        <f t="shared" si="42"/>
        <v>Regulators</v>
      </c>
      <c r="Z34" s="52"/>
      <c r="AA34" s="52"/>
      <c r="AB34" s="55">
        <f t="shared" ref="AB34:AB40" si="43">(Q34/Q$43)*Q$45</f>
        <v>0</v>
      </c>
      <c r="AC34" s="54">
        <f t="shared" si="38"/>
        <v>2.5887039490828292E-3</v>
      </c>
      <c r="AD34" s="54">
        <f t="shared" si="38"/>
        <v>4.4237472351229441E-3</v>
      </c>
      <c r="AE34" s="54">
        <f t="shared" si="38"/>
        <v>4.2030249956093585E-3</v>
      </c>
      <c r="AF34" s="95">
        <f t="shared" si="38"/>
        <v>0</v>
      </c>
      <c r="AG34" s="52">
        <f t="shared" ref="AG34:AG40" si="44">SUM(AB34:AF34)</f>
        <v>1.1215476179815132E-2</v>
      </c>
      <c r="AH34" s="32"/>
    </row>
    <row r="35" spans="1:46" ht="18" customHeight="1" x14ac:dyDescent="0.2">
      <c r="A35" s="32"/>
      <c r="B35" s="532">
        <f>'Capex Model Category Index'!B34</f>
        <v>23</v>
      </c>
      <c r="C35" s="335" t="str">
        <f>'Capex Model Category Index'!C34</f>
        <v>Information Technology</v>
      </c>
      <c r="D35" s="52"/>
      <c r="E35" s="52"/>
      <c r="F35" s="55">
        <f t="shared" si="37"/>
        <v>0.41329565834654802</v>
      </c>
      <c r="G35" s="54">
        <f t="shared" si="37"/>
        <v>0.86681595539580147</v>
      </c>
      <c r="H35" s="54">
        <f t="shared" si="37"/>
        <v>0.59529208157622093</v>
      </c>
      <c r="I35" s="54">
        <f t="shared" si="37"/>
        <v>0.19224705280688581</v>
      </c>
      <c r="J35" s="95">
        <f t="shared" si="37"/>
        <v>0.22694029091887807</v>
      </c>
      <c r="K35" s="52">
        <f t="shared" si="39"/>
        <v>2.2945910390443345</v>
      </c>
      <c r="L35" s="32"/>
      <c r="M35" s="532">
        <f t="shared" si="40"/>
        <v>23</v>
      </c>
      <c r="N35" s="335" t="str">
        <f t="shared" si="40"/>
        <v>Information Technology</v>
      </c>
      <c r="O35" s="52"/>
      <c r="P35" s="52"/>
      <c r="Q35" s="55">
        <f>'Capex Category Summary (Alb)'!AO64</f>
        <v>0.39083039702234029</v>
      </c>
      <c r="R35" s="54">
        <f>'Capex Category Summary (Alb)'!AP64</f>
        <v>0.82541130578771282</v>
      </c>
      <c r="S35" s="54">
        <f>'Capex Category Summary (Alb)'!AQ64</f>
        <v>0.5652223599903603</v>
      </c>
      <c r="T35" s="54">
        <f>'Capex Category Summary (Alb)'!AR64</f>
        <v>0.18139357712958271</v>
      </c>
      <c r="U35" s="95">
        <f>'Capex Category Summary (Alb)'!AS64</f>
        <v>0.21372890225519423</v>
      </c>
      <c r="V35" s="52">
        <f t="shared" si="41"/>
        <v>2.1765865421851904</v>
      </c>
      <c r="W35" s="97"/>
      <c r="X35" s="532">
        <f t="shared" si="42"/>
        <v>23</v>
      </c>
      <c r="Y35" s="335" t="str">
        <f t="shared" si="42"/>
        <v>Information Technology</v>
      </c>
      <c r="Z35" s="52"/>
      <c r="AA35" s="52"/>
      <c r="AB35" s="55">
        <f t="shared" si="43"/>
        <v>2.2465261324207755E-2</v>
      </c>
      <c r="AC35" s="54">
        <f t="shared" si="38"/>
        <v>4.1404649608088644E-2</v>
      </c>
      <c r="AD35" s="54">
        <f t="shared" si="38"/>
        <v>3.0069721585860652E-2</v>
      </c>
      <c r="AE35" s="54">
        <f t="shared" si="38"/>
        <v>1.08534756773031E-2</v>
      </c>
      <c r="AF35" s="95">
        <f t="shared" si="38"/>
        <v>1.3211388663683836E-2</v>
      </c>
      <c r="AG35" s="52">
        <f t="shared" si="44"/>
        <v>0.11800449685914398</v>
      </c>
      <c r="AH35" s="32"/>
    </row>
    <row r="36" spans="1:46" ht="18" customHeight="1" x14ac:dyDescent="0.2">
      <c r="A36" s="32"/>
      <c r="B36" s="532">
        <f>'Capex Model Category Index'!B35</f>
        <v>24</v>
      </c>
      <c r="C36" s="335" t="str">
        <f>'Capex Model Category Index'!C35</f>
        <v>Other Distribution System</v>
      </c>
      <c r="D36" s="52"/>
      <c r="E36" s="52"/>
      <c r="F36" s="55">
        <f t="shared" si="37"/>
        <v>0</v>
      </c>
      <c r="G36" s="54">
        <f t="shared" si="37"/>
        <v>3.2517071026091984E-2</v>
      </c>
      <c r="H36" s="54">
        <f t="shared" si="37"/>
        <v>0</v>
      </c>
      <c r="I36" s="54">
        <f t="shared" si="37"/>
        <v>0</v>
      </c>
      <c r="J36" s="95">
        <f t="shared" si="37"/>
        <v>0</v>
      </c>
      <c r="K36" s="52">
        <f t="shared" si="39"/>
        <v>3.2517071026091984E-2</v>
      </c>
      <c r="L36" s="32"/>
      <c r="M36" s="532">
        <f t="shared" si="40"/>
        <v>24</v>
      </c>
      <c r="N36" s="335" t="str">
        <f t="shared" si="40"/>
        <v>Other Distribution System</v>
      </c>
      <c r="O36" s="52"/>
      <c r="P36" s="52"/>
      <c r="Q36" s="55">
        <f>'Capex Category Summary (Alb)'!AO65</f>
        <v>0</v>
      </c>
      <c r="R36" s="54">
        <f>'Capex Category Summary (Alb)'!AP65</f>
        <v>3.0963848656642288E-2</v>
      </c>
      <c r="S36" s="54">
        <f>'Capex Category Summary (Alb)'!AQ65</f>
        <v>0</v>
      </c>
      <c r="T36" s="54">
        <f>'Capex Category Summary (Alb)'!AR65</f>
        <v>0</v>
      </c>
      <c r="U36" s="95">
        <f>'Capex Category Summary (Alb)'!AS65</f>
        <v>0</v>
      </c>
      <c r="V36" s="52">
        <f t="shared" si="41"/>
        <v>3.0963848656642288E-2</v>
      </c>
      <c r="W36" s="97"/>
      <c r="X36" s="532">
        <f t="shared" si="42"/>
        <v>24</v>
      </c>
      <c r="Y36" s="335" t="str">
        <f t="shared" si="42"/>
        <v>Other Distribution System</v>
      </c>
      <c r="Z36" s="52"/>
      <c r="AA36" s="52"/>
      <c r="AB36" s="55">
        <f t="shared" si="43"/>
        <v>0</v>
      </c>
      <c r="AC36" s="54">
        <f t="shared" si="38"/>
        <v>1.5532223694496976E-3</v>
      </c>
      <c r="AD36" s="54">
        <f t="shared" si="38"/>
        <v>0</v>
      </c>
      <c r="AE36" s="54">
        <f t="shared" si="38"/>
        <v>0</v>
      </c>
      <c r="AF36" s="95">
        <f t="shared" si="38"/>
        <v>0</v>
      </c>
      <c r="AG36" s="52">
        <f t="shared" si="44"/>
        <v>1.5532223694496976E-3</v>
      </c>
      <c r="AH36" s="32"/>
    </row>
    <row r="37" spans="1:46" ht="18" customHeight="1" x14ac:dyDescent="0.2">
      <c r="A37" s="32"/>
      <c r="B37" s="532">
        <f>'Capex Model Category Index'!B36</f>
        <v>25</v>
      </c>
      <c r="C37" s="335" t="str">
        <f>'Capex Model Category Index'!C36</f>
        <v>Other Non-Distribution System</v>
      </c>
      <c r="D37" s="52"/>
      <c r="E37" s="52"/>
      <c r="F37" s="55">
        <f t="shared" si="37"/>
        <v>7.5967706953070924E-2</v>
      </c>
      <c r="G37" s="54">
        <f t="shared" si="37"/>
        <v>2.4929754453337186E-2</v>
      </c>
      <c r="H37" s="54">
        <f t="shared" si="37"/>
        <v>2.517844192795856E-2</v>
      </c>
      <c r="I37" s="54">
        <f t="shared" si="37"/>
        <v>2.5556763817519937E-2</v>
      </c>
      <c r="J37" s="95">
        <f t="shared" si="37"/>
        <v>2.5853197795585287E-2</v>
      </c>
      <c r="K37" s="52">
        <f t="shared" si="39"/>
        <v>0.1774858649474719</v>
      </c>
      <c r="L37" s="32"/>
      <c r="M37" s="532">
        <f t="shared" si="40"/>
        <v>25</v>
      </c>
      <c r="N37" s="335" t="str">
        <f t="shared" si="40"/>
        <v>Other Non-Distribution System</v>
      </c>
      <c r="O37" s="52"/>
      <c r="P37" s="52"/>
      <c r="Q37" s="55">
        <f>'Capex Category Summary (Alb)'!AO66</f>
        <v>7.1838376401355902E-2</v>
      </c>
      <c r="R37" s="54">
        <f>'Capex Category Summary (Alb)'!AP66</f>
        <v>2.3738950636759085E-2</v>
      </c>
      <c r="S37" s="54">
        <f>'Capex Category Summary (Alb)'!AQ66</f>
        <v>2.3906614597860712E-2</v>
      </c>
      <c r="T37" s="54">
        <f>'Capex Category Summary (Alb)'!AR66</f>
        <v>2.4113934341415233E-2</v>
      </c>
      <c r="U37" s="95">
        <f>'Capex Category Summary (Alb)'!AS66</f>
        <v>2.4348147093069601E-2</v>
      </c>
      <c r="V37" s="52">
        <f t="shared" si="41"/>
        <v>0.16794602307046053</v>
      </c>
      <c r="W37" s="97"/>
      <c r="X37" s="532">
        <f t="shared" si="42"/>
        <v>25</v>
      </c>
      <c r="Y37" s="335" t="str">
        <f t="shared" si="42"/>
        <v>Other Non-Distribution System</v>
      </c>
      <c r="Z37" s="52"/>
      <c r="AA37" s="52"/>
      <c r="AB37" s="55">
        <f t="shared" si="43"/>
        <v>4.1293305517150179E-3</v>
      </c>
      <c r="AC37" s="54">
        <f t="shared" si="38"/>
        <v>1.1908038165781014E-3</v>
      </c>
      <c r="AD37" s="54">
        <f t="shared" si="38"/>
        <v>1.2718273300978463E-3</v>
      </c>
      <c r="AE37" s="54">
        <f t="shared" si="38"/>
        <v>1.442829476104705E-3</v>
      </c>
      <c r="AF37" s="95">
        <f t="shared" si="38"/>
        <v>1.5050507025156849E-3</v>
      </c>
      <c r="AG37" s="52">
        <f t="shared" si="44"/>
        <v>9.5398418770113562E-3</v>
      </c>
      <c r="AH37" s="32"/>
    </row>
    <row r="38" spans="1:46" ht="18" customHeight="1" x14ac:dyDescent="0.2">
      <c r="A38" s="32"/>
      <c r="B38" s="532">
        <f>'Capex Model Category Index'!B37</f>
        <v>26</v>
      </c>
      <c r="C38" s="335" t="str">
        <f>'Capex Model Category Index'!C37</f>
        <v>Large Consumers</v>
      </c>
      <c r="D38" s="52"/>
      <c r="E38" s="52"/>
      <c r="F38" s="55">
        <f t="shared" si="37"/>
        <v>0</v>
      </c>
      <c r="G38" s="54">
        <f t="shared" si="37"/>
        <v>0</v>
      </c>
      <c r="H38" s="54">
        <f t="shared" si="37"/>
        <v>0</v>
      </c>
      <c r="I38" s="54">
        <f t="shared" si="37"/>
        <v>0</v>
      </c>
      <c r="J38" s="95">
        <f t="shared" si="37"/>
        <v>0</v>
      </c>
      <c r="K38" s="52">
        <f t="shared" si="39"/>
        <v>0</v>
      </c>
      <c r="L38" s="32"/>
      <c r="M38" s="532">
        <f t="shared" si="40"/>
        <v>26</v>
      </c>
      <c r="N38" s="335" t="str">
        <f t="shared" si="40"/>
        <v>Large Consumers</v>
      </c>
      <c r="O38" s="52"/>
      <c r="P38" s="52"/>
      <c r="Q38" s="55">
        <f>'Capex Category Summary (Alb)'!AO67</f>
        <v>0</v>
      </c>
      <c r="R38" s="54">
        <f>'Capex Category Summary (Alb)'!AP67</f>
        <v>0</v>
      </c>
      <c r="S38" s="54">
        <f>'Capex Category Summary (Alb)'!AQ67</f>
        <v>0</v>
      </c>
      <c r="T38" s="54">
        <f>'Capex Category Summary (Alb)'!AR67</f>
        <v>0</v>
      </c>
      <c r="U38" s="95">
        <f>'Capex Category Summary (Alb)'!AS67</f>
        <v>0</v>
      </c>
      <c r="V38" s="52">
        <f t="shared" si="41"/>
        <v>0</v>
      </c>
      <c r="W38" s="97"/>
      <c r="X38" s="532">
        <f t="shared" si="42"/>
        <v>26</v>
      </c>
      <c r="Y38" s="335" t="str">
        <f t="shared" si="42"/>
        <v>Large Consumers</v>
      </c>
      <c r="Z38" s="52"/>
      <c r="AA38" s="52"/>
      <c r="AB38" s="55">
        <f t="shared" si="43"/>
        <v>0</v>
      </c>
      <c r="AC38" s="54">
        <f t="shared" si="38"/>
        <v>0</v>
      </c>
      <c r="AD38" s="54">
        <f t="shared" si="38"/>
        <v>0</v>
      </c>
      <c r="AE38" s="54">
        <f t="shared" si="38"/>
        <v>0</v>
      </c>
      <c r="AF38" s="95">
        <f t="shared" si="38"/>
        <v>0</v>
      </c>
      <c r="AG38" s="52">
        <f t="shared" si="44"/>
        <v>0</v>
      </c>
      <c r="AH38" s="32"/>
    </row>
    <row r="39" spans="1:46" ht="18" customHeight="1" x14ac:dyDescent="0.2">
      <c r="A39" s="32"/>
      <c r="B39" s="532">
        <f>'Capex Model Category Index'!B38</f>
        <v>27</v>
      </c>
      <c r="C39" s="335" t="str">
        <f>'Capex Model Category Index'!C38</f>
        <v>Mains Augmentation</v>
      </c>
      <c r="D39" s="52"/>
      <c r="E39" s="52"/>
      <c r="F39" s="55">
        <f t="shared" si="37"/>
        <v>0</v>
      </c>
      <c r="G39" s="54">
        <f t="shared" si="37"/>
        <v>0</v>
      </c>
      <c r="H39" s="54">
        <f t="shared" si="37"/>
        <v>0</v>
      </c>
      <c r="I39" s="54">
        <f t="shared" si="37"/>
        <v>0</v>
      </c>
      <c r="J39" s="95">
        <f t="shared" si="37"/>
        <v>0</v>
      </c>
      <c r="K39" s="52">
        <f t="shared" si="39"/>
        <v>0</v>
      </c>
      <c r="L39" s="32"/>
      <c r="M39" s="532">
        <f t="shared" si="40"/>
        <v>27</v>
      </c>
      <c r="N39" s="335" t="str">
        <f t="shared" si="40"/>
        <v>Mains Augmentation</v>
      </c>
      <c r="O39" s="52"/>
      <c r="P39" s="52"/>
      <c r="Q39" s="55">
        <f>'Capex Category Summary (Alb)'!AO68</f>
        <v>0</v>
      </c>
      <c r="R39" s="54">
        <f>'Capex Category Summary (Alb)'!AP68</f>
        <v>0</v>
      </c>
      <c r="S39" s="54">
        <f>'Capex Category Summary (Alb)'!AQ68</f>
        <v>0</v>
      </c>
      <c r="T39" s="54">
        <f>'Capex Category Summary (Alb)'!AR68</f>
        <v>0</v>
      </c>
      <c r="U39" s="95">
        <f>'Capex Category Summary (Alb)'!AS68</f>
        <v>0</v>
      </c>
      <c r="V39" s="52">
        <f t="shared" si="41"/>
        <v>0</v>
      </c>
      <c r="W39" s="97"/>
      <c r="X39" s="532">
        <f t="shared" si="42"/>
        <v>27</v>
      </c>
      <c r="Y39" s="335" t="str">
        <f t="shared" si="42"/>
        <v>Mains Augmentation</v>
      </c>
      <c r="Z39" s="52"/>
      <c r="AA39" s="52"/>
      <c r="AB39" s="55">
        <f t="shared" si="43"/>
        <v>0</v>
      </c>
      <c r="AC39" s="54">
        <f t="shared" si="38"/>
        <v>0</v>
      </c>
      <c r="AD39" s="54">
        <f t="shared" si="38"/>
        <v>0</v>
      </c>
      <c r="AE39" s="54">
        <f t="shared" si="38"/>
        <v>0</v>
      </c>
      <c r="AF39" s="95">
        <f t="shared" si="38"/>
        <v>0</v>
      </c>
      <c r="AG39" s="52">
        <f t="shared" si="44"/>
        <v>0</v>
      </c>
      <c r="AH39" s="32"/>
    </row>
    <row r="40" spans="1:46" ht="18" customHeight="1" x14ac:dyDescent="0.2">
      <c r="A40" s="32"/>
      <c r="B40" s="532">
        <f>'Capex Model Category Index'!B39</f>
        <v>28</v>
      </c>
      <c r="C40" s="335" t="str">
        <f>'Capex Model Category Index'!C39</f>
        <v>Growth New Areas</v>
      </c>
      <c r="D40" s="52"/>
      <c r="E40" s="52"/>
      <c r="F40" s="55">
        <f t="shared" si="37"/>
        <v>0</v>
      </c>
      <c r="G40" s="54">
        <f t="shared" si="37"/>
        <v>0</v>
      </c>
      <c r="H40" s="54">
        <f t="shared" si="37"/>
        <v>0</v>
      </c>
      <c r="I40" s="54">
        <f t="shared" si="37"/>
        <v>0</v>
      </c>
      <c r="J40" s="95">
        <f t="shared" si="37"/>
        <v>0</v>
      </c>
      <c r="K40" s="52">
        <f t="shared" si="39"/>
        <v>0</v>
      </c>
      <c r="L40" s="32"/>
      <c r="M40" s="532">
        <f t="shared" si="40"/>
        <v>28</v>
      </c>
      <c r="N40" s="335" t="str">
        <f t="shared" si="40"/>
        <v>Growth New Areas</v>
      </c>
      <c r="O40" s="52"/>
      <c r="P40" s="52"/>
      <c r="Q40" s="55">
        <f>'Capex Category Summary (Alb)'!AO69</f>
        <v>0</v>
      </c>
      <c r="R40" s="54">
        <f>'Capex Category Summary (Alb)'!AP69</f>
        <v>0</v>
      </c>
      <c r="S40" s="54">
        <f>'Capex Category Summary (Alb)'!AQ69</f>
        <v>0</v>
      </c>
      <c r="T40" s="54">
        <f>'Capex Category Summary (Alb)'!AR69</f>
        <v>0</v>
      </c>
      <c r="U40" s="95">
        <f>'Capex Category Summary (Alb)'!AS69</f>
        <v>0</v>
      </c>
      <c r="V40" s="52">
        <f t="shared" si="41"/>
        <v>0</v>
      </c>
      <c r="W40" s="97"/>
      <c r="X40" s="532">
        <f t="shared" si="42"/>
        <v>28</v>
      </c>
      <c r="Y40" s="335" t="str">
        <f t="shared" si="42"/>
        <v>Growth New Areas</v>
      </c>
      <c r="Z40" s="52"/>
      <c r="AA40" s="52"/>
      <c r="AB40" s="133">
        <f t="shared" si="43"/>
        <v>0</v>
      </c>
      <c r="AC40" s="132">
        <f t="shared" si="38"/>
        <v>0</v>
      </c>
      <c r="AD40" s="132">
        <f t="shared" si="38"/>
        <v>0</v>
      </c>
      <c r="AE40" s="132">
        <f t="shared" si="38"/>
        <v>0</v>
      </c>
      <c r="AF40" s="134">
        <f t="shared" si="38"/>
        <v>0</v>
      </c>
      <c r="AG40" s="52">
        <f t="shared" si="44"/>
        <v>0</v>
      </c>
      <c r="AH40" s="32"/>
    </row>
    <row r="41" spans="1:46" s="410" customFormat="1" ht="18" customHeight="1" thickBot="1" x14ac:dyDescent="0.3">
      <c r="A41" s="288"/>
      <c r="B41" s="149"/>
      <c r="C41" s="149" t="s">
        <v>46</v>
      </c>
      <c r="D41" s="99"/>
      <c r="E41" s="99"/>
      <c r="F41" s="100">
        <f>SUM(F33:F40)</f>
        <v>0.48926336529961895</v>
      </c>
      <c r="G41" s="99">
        <f t="shared" ref="G41:J41" si="45">SUM(G33:G40)</f>
        <v>0.97845789925205073</v>
      </c>
      <c r="H41" s="99">
        <f t="shared" si="45"/>
        <v>0.70804771281881795</v>
      </c>
      <c r="I41" s="99">
        <f t="shared" si="45"/>
        <v>0.39003418148160529</v>
      </c>
      <c r="J41" s="101">
        <f t="shared" si="45"/>
        <v>0.25279348871446339</v>
      </c>
      <c r="K41" s="99">
        <f>SUM(F41:J41)</f>
        <v>2.8185966475665563</v>
      </c>
      <c r="L41" s="288"/>
      <c r="M41" s="149"/>
      <c r="N41" s="149" t="s">
        <v>46</v>
      </c>
      <c r="O41" s="99"/>
      <c r="P41" s="99"/>
      <c r="Q41" s="100">
        <f>SUM(Q33:Q40)</f>
        <v>0.46266877342369617</v>
      </c>
      <c r="R41" s="99">
        <f t="shared" ref="R41:U41" si="46">SUM(R33:R40)</f>
        <v>0.93172051950885137</v>
      </c>
      <c r="S41" s="99">
        <f t="shared" si="46"/>
        <v>0.67228241666773647</v>
      </c>
      <c r="T41" s="99">
        <f t="shared" si="46"/>
        <v>0.36801446029357887</v>
      </c>
      <c r="U41" s="101">
        <f t="shared" si="46"/>
        <v>0.23807704934826382</v>
      </c>
      <c r="V41" s="99">
        <f>SUM(Q41:U41)</f>
        <v>2.6727632192421265</v>
      </c>
      <c r="W41" s="102"/>
      <c r="X41" s="149"/>
      <c r="Y41" s="149" t="s">
        <v>46</v>
      </c>
      <c r="Z41" s="99"/>
      <c r="AA41" s="99"/>
      <c r="AB41" s="144">
        <f>SUM(AB33:AB40)</f>
        <v>2.6594591875922773E-2</v>
      </c>
      <c r="AC41" s="145">
        <f t="shared" ref="AC41:AF41" si="47">SUM(AC33:AC40)</f>
        <v>4.6737379743199275E-2</v>
      </c>
      <c r="AD41" s="145">
        <f t="shared" si="47"/>
        <v>3.5765296151081448E-2</v>
      </c>
      <c r="AE41" s="145">
        <f t="shared" si="47"/>
        <v>2.2019721188026468E-2</v>
      </c>
      <c r="AF41" s="300">
        <f t="shared" si="47"/>
        <v>1.4716439366199522E-2</v>
      </c>
      <c r="AG41" s="99">
        <f>SUM(AB41:AF41)</f>
        <v>0.1458334283244295</v>
      </c>
      <c r="AH41" s="45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</row>
    <row r="42" spans="1:46" ht="15" x14ac:dyDescent="0.25">
      <c r="A42" s="32"/>
      <c r="B42" s="105"/>
      <c r="C42" s="105"/>
      <c r="D42" s="57"/>
      <c r="E42" s="57"/>
      <c r="F42" s="57"/>
      <c r="G42" s="57"/>
      <c r="H42" s="57"/>
      <c r="I42" s="57"/>
      <c r="J42" s="57"/>
      <c r="K42" s="57"/>
      <c r="L42" s="32"/>
      <c r="M42" s="105"/>
      <c r="N42" s="105"/>
      <c r="O42" s="57"/>
      <c r="P42" s="57"/>
      <c r="Q42" s="57"/>
      <c r="R42" s="57"/>
      <c r="S42" s="57"/>
      <c r="T42" s="57"/>
      <c r="U42" s="57"/>
      <c r="V42" s="57"/>
      <c r="W42" s="106"/>
      <c r="X42" s="105"/>
      <c r="Y42" s="105"/>
      <c r="Z42" s="57"/>
      <c r="AA42" s="57"/>
      <c r="AB42" s="57"/>
      <c r="AC42" s="57"/>
      <c r="AD42" s="57"/>
      <c r="AE42" s="57"/>
      <c r="AF42" s="57"/>
      <c r="AG42" s="57"/>
      <c r="AH42" s="32"/>
    </row>
    <row r="43" spans="1:46" ht="15.75" thickBot="1" x14ac:dyDescent="0.25">
      <c r="A43" s="32"/>
      <c r="B43" s="98"/>
      <c r="C43" s="149" t="s">
        <v>228</v>
      </c>
      <c r="D43" s="99"/>
      <c r="E43" s="99"/>
      <c r="F43" s="100">
        <f>F30+F41</f>
        <v>2.3126880350409413</v>
      </c>
      <c r="G43" s="99">
        <f t="shared" ref="G43:J43" si="48">G30+G41</f>
        <v>2.8161301451906087</v>
      </c>
      <c r="H43" s="99">
        <f t="shared" si="48"/>
        <v>2.58191407568681</v>
      </c>
      <c r="I43" s="99">
        <f t="shared" si="48"/>
        <v>2.1880693917490737</v>
      </c>
      <c r="J43" s="101">
        <f t="shared" si="48"/>
        <v>2.0935338363006499</v>
      </c>
      <c r="K43" s="99">
        <f>SUM(F43:J43)</f>
        <v>11.992335483968084</v>
      </c>
      <c r="L43" s="32"/>
      <c r="M43" s="98"/>
      <c r="N43" s="149" t="s">
        <v>227</v>
      </c>
      <c r="O43" s="99"/>
      <c r="P43" s="99"/>
      <c r="Q43" s="100">
        <f>Q30+Q41</f>
        <v>2.1869786547962575</v>
      </c>
      <c r="R43" s="99">
        <f t="shared" ref="R43:U43" si="49">R30+R41</f>
        <v>2.6816138373324412</v>
      </c>
      <c r="S43" s="99">
        <f t="shared" si="49"/>
        <v>2.4514950094547379</v>
      </c>
      <c r="T43" s="99">
        <f t="shared" si="49"/>
        <v>2.0645400185968352</v>
      </c>
      <c r="U43" s="101">
        <f t="shared" si="49"/>
        <v>1.971658213951035</v>
      </c>
      <c r="V43" s="99">
        <f>SUM(Q43:U43)</f>
        <v>11.356285734131305</v>
      </c>
      <c r="W43" s="106"/>
      <c r="X43" s="98"/>
      <c r="Y43" s="149" t="s">
        <v>194</v>
      </c>
      <c r="Z43" s="99"/>
      <c r="AA43" s="99"/>
      <c r="AB43" s="99">
        <f>AB30+AB41</f>
        <v>0.12570938024468417</v>
      </c>
      <c r="AC43" s="99">
        <f t="shared" ref="AC43:AF43" si="50">AC30+AC41</f>
        <v>0.13451630785816718</v>
      </c>
      <c r="AD43" s="99">
        <f t="shared" si="50"/>
        <v>0.13041906623207192</v>
      </c>
      <c r="AE43" s="99">
        <f t="shared" si="50"/>
        <v>0.12352937315223886</v>
      </c>
      <c r="AF43" s="99">
        <f t="shared" si="50"/>
        <v>0.12187562234961496</v>
      </c>
      <c r="AG43" s="99">
        <f>SUM(AB43:AF43)</f>
        <v>0.6360497498367772</v>
      </c>
      <c r="AH43" s="32"/>
    </row>
    <row r="44" spans="1:46" ht="15" x14ac:dyDescent="0.25">
      <c r="A44" s="32"/>
      <c r="B44" s="305"/>
      <c r="C44" s="305" t="s">
        <v>11</v>
      </c>
      <c r="D44" s="50"/>
      <c r="E44" s="50"/>
      <c r="F44" s="50">
        <f>F43-Q47</f>
        <v>0</v>
      </c>
      <c r="G44" s="50">
        <f>G43-R47</f>
        <v>0</v>
      </c>
      <c r="H44" s="50">
        <f>H43-S47</f>
        <v>0</v>
      </c>
      <c r="I44" s="50">
        <f>I43-T47</f>
        <v>0</v>
      </c>
      <c r="J44" s="50">
        <f>J43-U47</f>
        <v>0</v>
      </c>
      <c r="K44" s="57"/>
      <c r="L44" s="32"/>
      <c r="M44" s="105"/>
      <c r="N44" s="105"/>
      <c r="O44" s="57"/>
      <c r="P44" s="57"/>
      <c r="Q44" s="57"/>
      <c r="R44" s="57"/>
      <c r="S44" s="57"/>
      <c r="T44" s="57"/>
      <c r="U44" s="57"/>
      <c r="V44" s="57"/>
      <c r="W44" s="106"/>
      <c r="X44" s="105"/>
      <c r="Y44" s="450" t="s">
        <v>11</v>
      </c>
      <c r="Z44" s="451"/>
      <c r="AA44" s="451"/>
      <c r="AB44" s="451">
        <f>AB43-Q45</f>
        <v>0</v>
      </c>
      <c r="AC44" s="451">
        <f t="shared" ref="AC44:AF44" si="51">AC43-R45</f>
        <v>0</v>
      </c>
      <c r="AD44" s="451">
        <f t="shared" si="51"/>
        <v>0</v>
      </c>
      <c r="AE44" s="451">
        <f t="shared" si="51"/>
        <v>0</v>
      </c>
      <c r="AF44" s="451">
        <f t="shared" si="51"/>
        <v>0</v>
      </c>
      <c r="AG44" s="451">
        <f>AG43-V45</f>
        <v>0</v>
      </c>
      <c r="AH44" s="32"/>
    </row>
    <row r="45" spans="1:46" ht="19.5" customHeight="1" thickBo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98"/>
      <c r="N45" s="149" t="s">
        <v>61</v>
      </c>
      <c r="O45" s="99"/>
      <c r="P45" s="99"/>
      <c r="Q45" s="100">
        <f>Overheads!O51</f>
        <v>0.1257093802446842</v>
      </c>
      <c r="R45" s="99">
        <f>Overheads!P51</f>
        <v>0.13451630785816718</v>
      </c>
      <c r="S45" s="99">
        <f>Overheads!Q51</f>
        <v>0.13041906623207192</v>
      </c>
      <c r="T45" s="99">
        <f>Overheads!R51</f>
        <v>0.12352937315223886</v>
      </c>
      <c r="U45" s="101">
        <f>Overheads!S51</f>
        <v>0.12187562234961496</v>
      </c>
      <c r="V45" s="99">
        <f>SUM(Q45:U45)</f>
        <v>0.6360497498367772</v>
      </c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32"/>
    </row>
    <row r="46" spans="1:46" ht="1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105"/>
      <c r="N46" s="105"/>
      <c r="O46" s="57"/>
      <c r="P46" s="57"/>
      <c r="Q46" s="57"/>
      <c r="R46" s="57"/>
      <c r="S46" s="57"/>
      <c r="T46" s="57"/>
      <c r="U46" s="57"/>
      <c r="V46" s="57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32"/>
    </row>
    <row r="47" spans="1:46" s="323" customFormat="1" ht="18.75" customHeight="1" thickBot="1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98"/>
      <c r="N47" s="149" t="s">
        <v>228</v>
      </c>
      <c r="O47" s="99"/>
      <c r="P47" s="99"/>
      <c r="Q47" s="100">
        <f>Q30+Q41+Q45</f>
        <v>2.3126880350409418</v>
      </c>
      <c r="R47" s="99">
        <f t="shared" ref="R47:U47" si="52">R30+R41+R45</f>
        <v>2.8161301451906082</v>
      </c>
      <c r="S47" s="99">
        <f t="shared" si="52"/>
        <v>2.58191407568681</v>
      </c>
      <c r="T47" s="99">
        <f t="shared" si="52"/>
        <v>2.1880693917490741</v>
      </c>
      <c r="U47" s="101">
        <f t="shared" si="52"/>
        <v>2.0935338363006499</v>
      </c>
      <c r="V47" s="99">
        <f>SUM(Q47:U47)</f>
        <v>11.992335483968084</v>
      </c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32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</row>
    <row r="48" spans="1:46" ht="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105"/>
      <c r="N48" s="105"/>
      <c r="O48" s="57"/>
      <c r="P48" s="57"/>
      <c r="Q48" s="57"/>
      <c r="R48" s="57"/>
      <c r="S48" s="57"/>
      <c r="T48" s="57"/>
      <c r="U48" s="57"/>
      <c r="V48" s="57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32"/>
    </row>
    <row r="49" spans="13:23" ht="15" x14ac:dyDescent="0.25">
      <c r="M49" s="107"/>
      <c r="N49" s="107"/>
      <c r="O49" s="108"/>
      <c r="P49" s="108"/>
      <c r="Q49" s="108"/>
      <c r="R49" s="108"/>
      <c r="S49" s="108"/>
      <c r="T49" s="108"/>
      <c r="U49" s="108"/>
      <c r="V49" s="108"/>
      <c r="W49" s="109"/>
    </row>
    <row r="50" spans="13:23" x14ac:dyDescent="0.2">
      <c r="M50" s="110"/>
      <c r="N50" s="110"/>
      <c r="O50" s="111"/>
      <c r="P50" s="111"/>
      <c r="Q50" s="112"/>
      <c r="R50" s="112"/>
      <c r="S50" s="112"/>
      <c r="T50" s="112"/>
      <c r="U50" s="112"/>
      <c r="V50" s="112"/>
      <c r="W50" s="113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topLeftCell="C1" zoomScale="80" zoomScaleNormal="80" workbookViewId="0">
      <selection activeCell="S20" sqref="S20"/>
    </sheetView>
  </sheetViews>
  <sheetFormatPr defaultRowHeight="14.25" x14ac:dyDescent="0.2"/>
  <cols>
    <col min="1" max="1" width="2.5703125" style="44" customWidth="1"/>
    <col min="2" max="2" width="4.140625" style="44" customWidth="1"/>
    <col min="3" max="3" width="46.7109375" style="44" bestFit="1" customWidth="1"/>
    <col min="4" max="4" width="5.5703125" style="44" bestFit="1" customWidth="1"/>
    <col min="5" max="5" width="5.85546875" style="44" bestFit="1" customWidth="1"/>
    <col min="6" max="9" width="9.5703125" style="44" bestFit="1" customWidth="1"/>
    <col min="10" max="10" width="8.5703125" style="44" bestFit="1" customWidth="1"/>
    <col min="11" max="11" width="12.28515625" style="44" customWidth="1"/>
    <col min="12" max="13" width="3.85546875" style="44" customWidth="1"/>
    <col min="14" max="14" width="46.7109375" style="44" bestFit="1" customWidth="1"/>
    <col min="15" max="16" width="9.28515625" style="44" bestFit="1" customWidth="1"/>
    <col min="17" max="17" width="10.5703125" style="44" bestFit="1" customWidth="1"/>
    <col min="18" max="19" width="9.85546875" style="44" bestFit="1" customWidth="1"/>
    <col min="20" max="21" width="9.28515625" style="44" bestFit="1" customWidth="1"/>
    <col min="22" max="22" width="13.85546875" style="44" customWidth="1"/>
    <col min="23" max="23" width="7.5703125" style="44" customWidth="1"/>
    <col min="24" max="24" width="4.140625" style="44" customWidth="1"/>
    <col min="25" max="25" width="46.7109375" style="44" bestFit="1" customWidth="1"/>
    <col min="26" max="32" width="9.140625" style="44"/>
    <col min="33" max="33" width="11.28515625" style="44" customWidth="1"/>
    <col min="34" max="34" width="5.28515625" style="44" customWidth="1"/>
    <col min="35" max="35" width="4.42578125" style="44" customWidth="1"/>
    <col min="36" max="36" width="32" style="44" bestFit="1" customWidth="1"/>
    <col min="37" max="16384" width="9.140625" style="44"/>
  </cols>
  <sheetData>
    <row r="1" spans="1:34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28.5" customHeight="1" x14ac:dyDescent="0.25">
      <c r="A2" s="63"/>
      <c r="B2" s="340" t="s">
        <v>423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41"/>
      <c r="Q2" s="341"/>
      <c r="R2" s="341"/>
      <c r="S2" s="341"/>
      <c r="T2" s="341"/>
      <c r="U2" s="341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2"/>
    </row>
    <row r="3" spans="1:34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4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24" customHeight="1" x14ac:dyDescent="0.2">
      <c r="A5" s="32"/>
      <c r="B5" s="354" t="s">
        <v>230</v>
      </c>
      <c r="C5" s="354"/>
      <c r="D5" s="354"/>
      <c r="E5" s="354"/>
      <c r="F5" s="354"/>
      <c r="G5" s="354"/>
      <c r="H5" s="354"/>
      <c r="I5" s="354"/>
      <c r="J5" s="354"/>
      <c r="K5" s="354"/>
      <c r="L5" s="32"/>
      <c r="M5" s="354" t="s">
        <v>226</v>
      </c>
      <c r="N5" s="354"/>
      <c r="O5" s="354"/>
      <c r="P5" s="354"/>
      <c r="Q5" s="354"/>
      <c r="R5" s="354"/>
      <c r="S5" s="354"/>
      <c r="T5" s="354"/>
      <c r="U5" s="354"/>
      <c r="V5" s="354"/>
      <c r="W5" s="32"/>
      <c r="X5" s="354" t="s">
        <v>229</v>
      </c>
      <c r="Y5" s="354"/>
      <c r="Z5" s="354"/>
      <c r="AA5" s="354"/>
      <c r="AB5" s="354"/>
      <c r="AC5" s="354"/>
      <c r="AD5" s="354"/>
      <c r="AE5" s="354"/>
      <c r="AF5" s="354"/>
      <c r="AG5" s="354"/>
      <c r="AH5" s="32"/>
    </row>
    <row r="6" spans="1:34" ht="16.5" customHeight="1" x14ac:dyDescent="0.2">
      <c r="A6" s="322"/>
      <c r="B6" s="32"/>
      <c r="C6" s="32"/>
      <c r="D6" s="32"/>
      <c r="E6" s="32"/>
      <c r="F6" s="32"/>
      <c r="G6" s="32"/>
      <c r="H6" s="32"/>
      <c r="I6" s="32"/>
      <c r="J6" s="32"/>
      <c r="K6" s="32"/>
      <c r="L6" s="32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2.5" x14ac:dyDescent="0.2">
      <c r="A7" s="32"/>
      <c r="B7" s="299"/>
      <c r="C7" s="298"/>
      <c r="D7" s="3"/>
      <c r="E7" s="4"/>
      <c r="F7" s="5">
        <v>2018</v>
      </c>
      <c r="G7" s="4">
        <v>2019</v>
      </c>
      <c r="H7" s="4">
        <v>2020</v>
      </c>
      <c r="I7" s="4">
        <v>2021</v>
      </c>
      <c r="J7" s="6">
        <v>2022</v>
      </c>
      <c r="K7" s="3" t="s">
        <v>73</v>
      </c>
      <c r="L7" s="32"/>
      <c r="M7" s="299"/>
      <c r="N7" s="298"/>
      <c r="O7" s="3"/>
      <c r="P7" s="4"/>
      <c r="Q7" s="5">
        <v>2018</v>
      </c>
      <c r="R7" s="4">
        <v>2019</v>
      </c>
      <c r="S7" s="4">
        <v>2020</v>
      </c>
      <c r="T7" s="4">
        <v>2021</v>
      </c>
      <c r="U7" s="6">
        <v>2022</v>
      </c>
      <c r="V7" s="3" t="s">
        <v>73</v>
      </c>
      <c r="W7" s="45"/>
      <c r="X7" s="36"/>
      <c r="Y7" s="81"/>
      <c r="Z7" s="301"/>
      <c r="AA7" s="8"/>
      <c r="AB7" s="7">
        <v>2018</v>
      </c>
      <c r="AC7" s="8">
        <v>2019</v>
      </c>
      <c r="AD7" s="8">
        <v>2020</v>
      </c>
      <c r="AE7" s="8">
        <v>2021</v>
      </c>
      <c r="AF7" s="9">
        <v>2022</v>
      </c>
      <c r="AG7" s="301" t="s">
        <v>73</v>
      </c>
      <c r="AH7" s="32"/>
    </row>
    <row r="8" spans="1:34" x14ac:dyDescent="0.2">
      <c r="A8" s="32"/>
      <c r="B8" s="36"/>
      <c r="C8" s="81"/>
      <c r="D8" s="301"/>
      <c r="E8" s="8"/>
      <c r="F8" s="8"/>
      <c r="G8" s="8"/>
      <c r="H8" s="8"/>
      <c r="I8" s="8"/>
      <c r="J8" s="8"/>
      <c r="K8" s="301"/>
      <c r="L8" s="32"/>
      <c r="M8" s="36"/>
      <c r="N8" s="81"/>
      <c r="O8" s="301"/>
      <c r="P8" s="8"/>
      <c r="Q8" s="8"/>
      <c r="R8" s="8"/>
      <c r="S8" s="8"/>
      <c r="T8" s="8"/>
      <c r="U8" s="8"/>
      <c r="V8" s="301"/>
      <c r="W8" s="45"/>
      <c r="X8" s="38"/>
      <c r="Y8" s="182"/>
      <c r="Z8" s="303"/>
      <c r="AA8" s="304"/>
      <c r="AB8" s="304"/>
      <c r="AC8" s="304"/>
      <c r="AD8" s="304"/>
      <c r="AE8" s="304"/>
      <c r="AF8" s="304"/>
      <c r="AG8" s="303"/>
      <c r="AH8" s="32"/>
    </row>
    <row r="9" spans="1:34" ht="18" customHeight="1" x14ac:dyDescent="0.2">
      <c r="A9" s="32"/>
      <c r="B9" s="302" t="s">
        <v>43</v>
      </c>
      <c r="C9" s="81"/>
      <c r="D9" s="54"/>
      <c r="E9" s="54"/>
      <c r="F9" s="54"/>
      <c r="G9" s="54"/>
      <c r="H9" s="54"/>
      <c r="I9" s="54"/>
      <c r="J9" s="54"/>
      <c r="K9" s="54"/>
      <c r="L9" s="32"/>
      <c r="M9" s="302" t="s">
        <v>43</v>
      </c>
      <c r="N9" s="81"/>
      <c r="O9" s="54"/>
      <c r="P9" s="54"/>
      <c r="Q9" s="54"/>
      <c r="R9" s="54"/>
      <c r="S9" s="54"/>
      <c r="T9" s="54"/>
      <c r="U9" s="54"/>
      <c r="V9" s="54"/>
      <c r="W9" s="45"/>
      <c r="X9" s="302" t="s">
        <v>43</v>
      </c>
      <c r="Y9" s="81"/>
      <c r="Z9" s="54"/>
      <c r="AA9" s="54"/>
      <c r="AB9" s="54"/>
      <c r="AC9" s="54"/>
      <c r="AD9" s="54"/>
      <c r="AE9" s="54"/>
      <c r="AF9" s="54"/>
      <c r="AG9" s="54"/>
      <c r="AH9" s="32"/>
    </row>
    <row r="10" spans="1:34" ht="18" customHeight="1" x14ac:dyDescent="0.2">
      <c r="A10" s="32"/>
      <c r="B10" s="198" t="str">
        <f>'Capex Model Category Index'!B8</f>
        <v>01</v>
      </c>
      <c r="C10" s="198" t="str">
        <f>'Capex Model Category Index'!C8</f>
        <v>Meter Replacement - Meters &lt; 25m3</v>
      </c>
      <c r="D10" s="96"/>
      <c r="E10" s="52"/>
      <c r="F10" s="55">
        <f t="shared" ref="F10:J29" si="0">Q10+AB10</f>
        <v>5.5848206088362593</v>
      </c>
      <c r="G10" s="54">
        <f t="shared" si="0"/>
        <v>5.4966286489781462</v>
      </c>
      <c r="H10" s="54">
        <f t="shared" si="0"/>
        <v>5.5189576855859697</v>
      </c>
      <c r="I10" s="54">
        <f t="shared" si="0"/>
        <v>2.9686513177923683</v>
      </c>
      <c r="J10" s="95">
        <f t="shared" si="0"/>
        <v>3.1208936985888265</v>
      </c>
      <c r="K10" s="52">
        <f>SUM(F10:J10)</f>
        <v>22.68995195978157</v>
      </c>
      <c r="L10" s="32"/>
      <c r="M10" s="198" t="str">
        <f>B10</f>
        <v>01</v>
      </c>
      <c r="N10" s="198" t="str">
        <f>C10</f>
        <v>Meter Replacement - Meters &lt; 25m3</v>
      </c>
      <c r="O10" s="96"/>
      <c r="P10" s="52"/>
      <c r="Q10" s="55">
        <f>'Capex Category Summary (Comb)'!AO10</f>
        <v>5.0259851980000008</v>
      </c>
      <c r="R10" s="54">
        <f>'Capex Category Summary (Comb)'!AP10</f>
        <v>5.0079670410651707</v>
      </c>
      <c r="S10" s="54">
        <f>'Capex Category Summary (Comb)'!AQ10</f>
        <v>5.0079024459725598</v>
      </c>
      <c r="T10" s="54">
        <f>'Capex Category Summary (Comb)'!AR10</f>
        <v>2.6471438374463334</v>
      </c>
      <c r="U10" s="95">
        <f>'Capex Category Summary (Comb)'!AS10</f>
        <v>2.6728548986699008</v>
      </c>
      <c r="V10" s="52">
        <f>SUM(Q10:U10)</f>
        <v>20.361853421153967</v>
      </c>
      <c r="W10" s="531"/>
      <c r="X10" s="198" t="str">
        <f>M10</f>
        <v>01</v>
      </c>
      <c r="Y10" s="198" t="str">
        <f>N10</f>
        <v>Meter Replacement - Meters &lt; 25m3</v>
      </c>
      <c r="Z10" s="96"/>
      <c r="AA10" s="52"/>
      <c r="AB10" s="55">
        <f t="shared" ref="AB10:AB29" si="1">(Q10/Q$43)*Q$45</f>
        <v>0.55883541083625832</v>
      </c>
      <c r="AC10" s="54">
        <f t="shared" ref="AC10:AC29" si="2">(R10/R$43)*R$45</f>
        <v>0.48866160791297536</v>
      </c>
      <c r="AD10" s="54">
        <f t="shared" ref="AD10:AD29" si="3">(S10/S$43)*S$45</f>
        <v>0.51105523961340971</v>
      </c>
      <c r="AE10" s="54">
        <f t="shared" ref="AE10:AE29" si="4">(T10/T$43)*T$45</f>
        <v>0.3215074803460351</v>
      </c>
      <c r="AF10" s="95">
        <f t="shared" ref="AF10:AF29" si="5">(U10/U$43)*U$45</f>
        <v>0.44803879991892592</v>
      </c>
      <c r="AG10" s="52">
        <f>SUM(AB10:AF10)</f>
        <v>2.3280985386276045</v>
      </c>
      <c r="AH10" s="32"/>
    </row>
    <row r="11" spans="1:34" ht="18" customHeight="1" x14ac:dyDescent="0.2">
      <c r="A11" s="32"/>
      <c r="B11" s="198" t="str">
        <f>'Capex Model Category Index'!B9</f>
        <v>02</v>
      </c>
      <c r="C11" s="198" t="str">
        <f>'Capex Model Category Index'!C9</f>
        <v>Meter Replacement - Meters &gt; 25m3</v>
      </c>
      <c r="D11" s="52"/>
      <c r="E11" s="52"/>
      <c r="F11" s="55">
        <f t="shared" si="0"/>
        <v>2.7624072036431735</v>
      </c>
      <c r="G11" s="54">
        <f t="shared" si="0"/>
        <v>2.7441624893934256</v>
      </c>
      <c r="H11" s="54">
        <f t="shared" si="0"/>
        <v>2.7748061949440688</v>
      </c>
      <c r="I11" s="54">
        <f t="shared" si="0"/>
        <v>2.848151558308003</v>
      </c>
      <c r="J11" s="95">
        <f t="shared" si="0"/>
        <v>2.994214307916605</v>
      </c>
      <c r="K11" s="52">
        <f t="shared" ref="K11:K18" si="6">SUM(F11:J11)</f>
        <v>14.123741754205279</v>
      </c>
      <c r="L11" s="32"/>
      <c r="M11" s="198" t="str">
        <f t="shared" ref="M11:N29" si="7">B11</f>
        <v>02</v>
      </c>
      <c r="N11" s="198" t="str">
        <f t="shared" si="7"/>
        <v>Meter Replacement - Meters &gt; 25m3</v>
      </c>
      <c r="O11" s="52"/>
      <c r="P11" s="52"/>
      <c r="Q11" s="55">
        <f>'Capex Category Summary (Comb)'!AO11</f>
        <v>2.4859917065898762</v>
      </c>
      <c r="R11" s="54">
        <f>'Capex Category Summary (Comb)'!AP11</f>
        <v>2.500200792128183</v>
      </c>
      <c r="S11" s="54">
        <f>'Capex Category Summary (Comb)'!AQ11</f>
        <v>2.5178592630004601</v>
      </c>
      <c r="T11" s="54">
        <f>'Capex Category Summary (Comb)'!AR11</f>
        <v>2.5396943051213272</v>
      </c>
      <c r="U11" s="95">
        <f>'Capex Category Summary (Comb)'!AS11</f>
        <v>2.5643617352943369</v>
      </c>
      <c r="V11" s="52">
        <f t="shared" ref="V11:V29" si="8">SUM(Q11:U11)</f>
        <v>12.608107802134185</v>
      </c>
      <c r="W11" s="531"/>
      <c r="X11" s="198" t="str">
        <f t="shared" ref="X11:Y29" si="9">M11</f>
        <v>02</v>
      </c>
      <c r="Y11" s="198" t="str">
        <f t="shared" si="9"/>
        <v>Meter Replacement - Meters &gt; 25m3</v>
      </c>
      <c r="Z11" s="52"/>
      <c r="AA11" s="52"/>
      <c r="AB11" s="55">
        <f t="shared" si="1"/>
        <v>0.27641549705329715</v>
      </c>
      <c r="AC11" s="54">
        <f t="shared" si="2"/>
        <v>0.24396169726524233</v>
      </c>
      <c r="AD11" s="54">
        <f t="shared" si="3"/>
        <v>0.25694693194360879</v>
      </c>
      <c r="AE11" s="54">
        <f t="shared" si="4"/>
        <v>0.30845725318667583</v>
      </c>
      <c r="AF11" s="95">
        <f t="shared" si="5"/>
        <v>0.42985257262226828</v>
      </c>
      <c r="AG11" s="52">
        <f t="shared" ref="AG11:AG18" si="10">SUM(AB11:AF11)</f>
        <v>1.5156339520710924</v>
      </c>
      <c r="AH11" s="32"/>
    </row>
    <row r="12" spans="1:34" ht="18" customHeight="1" x14ac:dyDescent="0.2">
      <c r="A12" s="32"/>
      <c r="B12" s="198" t="str">
        <f>'Capex Model Category Index'!B10</f>
        <v>03</v>
      </c>
      <c r="C12" s="198" t="str">
        <f>'Capex Model Category Index'!C10</f>
        <v>Mains Replacement - General Trunk Replacement</v>
      </c>
      <c r="D12" s="52"/>
      <c r="E12" s="52"/>
      <c r="F12" s="55">
        <f t="shared" si="0"/>
        <v>2.3719734618906561</v>
      </c>
      <c r="G12" s="54">
        <f t="shared" si="0"/>
        <v>2.3563074232403416</v>
      </c>
      <c r="H12" s="54">
        <f t="shared" si="0"/>
        <v>2.3826200017205368</v>
      </c>
      <c r="I12" s="54">
        <f t="shared" si="0"/>
        <v>1.8812298933278635</v>
      </c>
      <c r="J12" s="95">
        <f t="shared" si="0"/>
        <v>0.39554113239879618</v>
      </c>
      <c r="K12" s="52">
        <f t="shared" si="6"/>
        <v>9.3876719125781936</v>
      </c>
      <c r="L12" s="32"/>
      <c r="M12" s="198" t="str">
        <f t="shared" si="7"/>
        <v>03</v>
      </c>
      <c r="N12" s="198" t="str">
        <f t="shared" si="7"/>
        <v>Mains Replacement - General Trunk Replacement</v>
      </c>
      <c r="O12" s="52"/>
      <c r="P12" s="52"/>
      <c r="Q12" s="55">
        <f>'Capex Category Summary (Comb)'!AO17</f>
        <v>2.1346260416402898</v>
      </c>
      <c r="R12" s="54">
        <f>'Capex Category Summary (Comb)'!AP17</f>
        <v>2.1468268401938655</v>
      </c>
      <c r="S12" s="54">
        <f>'Capex Category Summary (Comb)'!AQ17</f>
        <v>2.161989494067404</v>
      </c>
      <c r="T12" s="54">
        <f>'Capex Category Summary (Comb)'!AR17</f>
        <v>1.6774910846201903</v>
      </c>
      <c r="U12" s="95">
        <f>'Capex Category Summary (Comb)'!AS17</f>
        <v>0.33875682912096838</v>
      </c>
      <c r="V12" s="52">
        <f t="shared" si="8"/>
        <v>8.4596902896427189</v>
      </c>
      <c r="W12" s="531"/>
      <c r="X12" s="198" t="str">
        <f t="shared" si="9"/>
        <v>03</v>
      </c>
      <c r="Y12" s="198" t="str">
        <f t="shared" si="9"/>
        <v>Mains Replacement - General Trunk Replacement</v>
      </c>
      <c r="Z12" s="52"/>
      <c r="AA12" s="52"/>
      <c r="AB12" s="55">
        <f t="shared" si="1"/>
        <v>0.23734742025036637</v>
      </c>
      <c r="AC12" s="54">
        <f t="shared" si="2"/>
        <v>0.20948058304647588</v>
      </c>
      <c r="AD12" s="54">
        <f t="shared" si="3"/>
        <v>0.22063050765313286</v>
      </c>
      <c r="AE12" s="54">
        <f t="shared" si="4"/>
        <v>0.20373880870767333</v>
      </c>
      <c r="AF12" s="95">
        <f t="shared" si="5"/>
        <v>5.678430327782779E-2</v>
      </c>
      <c r="AG12" s="52">
        <f t="shared" si="10"/>
        <v>0.92798162293547626</v>
      </c>
      <c r="AH12" s="32"/>
    </row>
    <row r="13" spans="1:34" ht="18" customHeight="1" x14ac:dyDescent="0.2">
      <c r="A13" s="32"/>
      <c r="B13" s="198" t="str">
        <f>'Capex Model Category Index'!B11</f>
        <v>04</v>
      </c>
      <c r="C13" s="198" t="str">
        <f>'Capex Model Category Index'!C11</f>
        <v>Mains Replacement - Decommissioned Trunk Replacement</v>
      </c>
      <c r="D13" s="52"/>
      <c r="E13" s="52"/>
      <c r="F13" s="55">
        <f t="shared" si="0"/>
        <v>1.4224998540203864</v>
      </c>
      <c r="G13" s="54">
        <f t="shared" si="0"/>
        <v>1.4131047498798084</v>
      </c>
      <c r="H13" s="54">
        <f t="shared" si="0"/>
        <v>1.4288847068010564</v>
      </c>
      <c r="I13" s="54">
        <f t="shared" si="0"/>
        <v>1.4666538555857356</v>
      </c>
      <c r="J13" s="95">
        <f t="shared" si="0"/>
        <v>0</v>
      </c>
      <c r="K13" s="52">
        <f t="shared" si="6"/>
        <v>5.7311431662869863</v>
      </c>
      <c r="L13" s="32"/>
      <c r="M13" s="198" t="str">
        <f t="shared" si="7"/>
        <v>04</v>
      </c>
      <c r="N13" s="198" t="str">
        <f t="shared" si="7"/>
        <v>Mains Replacement - Decommissioned Trunk Replacement</v>
      </c>
      <c r="O13" s="52"/>
      <c r="P13" s="52"/>
      <c r="Q13" s="55">
        <f>'Capex Category Summary (Comb)'!AO18</f>
        <v>1.2801598674721619</v>
      </c>
      <c r="R13" s="54">
        <f>'Capex Category Summary (Comb)'!AP18</f>
        <v>1.2874768271431862</v>
      </c>
      <c r="S13" s="54">
        <f>'Capex Category Summary (Comb)'!AQ18</f>
        <v>1.2965700456248459</v>
      </c>
      <c r="T13" s="54">
        <f>'Capex Category Summary (Comb)'!AR18</f>
        <v>1.3078139868470158</v>
      </c>
      <c r="U13" s="95">
        <f>'Capex Category Summary (Comb)'!AS18</f>
        <v>0</v>
      </c>
      <c r="V13" s="52">
        <f t="shared" si="8"/>
        <v>5.1720207270872098</v>
      </c>
      <c r="W13" s="531"/>
      <c r="X13" s="198" t="str">
        <f t="shared" si="9"/>
        <v>04</v>
      </c>
      <c r="Y13" s="198" t="str">
        <f t="shared" si="9"/>
        <v>Mains Replacement - Decommissioned Trunk Replacement</v>
      </c>
      <c r="Z13" s="52"/>
      <c r="AA13" s="52"/>
      <c r="AB13" s="55">
        <f t="shared" si="1"/>
        <v>0.1423399865482245</v>
      </c>
      <c r="AC13" s="54">
        <f t="shared" si="2"/>
        <v>0.12562792273662207</v>
      </c>
      <c r="AD13" s="54">
        <f t="shared" si="3"/>
        <v>0.13231466117621052</v>
      </c>
      <c r="AE13" s="54">
        <f t="shared" si="4"/>
        <v>0.15883986873871983</v>
      </c>
      <c r="AF13" s="95">
        <f t="shared" si="5"/>
        <v>0</v>
      </c>
      <c r="AG13" s="52">
        <f t="shared" si="10"/>
        <v>0.55912243919977689</v>
      </c>
      <c r="AH13" s="32"/>
    </row>
    <row r="14" spans="1:34" ht="18" customHeight="1" x14ac:dyDescent="0.2">
      <c r="A14" s="32"/>
      <c r="B14" s="198" t="str">
        <f>'Capex Model Category Index'!B12</f>
        <v>05</v>
      </c>
      <c r="C14" s="198" t="str">
        <f>'Capex Model Category Index'!C12</f>
        <v>Mains Replacement - Piecemeal Replacement</v>
      </c>
      <c r="D14" s="52"/>
      <c r="E14" s="52"/>
      <c r="F14" s="55">
        <f t="shared" si="0"/>
        <v>0.31295800551468439</v>
      </c>
      <c r="G14" s="54">
        <f t="shared" si="0"/>
        <v>0.31089102951807668</v>
      </c>
      <c r="H14" s="54">
        <f t="shared" si="0"/>
        <v>0.3143627092031212</v>
      </c>
      <c r="I14" s="54">
        <f t="shared" si="0"/>
        <v>0.32267213534487688</v>
      </c>
      <c r="J14" s="95">
        <f t="shared" si="0"/>
        <v>0</v>
      </c>
      <c r="K14" s="52">
        <f t="shared" si="6"/>
        <v>1.2608838795807591</v>
      </c>
      <c r="L14" s="32"/>
      <c r="M14" s="198" t="str">
        <f t="shared" si="7"/>
        <v>05</v>
      </c>
      <c r="N14" s="198" t="str">
        <f t="shared" si="7"/>
        <v>Mains Replacement - Piecemeal Replacement</v>
      </c>
      <c r="O14" s="52"/>
      <c r="P14" s="52"/>
      <c r="Q14" s="55">
        <f>'Capex Category Summary (Comb)'!AO19</f>
        <v>0.28164240420251657</v>
      </c>
      <c r="R14" s="54">
        <f>'Capex Category Summary (Comb)'!AP19</f>
        <v>0.28325217667356689</v>
      </c>
      <c r="S14" s="54">
        <f>'Capex Category Summary (Comb)'!AQ19</f>
        <v>0.28525273611945112</v>
      </c>
      <c r="T14" s="54">
        <f>'Capex Category Summary (Comb)'!AR19</f>
        <v>0.28772646672059621</v>
      </c>
      <c r="U14" s="95">
        <f>'Capex Category Summary (Comb)'!AS19</f>
        <v>0</v>
      </c>
      <c r="V14" s="52">
        <f t="shared" si="8"/>
        <v>1.1378737837161308</v>
      </c>
      <c r="W14" s="531"/>
      <c r="X14" s="198" t="str">
        <f t="shared" si="9"/>
        <v>05</v>
      </c>
      <c r="Y14" s="198" t="str">
        <f t="shared" si="9"/>
        <v>Mains Replacement - Piecemeal Replacement</v>
      </c>
      <c r="Z14" s="52"/>
      <c r="AA14" s="52"/>
      <c r="AB14" s="55">
        <f t="shared" si="1"/>
        <v>3.1315601312167818E-2</v>
      </c>
      <c r="AC14" s="54">
        <f t="shared" si="2"/>
        <v>2.7638852844509787E-2</v>
      </c>
      <c r="AD14" s="54">
        <f t="shared" si="3"/>
        <v>2.9109973083670089E-2</v>
      </c>
      <c r="AE14" s="54">
        <f t="shared" si="4"/>
        <v>3.4945668624280647E-2</v>
      </c>
      <c r="AF14" s="95">
        <f t="shared" si="5"/>
        <v>0</v>
      </c>
      <c r="AG14" s="52">
        <f t="shared" si="10"/>
        <v>0.12301009586462833</v>
      </c>
      <c r="AH14" s="32"/>
    </row>
    <row r="15" spans="1:34" ht="18" customHeight="1" x14ac:dyDescent="0.2">
      <c r="A15" s="32"/>
      <c r="B15" s="198" t="str">
        <f>'Capex Model Category Index'!B13</f>
        <v>06</v>
      </c>
      <c r="C15" s="198" t="str">
        <f>'Capex Model Category Index'!C13</f>
        <v>Mains Replacement - HDPE Replacement</v>
      </c>
      <c r="D15" s="52"/>
      <c r="E15" s="52"/>
      <c r="F15" s="55">
        <f>Q15+AB15</f>
        <v>1.2518320220587376</v>
      </c>
      <c r="G15" s="54">
        <f>R15+AC15</f>
        <v>1.2435641180723067</v>
      </c>
      <c r="H15" s="54">
        <f>S15+AD15</f>
        <v>1.2574508368124848</v>
      </c>
      <c r="I15" s="54">
        <f>T15+AE15</f>
        <v>1.2906885413795075</v>
      </c>
      <c r="J15" s="95">
        <f>U15+AF15</f>
        <v>1.3568793719525127</v>
      </c>
      <c r="K15" s="52">
        <f>SUM(F15:J15)</f>
        <v>6.4004148902755489</v>
      </c>
      <c r="L15" s="32"/>
      <c r="M15" s="198" t="str">
        <f t="shared" si="7"/>
        <v>06</v>
      </c>
      <c r="N15" s="198" t="str">
        <f t="shared" si="7"/>
        <v>Mains Replacement - HDPE Replacement</v>
      </c>
      <c r="O15" s="52"/>
      <c r="P15" s="52"/>
      <c r="Q15" s="55">
        <f>'Capex Category Summary (Comb)'!AO20</f>
        <v>1.1265696168100663</v>
      </c>
      <c r="R15" s="54">
        <f>'Capex Category Summary (Comb)'!AP20</f>
        <v>1.1330087066942676</v>
      </c>
      <c r="S15" s="54">
        <f>'Capex Category Summary (Comb)'!AQ20</f>
        <v>1.1410109444778045</v>
      </c>
      <c r="T15" s="54">
        <f>'Capex Category Summary (Comb)'!AR20</f>
        <v>1.1509058668823848</v>
      </c>
      <c r="U15" s="95">
        <f>'Capex Category Summary (Comb)'!AS20</f>
        <v>1.1620843343261946</v>
      </c>
      <c r="V15" s="52">
        <f>SUM(Q15:U15)</f>
        <v>5.7135794691907176</v>
      </c>
      <c r="W15" s="531"/>
      <c r="X15" s="198" t="str">
        <f>M15</f>
        <v>06</v>
      </c>
      <c r="Y15" s="198" t="str">
        <f>N15</f>
        <v>Mains Replacement - HDPE Replacement</v>
      </c>
      <c r="Z15" s="52"/>
      <c r="AA15" s="52"/>
      <c r="AB15" s="55">
        <f t="shared" si="1"/>
        <v>0.12526240524867127</v>
      </c>
      <c r="AC15" s="54">
        <f t="shared" si="2"/>
        <v>0.11055541137803915</v>
      </c>
      <c r="AD15" s="54">
        <f t="shared" si="3"/>
        <v>0.11643989233468036</v>
      </c>
      <c r="AE15" s="54">
        <f t="shared" si="4"/>
        <v>0.13978267449712259</v>
      </c>
      <c r="AF15" s="95">
        <f t="shared" si="5"/>
        <v>0.19479503762631814</v>
      </c>
      <c r="AG15" s="52">
        <f>SUM(AB15:AF15)</f>
        <v>0.68683542108483142</v>
      </c>
      <c r="AH15" s="32"/>
    </row>
    <row r="16" spans="1:34" ht="18" customHeight="1" x14ac:dyDescent="0.2">
      <c r="A16" s="32"/>
      <c r="B16" s="198" t="str">
        <f>'Capex Model Category Index'!B14</f>
        <v>07</v>
      </c>
      <c r="C16" s="198" t="str">
        <f>'Capex Model Category Index'!C14</f>
        <v>Mains Replacement - HDICS Block Replacement</v>
      </c>
      <c r="D16" s="52"/>
      <c r="E16" s="52"/>
      <c r="F16" s="55">
        <f t="shared" si="0"/>
        <v>21.574461245016344</v>
      </c>
      <c r="G16" s="54">
        <f t="shared" si="0"/>
        <v>21.431969623944518</v>
      </c>
      <c r="H16" s="54">
        <f t="shared" si="0"/>
        <v>21.671297640803925</v>
      </c>
      <c r="I16" s="54">
        <f t="shared" si="0"/>
        <v>22.244126547892613</v>
      </c>
      <c r="J16" s="95">
        <f t="shared" si="0"/>
        <v>0</v>
      </c>
      <c r="K16" s="52">
        <f t="shared" si="6"/>
        <v>86.92185505765741</v>
      </c>
      <c r="L16" s="32"/>
      <c r="M16" s="198" t="str">
        <f t="shared" si="7"/>
        <v>07</v>
      </c>
      <c r="N16" s="198" t="str">
        <f t="shared" si="7"/>
        <v>Mains Replacement - HDICS Block Replacement</v>
      </c>
      <c r="O16" s="52"/>
      <c r="P16" s="52"/>
      <c r="Q16" s="55">
        <f>'Capex Category Summary (Comb)'!AO21</f>
        <v>19.415650110715301</v>
      </c>
      <c r="R16" s="54">
        <f>'Capex Category Summary (Comb)'!AP21</f>
        <v>19.526623382457792</v>
      </c>
      <c r="S16" s="54">
        <f>'Capex Category Summary (Comb)'!AQ21</f>
        <v>19.664536429809303</v>
      </c>
      <c r="T16" s="54">
        <f>'Capex Category Summary (Comb)'!AR21</f>
        <v>19.8350685908168</v>
      </c>
      <c r="U16" s="95">
        <f>'Capex Category Summary (Comb)'!AS21</f>
        <v>0</v>
      </c>
      <c r="V16" s="52">
        <f t="shared" si="8"/>
        <v>78.441878513799196</v>
      </c>
      <c r="W16" s="531"/>
      <c r="X16" s="198" t="str">
        <f t="shared" si="9"/>
        <v>07</v>
      </c>
      <c r="Y16" s="198" t="str">
        <f t="shared" si="9"/>
        <v>Mains Replacement - HDICS Block Replacement</v>
      </c>
      <c r="Z16" s="52"/>
      <c r="AA16" s="52"/>
      <c r="AB16" s="55">
        <f t="shared" si="1"/>
        <v>2.1588111343010419</v>
      </c>
      <c r="AC16" s="54">
        <f t="shared" si="2"/>
        <v>1.9053462414867266</v>
      </c>
      <c r="AD16" s="54">
        <f t="shared" si="3"/>
        <v>2.0067612109946209</v>
      </c>
      <c r="AE16" s="54">
        <f t="shared" si="4"/>
        <v>2.4090579570758122</v>
      </c>
      <c r="AF16" s="95">
        <f t="shared" si="5"/>
        <v>0</v>
      </c>
      <c r="AG16" s="52">
        <f t="shared" si="10"/>
        <v>8.4799765438582018</v>
      </c>
      <c r="AH16" s="32"/>
    </row>
    <row r="17" spans="1:46" ht="18" customHeight="1" x14ac:dyDescent="0.2">
      <c r="A17" s="32"/>
      <c r="B17" s="198" t="str">
        <f>'Capex Model Category Index'!B15</f>
        <v>08</v>
      </c>
      <c r="C17" s="198" t="str">
        <f>'Capex Model Category Index'!C15</f>
        <v>Mains Replacement - LDS Block Replacement</v>
      </c>
      <c r="D17" s="52"/>
      <c r="E17" s="52"/>
      <c r="F17" s="55">
        <f t="shared" ref="F17" si="11">Q17+AB17</f>
        <v>3.1702760622986852</v>
      </c>
      <c r="G17" s="54">
        <f t="shared" ref="G17" si="12">R17+AC17</f>
        <v>3.1493375197213362</v>
      </c>
      <c r="H17" s="54">
        <f t="shared" ref="H17" si="13">S17+AD17</f>
        <v>3.1845057621293389</v>
      </c>
      <c r="I17" s="54">
        <f t="shared" ref="I17" si="14">T17+AE17</f>
        <v>3.2686805533934997</v>
      </c>
      <c r="J17" s="95">
        <f t="shared" ref="J17" si="15">U17+AF17</f>
        <v>0</v>
      </c>
      <c r="K17" s="52">
        <f t="shared" ref="K17" si="16">SUM(F17:J17)</f>
        <v>12.77279989754286</v>
      </c>
      <c r="L17" s="32"/>
      <c r="M17" s="198" t="str">
        <f t="shared" ref="M17" si="17">B17</f>
        <v>08</v>
      </c>
      <c r="N17" s="198" t="str">
        <f t="shared" ref="N17" si="18">C17</f>
        <v>Mains Replacement - LDS Block Replacement</v>
      </c>
      <c r="O17" s="52"/>
      <c r="P17" s="52"/>
      <c r="Q17" s="55">
        <f>'Capex Category Summary (Comb)'!AO22</f>
        <v>2.853047873637454</v>
      </c>
      <c r="R17" s="54">
        <f>'Capex Category Summary (Comb)'!AP22</f>
        <v>2.8693549277494754</v>
      </c>
      <c r="S17" s="54">
        <f>'Capex Category Summary (Comb)'!AQ22</f>
        <v>2.8896206682345666</v>
      </c>
      <c r="T17" s="54">
        <f>'Capex Category Summary (Comb)'!AR22</f>
        <v>2.9146796498589174</v>
      </c>
      <c r="U17" s="95">
        <f>'Capex Category Summary (Comb)'!AS22</f>
        <v>0</v>
      </c>
      <c r="V17" s="52">
        <f t="shared" ref="V17" si="19">SUM(Q17:U17)</f>
        <v>11.526703119480413</v>
      </c>
      <c r="W17" s="531"/>
      <c r="X17" s="198" t="str">
        <f t="shared" ref="X17" si="20">M17</f>
        <v>08</v>
      </c>
      <c r="Y17" s="198" t="str">
        <f t="shared" ref="Y17" si="21">N17</f>
        <v>Mains Replacement - LDS Block Replacement</v>
      </c>
      <c r="Z17" s="52"/>
      <c r="AA17" s="52"/>
      <c r="AB17" s="55">
        <f t="shared" si="1"/>
        <v>0.3172281886612312</v>
      </c>
      <c r="AC17" s="54">
        <f t="shared" si="2"/>
        <v>0.27998259197186104</v>
      </c>
      <c r="AD17" s="54">
        <f t="shared" si="3"/>
        <v>0.29488509389477219</v>
      </c>
      <c r="AE17" s="54">
        <f t="shared" si="4"/>
        <v>0.35400090353458258</v>
      </c>
      <c r="AF17" s="95">
        <f t="shared" si="5"/>
        <v>0</v>
      </c>
      <c r="AG17" s="52">
        <f t="shared" ref="AG17" si="22">SUM(AB17:AF17)</f>
        <v>1.246096778062447</v>
      </c>
      <c r="AH17" s="32"/>
    </row>
    <row r="18" spans="1:46" ht="18" customHeight="1" x14ac:dyDescent="0.2">
      <c r="A18" s="32"/>
      <c r="B18" s="198" t="str">
        <f>'Capex Model Category Index'!B16</f>
        <v>09</v>
      </c>
      <c r="C18" s="198" t="str">
        <f>'Capex Model Category Index'!C16</f>
        <v>Mains Replacement - CBD Block Replacement</v>
      </c>
      <c r="D18" s="52"/>
      <c r="E18" s="52"/>
      <c r="F18" s="55">
        <f t="shared" si="0"/>
        <v>6.8650385772027631</v>
      </c>
      <c r="G18" s="54">
        <f t="shared" si="0"/>
        <v>6.819697446109064</v>
      </c>
      <c r="H18" s="54">
        <f t="shared" si="0"/>
        <v>6.8958521203642453</v>
      </c>
      <c r="I18" s="54">
        <f t="shared" si="0"/>
        <v>7.2196900231190071</v>
      </c>
      <c r="J18" s="95">
        <f t="shared" si="0"/>
        <v>7.738762255382448</v>
      </c>
      <c r="K18" s="52">
        <f t="shared" si="6"/>
        <v>35.539040422177528</v>
      </c>
      <c r="L18" s="32"/>
      <c r="M18" s="198" t="str">
        <f t="shared" si="7"/>
        <v>09</v>
      </c>
      <c r="N18" s="198" t="str">
        <f t="shared" si="7"/>
        <v>Mains Replacement - CBD Block Replacement</v>
      </c>
      <c r="O18" s="52"/>
      <c r="P18" s="52"/>
      <c r="Q18" s="55">
        <f>'Capex Category Summary (Comb)'!AO23</f>
        <v>6.1781003705166064</v>
      </c>
      <c r="R18" s="54">
        <f>'Capex Category Summary (Comb)'!AP23</f>
        <v>6.213412297099552</v>
      </c>
      <c r="S18" s="54">
        <f>'Capex Category Summary (Comb)'!AQ23</f>
        <v>6.2572965164835432</v>
      </c>
      <c r="T18" s="54">
        <f>'Capex Category Summary (Comb)'!AR23</f>
        <v>6.4377914100011342</v>
      </c>
      <c r="U18" s="95">
        <f>'Capex Category Summary (Comb)'!AS23</f>
        <v>6.6277773617517468</v>
      </c>
      <c r="V18" s="52">
        <f t="shared" si="8"/>
        <v>31.714377955852584</v>
      </c>
      <c r="W18" s="531"/>
      <c r="X18" s="198" t="str">
        <f t="shared" si="9"/>
        <v>09</v>
      </c>
      <c r="Y18" s="198" t="str">
        <f t="shared" si="9"/>
        <v>Mains Replacement - CBD Block Replacement</v>
      </c>
      <c r="Z18" s="52"/>
      <c r="AA18" s="52"/>
      <c r="AB18" s="55">
        <f t="shared" si="1"/>
        <v>0.68693820668615646</v>
      </c>
      <c r="AC18" s="54">
        <f t="shared" si="2"/>
        <v>0.6062851490095118</v>
      </c>
      <c r="AD18" s="54">
        <f t="shared" si="3"/>
        <v>0.63855560388070176</v>
      </c>
      <c r="AE18" s="54">
        <f t="shared" si="4"/>
        <v>0.78189861311787323</v>
      </c>
      <c r="AF18" s="95">
        <f t="shared" si="5"/>
        <v>1.110984893630701</v>
      </c>
      <c r="AG18" s="52">
        <f t="shared" si="10"/>
        <v>3.824662466324944</v>
      </c>
      <c r="AH18" s="32"/>
    </row>
    <row r="19" spans="1:46" ht="18" customHeight="1" x14ac:dyDescent="0.2">
      <c r="A19" s="32"/>
      <c r="B19" s="198" t="str">
        <f>'Capex Model Category Index'!B17</f>
        <v>10</v>
      </c>
      <c r="C19" s="198" t="str">
        <f>'Capex Model Category Index'!C17</f>
        <v>Mains Replacement - CBD Trunk Replacement</v>
      </c>
      <c r="D19" s="52"/>
      <c r="E19" s="52"/>
      <c r="F19" s="55">
        <f t="shared" ref="F19" si="23">Q19+AB19</f>
        <v>0</v>
      </c>
      <c r="G19" s="54">
        <f t="shared" ref="G19" si="24">R19+AC19</f>
        <v>2.185291796212447</v>
      </c>
      <c r="H19" s="54">
        <f t="shared" ref="H19" si="25">S19+AD19</f>
        <v>2.2096946654318179</v>
      </c>
      <c r="I19" s="54">
        <f t="shared" ref="I19" si="26">T19+AE19</f>
        <v>0</v>
      </c>
      <c r="J19" s="95">
        <f t="shared" ref="J19" si="27">U19+AF19</f>
        <v>0</v>
      </c>
      <c r="K19" s="52">
        <f t="shared" ref="K19" si="28">SUM(F19:J19)</f>
        <v>4.3949864616442653</v>
      </c>
      <c r="L19" s="32"/>
      <c r="M19" s="198" t="str">
        <f t="shared" ref="M19" si="29">B19</f>
        <v>10</v>
      </c>
      <c r="N19" s="198" t="str">
        <f t="shared" ref="N19" si="30">C19</f>
        <v>Mains Replacement - CBD Trunk Replacement</v>
      </c>
      <c r="O19" s="52"/>
      <c r="P19" s="52"/>
      <c r="Q19" s="55">
        <f>'Capex Category Summary (Comb)'!AO24</f>
        <v>0</v>
      </c>
      <c r="R19" s="54">
        <f>'Capex Category Summary (Comb)'!AP24</f>
        <v>1.9910148546375905</v>
      </c>
      <c r="S19" s="54">
        <f>'Capex Category Summary (Comb)'!AQ24</f>
        <v>2.0050770363341903</v>
      </c>
      <c r="T19" s="54">
        <f>'Capex Category Summary (Comb)'!AR24</f>
        <v>0</v>
      </c>
      <c r="U19" s="95">
        <f>'Capex Category Summary (Comb)'!AS24</f>
        <v>0</v>
      </c>
      <c r="V19" s="52">
        <f t="shared" ref="V19" si="31">SUM(Q19:U19)</f>
        <v>3.9960918909717806</v>
      </c>
      <c r="W19" s="531"/>
      <c r="X19" s="198" t="str">
        <f t="shared" ref="X19" si="32">M19</f>
        <v>10</v>
      </c>
      <c r="Y19" s="198" t="str">
        <f t="shared" ref="Y19" si="33">N19</f>
        <v>Mains Replacement - CBD Trunk Replacement</v>
      </c>
      <c r="Z19" s="52"/>
      <c r="AA19" s="52"/>
      <c r="AB19" s="55">
        <f t="shared" si="1"/>
        <v>0</v>
      </c>
      <c r="AC19" s="54">
        <f t="shared" si="2"/>
        <v>0.19427694157485625</v>
      </c>
      <c r="AD19" s="54">
        <f t="shared" si="3"/>
        <v>0.20461762909762757</v>
      </c>
      <c r="AE19" s="54">
        <f t="shared" si="4"/>
        <v>0</v>
      </c>
      <c r="AF19" s="95">
        <f t="shared" si="5"/>
        <v>0</v>
      </c>
      <c r="AG19" s="52">
        <f t="shared" ref="AG19" si="34">SUM(AB19:AF19)</f>
        <v>0.39889457067248379</v>
      </c>
      <c r="AH19" s="32"/>
    </row>
    <row r="20" spans="1:46" ht="18" customHeight="1" x14ac:dyDescent="0.2">
      <c r="A20" s="32"/>
      <c r="B20" s="198" t="str">
        <f>'Capex Model Category Index'!B18</f>
        <v>11</v>
      </c>
      <c r="C20" s="198" t="str">
        <f>'Capex Model Category Index'!C18</f>
        <v>Service Renewal - Non AMRP</v>
      </c>
      <c r="D20" s="52"/>
      <c r="E20" s="52"/>
      <c r="F20" s="55">
        <f t="shared" si="0"/>
        <v>0.83446085305489304</v>
      </c>
      <c r="G20" s="54">
        <f t="shared" si="0"/>
        <v>0.82894953676650895</v>
      </c>
      <c r="H20" s="54">
        <f t="shared" si="0"/>
        <v>0.83820630841148192</v>
      </c>
      <c r="I20" s="54">
        <f t="shared" si="0"/>
        <v>0.86036228686374328</v>
      </c>
      <c r="J20" s="95">
        <f t="shared" si="0"/>
        <v>0.90448454605753337</v>
      </c>
      <c r="K20" s="52">
        <f t="shared" ref="K20:K29" si="35">SUM(F20:J20)</f>
        <v>4.2664635311541605</v>
      </c>
      <c r="L20" s="32"/>
      <c r="M20" s="198" t="str">
        <f t="shared" si="7"/>
        <v>11</v>
      </c>
      <c r="N20" s="198" t="str">
        <f t="shared" si="7"/>
        <v>Service Renewal - Non AMRP</v>
      </c>
      <c r="O20" s="52"/>
      <c r="P20" s="52"/>
      <c r="Q20" s="55">
        <f>'Capex Category Summary (Comb)'!AO30</f>
        <v>0.750961971657362</v>
      </c>
      <c r="R20" s="54">
        <f>'Capex Category Summary (Comb)'!AP30</f>
        <v>0.75525421561900086</v>
      </c>
      <c r="S20" s="54">
        <f>'Capex Category Summary (Comb)'!AQ30</f>
        <v>0.76058844101788192</v>
      </c>
      <c r="T20" s="54">
        <f>'Capex Category Summary (Comb)'!AR30</f>
        <v>0.76718431430210965</v>
      </c>
      <c r="U20" s="95">
        <f>'Capex Category Summary (Comb)'!AS30</f>
        <v>0.77463578807386002</v>
      </c>
      <c r="V20" s="52">
        <f t="shared" si="8"/>
        <v>3.8086247306702141</v>
      </c>
      <c r="W20" s="531"/>
      <c r="X20" s="198" t="str">
        <f t="shared" si="9"/>
        <v>11</v>
      </c>
      <c r="Y20" s="198" t="str">
        <f t="shared" si="9"/>
        <v>Service Renewal - Non AMRP</v>
      </c>
      <c r="Z20" s="52"/>
      <c r="AA20" s="52"/>
      <c r="AB20" s="55">
        <f t="shared" si="1"/>
        <v>8.3498881397531005E-2</v>
      </c>
      <c r="AC20" s="54">
        <f t="shared" si="2"/>
        <v>7.3695321147508153E-2</v>
      </c>
      <c r="AD20" s="54">
        <f t="shared" si="3"/>
        <v>7.7617867393600035E-2</v>
      </c>
      <c r="AE20" s="54">
        <f t="shared" si="4"/>
        <v>9.3177972561633599E-2</v>
      </c>
      <c r="AF20" s="95">
        <f t="shared" si="5"/>
        <v>0.12984875798367335</v>
      </c>
      <c r="AG20" s="52">
        <f t="shared" ref="AG20:AG29" si="36">SUM(AB20:AF20)</f>
        <v>0.4578388004839461</v>
      </c>
      <c r="AH20" s="32"/>
    </row>
    <row r="21" spans="1:46" ht="18" customHeight="1" x14ac:dyDescent="0.2">
      <c r="A21" s="32"/>
      <c r="B21" s="198" t="str">
        <f>'Capex Model Category Index'!B19</f>
        <v>12</v>
      </c>
      <c r="C21" s="198" t="str">
        <f>'Capex Model Category Index'!C19</f>
        <v>New Main - Estate</v>
      </c>
      <c r="D21" s="52"/>
      <c r="E21" s="52"/>
      <c r="F21" s="55">
        <f t="shared" si="0"/>
        <v>7.6808468974285251</v>
      </c>
      <c r="G21" s="54">
        <f t="shared" si="0"/>
        <v>7.2178121449446673</v>
      </c>
      <c r="H21" s="54">
        <f t="shared" si="0"/>
        <v>7.2899943378695591</v>
      </c>
      <c r="I21" s="54">
        <f t="shared" si="0"/>
        <v>7.6465334588774381</v>
      </c>
      <c r="J21" s="95">
        <f t="shared" si="0"/>
        <v>8.1753346416656427</v>
      </c>
      <c r="K21" s="52">
        <f t="shared" si="35"/>
        <v>38.010521480785833</v>
      </c>
      <c r="L21" s="32"/>
      <c r="M21" s="198" t="str">
        <f t="shared" si="7"/>
        <v>12</v>
      </c>
      <c r="N21" s="198" t="str">
        <f t="shared" si="7"/>
        <v>New Main - Estate</v>
      </c>
      <c r="O21" s="52"/>
      <c r="P21" s="52"/>
      <c r="Q21" s="55">
        <f>'Capex Category Summary (Comb)'!AO36</f>
        <v>6.9122762427680016</v>
      </c>
      <c r="R21" s="54">
        <f>'Capex Category Summary (Comb)'!AP36</f>
        <v>6.5761337792398704</v>
      </c>
      <c r="S21" s="54">
        <f>'Capex Category Summary (Comb)'!AQ36</f>
        <v>6.6149411819356834</v>
      </c>
      <c r="T21" s="54">
        <f>'Capex Category Summary (Comb)'!AR36</f>
        <v>6.8184073360785051</v>
      </c>
      <c r="U21" s="95">
        <f>'Capex Category Summary (Comb)'!AS36</f>
        <v>7.0016749545562318</v>
      </c>
      <c r="V21" s="52">
        <f t="shared" si="8"/>
        <v>33.92343349457829</v>
      </c>
      <c r="W21" s="531"/>
      <c r="X21" s="198" t="str">
        <f t="shared" si="9"/>
        <v>12</v>
      </c>
      <c r="Y21" s="198" t="str">
        <f t="shared" si="9"/>
        <v>New Main - Estate</v>
      </c>
      <c r="Z21" s="52"/>
      <c r="AA21" s="52"/>
      <c r="AB21" s="55">
        <f t="shared" si="1"/>
        <v>0.76857065466052399</v>
      </c>
      <c r="AC21" s="54">
        <f t="shared" si="2"/>
        <v>0.64167836570479697</v>
      </c>
      <c r="AD21" s="54">
        <f t="shared" si="3"/>
        <v>0.67505315593387571</v>
      </c>
      <c r="AE21" s="54">
        <f t="shared" si="4"/>
        <v>0.82812612279893305</v>
      </c>
      <c r="AF21" s="95">
        <f t="shared" si="5"/>
        <v>1.1736596871094118</v>
      </c>
      <c r="AG21" s="52">
        <f t="shared" si="36"/>
        <v>4.0870879862075409</v>
      </c>
      <c r="AH21" s="32"/>
    </row>
    <row r="22" spans="1:46" ht="18" customHeight="1" x14ac:dyDescent="0.2">
      <c r="A22" s="32"/>
      <c r="B22" s="198" t="str">
        <f>'Capex Model Category Index'!B20</f>
        <v>13</v>
      </c>
      <c r="C22" s="198" t="str">
        <f>'Capex Model Category Index'!C20</f>
        <v>New Main - Existing Domestic</v>
      </c>
      <c r="D22" s="52"/>
      <c r="E22" s="52"/>
      <c r="F22" s="55">
        <f t="shared" si="0"/>
        <v>1.0143691278341127</v>
      </c>
      <c r="G22" s="54">
        <f t="shared" si="0"/>
        <v>0.9504813151764272</v>
      </c>
      <c r="H22" s="54">
        <f t="shared" si="0"/>
        <v>0.95922158946190716</v>
      </c>
      <c r="I22" s="54">
        <f t="shared" si="0"/>
        <v>1.0062713532869445</v>
      </c>
      <c r="J22" s="95">
        <f t="shared" si="0"/>
        <v>1.0757936162303317</v>
      </c>
      <c r="K22" s="52">
        <f t="shared" si="35"/>
        <v>5.0061370019897229</v>
      </c>
      <c r="L22" s="32"/>
      <c r="M22" s="198" t="str">
        <f t="shared" si="7"/>
        <v>13</v>
      </c>
      <c r="N22" s="198" t="str">
        <f t="shared" si="7"/>
        <v>New Main - Existing Domestic</v>
      </c>
      <c r="O22" s="52"/>
      <c r="P22" s="52"/>
      <c r="Q22" s="55">
        <f>'Capex Category Summary (Comb)'!AO37</f>
        <v>0.91286803621517987</v>
      </c>
      <c r="R22" s="54">
        <f>'Capex Category Summary (Comb)'!AP37</f>
        <v>0.8659815686178346</v>
      </c>
      <c r="S22" s="54">
        <f>'Capex Category Summary (Comb)'!AQ37</f>
        <v>0.87039771235099528</v>
      </c>
      <c r="T22" s="54">
        <f>'Capex Category Summary (Comb)'!AR37</f>
        <v>0.89729130386158173</v>
      </c>
      <c r="U22" s="95">
        <f>'Capex Category Summary (Comb)'!AS37</f>
        <v>0.92135154696208854</v>
      </c>
      <c r="V22" s="52">
        <f t="shared" si="8"/>
        <v>4.4678901680076795</v>
      </c>
      <c r="W22" s="531"/>
      <c r="X22" s="198" t="str">
        <f t="shared" si="9"/>
        <v>13</v>
      </c>
      <c r="Y22" s="198" t="str">
        <f t="shared" si="9"/>
        <v>New Main - Existing Domestic</v>
      </c>
      <c r="Z22" s="52"/>
      <c r="AA22" s="52"/>
      <c r="AB22" s="55">
        <f t="shared" si="1"/>
        <v>0.10150109161893284</v>
      </c>
      <c r="AC22" s="54">
        <f t="shared" si="2"/>
        <v>8.4499746558592562E-2</v>
      </c>
      <c r="AD22" s="54">
        <f t="shared" si="3"/>
        <v>8.8823877110911859E-2</v>
      </c>
      <c r="AE22" s="54">
        <f t="shared" si="4"/>
        <v>0.10898004942536269</v>
      </c>
      <c r="AF22" s="95">
        <f t="shared" si="5"/>
        <v>0.15444206926824322</v>
      </c>
      <c r="AG22" s="52">
        <f t="shared" si="36"/>
        <v>0.53824683398204309</v>
      </c>
      <c r="AH22" s="32"/>
    </row>
    <row r="23" spans="1:46" ht="18" customHeight="1" x14ac:dyDescent="0.2">
      <c r="A23" s="32"/>
      <c r="B23" s="198" t="str">
        <f>'Capex Model Category Index'!B21</f>
        <v>14</v>
      </c>
      <c r="C23" s="198" t="str">
        <f>'Capex Model Category Index'!C21</f>
        <v>New Main - I&amp;C&lt;10TJ</v>
      </c>
      <c r="D23" s="52"/>
      <c r="E23" s="52"/>
      <c r="F23" s="55">
        <f t="shared" si="0"/>
        <v>2.5370910676686949</v>
      </c>
      <c r="G23" s="54">
        <f t="shared" si="0"/>
        <v>2.5352098020817135</v>
      </c>
      <c r="H23" s="54">
        <f t="shared" si="0"/>
        <v>2.5786637691522003</v>
      </c>
      <c r="I23" s="54">
        <f t="shared" si="0"/>
        <v>2.6624743793927887</v>
      </c>
      <c r="J23" s="95">
        <f t="shared" si="0"/>
        <v>2.8155797914491747</v>
      </c>
      <c r="K23" s="52">
        <f t="shared" si="35"/>
        <v>13.129018809744572</v>
      </c>
      <c r="L23" s="32"/>
      <c r="M23" s="198" t="str">
        <f t="shared" si="7"/>
        <v>14</v>
      </c>
      <c r="N23" s="198" t="str">
        <f t="shared" si="7"/>
        <v>New Main - I&amp;C&lt;10TJ</v>
      </c>
      <c r="O23" s="52"/>
      <c r="P23" s="52"/>
      <c r="Q23" s="55">
        <f>'Capex Category Summary (Comb)'!AO38</f>
        <v>2.2832214398983099</v>
      </c>
      <c r="R23" s="54">
        <f>'Capex Category Summary (Comb)'!AP38</f>
        <v>2.309824429083613</v>
      </c>
      <c r="S23" s="54">
        <f>'Capex Category Summary (Comb)'!AQ38</f>
        <v>2.3398796172337435</v>
      </c>
      <c r="T23" s="54">
        <f>'Capex Category Summary (Comb)'!AR38</f>
        <v>2.3741261237138378</v>
      </c>
      <c r="U23" s="95">
        <f>'Capex Category Summary (Comb)'!AS38</f>
        <v>2.4113721789286728</v>
      </c>
      <c r="V23" s="52">
        <f t="shared" si="8"/>
        <v>11.718423788858177</v>
      </c>
      <c r="W23" s="531"/>
      <c r="X23" s="198" t="str">
        <f t="shared" si="9"/>
        <v>14</v>
      </c>
      <c r="Y23" s="198" t="str">
        <f t="shared" si="9"/>
        <v>New Main - I&amp;C&lt;10TJ</v>
      </c>
      <c r="Z23" s="52"/>
      <c r="AA23" s="52"/>
      <c r="AB23" s="55">
        <f t="shared" si="1"/>
        <v>0.25386962777038508</v>
      </c>
      <c r="AC23" s="54">
        <f t="shared" si="2"/>
        <v>0.22538537299810077</v>
      </c>
      <c r="AD23" s="54">
        <f t="shared" si="3"/>
        <v>0.23878415191845703</v>
      </c>
      <c r="AE23" s="54">
        <f t="shared" si="4"/>
        <v>0.28834825567895112</v>
      </c>
      <c r="AF23" s="95">
        <f t="shared" si="5"/>
        <v>0.40420761252050169</v>
      </c>
      <c r="AG23" s="52">
        <f t="shared" si="36"/>
        <v>1.4105950208863955</v>
      </c>
      <c r="AH23" s="32"/>
    </row>
    <row r="24" spans="1:46" ht="18" customHeight="1" x14ac:dyDescent="0.2">
      <c r="A24" s="32"/>
      <c r="B24" s="198" t="str">
        <f>'Capex Model Category Index'!B22</f>
        <v>15</v>
      </c>
      <c r="C24" s="198" t="str">
        <f>'Capex Model Category Index'!C22</f>
        <v>New Meter - Domestic</v>
      </c>
      <c r="D24" s="52"/>
      <c r="E24" s="52"/>
      <c r="F24" s="55">
        <f t="shared" si="0"/>
        <v>4.3166523381191197</v>
      </c>
      <c r="G24" s="54">
        <f t="shared" si="0"/>
        <v>4.0151028640136808</v>
      </c>
      <c r="H24" s="54">
        <f t="shared" si="0"/>
        <v>4.0257061266555807</v>
      </c>
      <c r="I24" s="54">
        <f t="shared" si="0"/>
        <v>4.3212538866772858</v>
      </c>
      <c r="J24" s="95">
        <f t="shared" si="0"/>
        <v>4.6199981976831657</v>
      </c>
      <c r="K24" s="52">
        <f t="shared" si="35"/>
        <v>21.298713413148835</v>
      </c>
      <c r="L24" s="32"/>
      <c r="M24" s="198" t="str">
        <f t="shared" si="7"/>
        <v>15</v>
      </c>
      <c r="N24" s="198" t="str">
        <f t="shared" si="7"/>
        <v>New Meter - Domestic</v>
      </c>
      <c r="O24" s="52"/>
      <c r="P24" s="52"/>
      <c r="Q24" s="55">
        <f>'Capex Category Summary (Comb)'!AO44</f>
        <v>3.8847139909870068</v>
      </c>
      <c r="R24" s="54">
        <f>'Capex Category Summary (Comb)'!AP44</f>
        <v>3.6581519497783397</v>
      </c>
      <c r="S24" s="54">
        <f>'Capex Category Summary (Comb)'!AQ44</f>
        <v>3.6529259159023066</v>
      </c>
      <c r="T24" s="54">
        <f>'Capex Category Summary (Comb)'!AR44</f>
        <v>3.8532583896263599</v>
      </c>
      <c r="U24" s="95">
        <f>'Capex Category Summary (Comb)'!AS44</f>
        <v>3.956746370473053</v>
      </c>
      <c r="V24" s="52">
        <f t="shared" si="8"/>
        <v>19.005796616767068</v>
      </c>
      <c r="W24" s="531"/>
      <c r="X24" s="198" t="str">
        <f t="shared" si="9"/>
        <v>15</v>
      </c>
      <c r="Y24" s="198" t="str">
        <f t="shared" si="9"/>
        <v>New Meter - Domestic</v>
      </c>
      <c r="Z24" s="52"/>
      <c r="AA24" s="52"/>
      <c r="AB24" s="55">
        <f t="shared" si="1"/>
        <v>0.43193834713211265</v>
      </c>
      <c r="AC24" s="54">
        <f t="shared" si="2"/>
        <v>0.3569509142353412</v>
      </c>
      <c r="AD24" s="54">
        <f t="shared" si="3"/>
        <v>0.37278021075327405</v>
      </c>
      <c r="AE24" s="54">
        <f t="shared" si="4"/>
        <v>0.46799549705092569</v>
      </c>
      <c r="AF24" s="95">
        <f t="shared" si="5"/>
        <v>0.66325182721011267</v>
      </c>
      <c r="AG24" s="52">
        <f t="shared" si="36"/>
        <v>2.2929167963817663</v>
      </c>
      <c r="AH24" s="32"/>
    </row>
    <row r="25" spans="1:46" ht="18" customHeight="1" x14ac:dyDescent="0.2">
      <c r="A25" s="32"/>
      <c r="B25" s="198" t="str">
        <f>'Capex Model Category Index'!B23</f>
        <v>16</v>
      </c>
      <c r="C25" s="198" t="str">
        <f>'Capex Model Category Index'!C23</f>
        <v>New Meter - I&amp;C&lt;10TJ</v>
      </c>
      <c r="D25" s="52"/>
      <c r="E25" s="52"/>
      <c r="F25" s="55">
        <f t="shared" si="0"/>
        <v>2.9478253966304382</v>
      </c>
      <c r="G25" s="54">
        <f t="shared" si="0"/>
        <v>2.9456438378909389</v>
      </c>
      <c r="H25" s="54">
        <f t="shared" si="0"/>
        <v>2.9961372742953269</v>
      </c>
      <c r="I25" s="54">
        <f t="shared" si="0"/>
        <v>3.0935213516817965</v>
      </c>
      <c r="J25" s="95">
        <f t="shared" si="0"/>
        <v>3.2714195386188152</v>
      </c>
      <c r="K25" s="52">
        <f t="shared" si="35"/>
        <v>15.254547399117317</v>
      </c>
      <c r="L25" s="32"/>
      <c r="M25" s="198" t="str">
        <f t="shared" si="7"/>
        <v>16</v>
      </c>
      <c r="N25" s="198" t="str">
        <f t="shared" si="7"/>
        <v>New Meter - I&amp;C&lt;10TJ</v>
      </c>
      <c r="O25" s="52"/>
      <c r="P25" s="52"/>
      <c r="Q25" s="55">
        <f>'Capex Category Summary (Comb)'!AO45</f>
        <v>2.6528563489240349</v>
      </c>
      <c r="R25" s="54">
        <f>'Capex Category Summary (Comb)'!AP45</f>
        <v>2.6837700337673276</v>
      </c>
      <c r="S25" s="54">
        <f>'Capex Category Summary (Comb)'!AQ45</f>
        <v>2.7186950941117884</v>
      </c>
      <c r="T25" s="54">
        <f>'Capex Category Summary (Comb)'!AR45</f>
        <v>2.7584903397152245</v>
      </c>
      <c r="U25" s="95">
        <f>'Capex Category Summary (Comb)'!AS45</f>
        <v>2.8017710899142485</v>
      </c>
      <c r="V25" s="52">
        <f t="shared" si="8"/>
        <v>13.615582906432625</v>
      </c>
      <c r="W25" s="531"/>
      <c r="X25" s="198" t="str">
        <f t="shared" si="9"/>
        <v>16</v>
      </c>
      <c r="Y25" s="198" t="str">
        <f t="shared" si="9"/>
        <v>New Meter - I&amp;C&lt;10TJ</v>
      </c>
      <c r="Z25" s="52"/>
      <c r="AA25" s="52"/>
      <c r="AB25" s="55">
        <f t="shared" si="1"/>
        <v>0.29496904770640331</v>
      </c>
      <c r="AC25" s="54">
        <f t="shared" si="2"/>
        <v>0.26187380412361144</v>
      </c>
      <c r="AD25" s="54">
        <f t="shared" si="3"/>
        <v>0.27744218018353839</v>
      </c>
      <c r="AE25" s="54">
        <f t="shared" si="4"/>
        <v>0.33503101196657215</v>
      </c>
      <c r="AF25" s="95">
        <f t="shared" si="5"/>
        <v>0.46964844870456679</v>
      </c>
      <c r="AG25" s="52">
        <f t="shared" si="36"/>
        <v>1.6389644926846922</v>
      </c>
      <c r="AH25" s="32"/>
    </row>
    <row r="26" spans="1:46" ht="18" customHeight="1" x14ac:dyDescent="0.2">
      <c r="A26" s="32"/>
      <c r="B26" s="198" t="str">
        <f>'Capex Model Category Index'!B24</f>
        <v>17</v>
      </c>
      <c r="C26" s="198" t="str">
        <f>'Capex Model Category Index'!C24</f>
        <v>New Service - New Home</v>
      </c>
      <c r="D26" s="52"/>
      <c r="E26" s="52"/>
      <c r="F26" s="55">
        <f t="shared" si="0"/>
        <v>14.483287654130505</v>
      </c>
      <c r="G26" s="54">
        <f t="shared" si="0"/>
        <v>13.599076113599086</v>
      </c>
      <c r="H26" s="54">
        <f t="shared" si="0"/>
        <v>13.731973104868022</v>
      </c>
      <c r="I26" s="54">
        <f t="shared" si="0"/>
        <v>14.404128489530644</v>
      </c>
      <c r="J26" s="95">
        <f t="shared" si="0"/>
        <v>15.399983662305182</v>
      </c>
      <c r="K26" s="52">
        <f t="shared" si="35"/>
        <v>71.618449024433431</v>
      </c>
      <c r="L26" s="32"/>
      <c r="M26" s="198" t="str">
        <f t="shared" si="7"/>
        <v>17</v>
      </c>
      <c r="N26" s="198" t="str">
        <f t="shared" si="7"/>
        <v>New Service - New Home</v>
      </c>
      <c r="O26" s="52"/>
      <c r="P26" s="52"/>
      <c r="Q26" s="55">
        <f>'Capex Category Summary (Comb)'!AO51</f>
        <v>13.034042535379543</v>
      </c>
      <c r="R26" s="54">
        <f>'Capex Category Summary (Comb)'!AP51</f>
        <v>12.390090238041044</v>
      </c>
      <c r="S26" s="54">
        <f>'Capex Category Summary (Comb)'!AQ51</f>
        <v>12.460392997667379</v>
      </c>
      <c r="T26" s="54">
        <f>'Capex Category Summary (Comb)'!AR51</f>
        <v>12.844149037079017</v>
      </c>
      <c r="U26" s="95">
        <f>'Capex Category Summary (Comb)'!AS51</f>
        <v>13.189145721253183</v>
      </c>
      <c r="V26" s="52">
        <f t="shared" si="8"/>
        <v>63.917820529420169</v>
      </c>
      <c r="W26" s="531"/>
      <c r="X26" s="198" t="str">
        <f t="shared" si="9"/>
        <v>17</v>
      </c>
      <c r="Y26" s="198" t="str">
        <f t="shared" si="9"/>
        <v>New Service - New Home</v>
      </c>
      <c r="Z26" s="52"/>
      <c r="AA26" s="52"/>
      <c r="AB26" s="55">
        <f t="shared" si="1"/>
        <v>1.4492451187509627</v>
      </c>
      <c r="AC26" s="54">
        <f t="shared" si="2"/>
        <v>1.2089858755580427</v>
      </c>
      <c r="AD26" s="54">
        <f t="shared" si="3"/>
        <v>1.2715801072006441</v>
      </c>
      <c r="AE26" s="54">
        <f t="shared" si="4"/>
        <v>1.5599794524516262</v>
      </c>
      <c r="AF26" s="95">
        <f t="shared" si="5"/>
        <v>2.2108379410519987</v>
      </c>
      <c r="AG26" s="52">
        <f t="shared" si="36"/>
        <v>7.7006284950132748</v>
      </c>
      <c r="AH26" s="32"/>
    </row>
    <row r="27" spans="1:46" ht="18" customHeight="1" x14ac:dyDescent="0.2">
      <c r="A27" s="32"/>
      <c r="B27" s="198" t="str">
        <f>'Capex Model Category Index'!B25</f>
        <v>18</v>
      </c>
      <c r="C27" s="198" t="str">
        <f>'Capex Model Category Index'!C25</f>
        <v>New Service - Exist Home</v>
      </c>
      <c r="D27" s="52"/>
      <c r="E27" s="52"/>
      <c r="F27" s="55">
        <f t="shared" si="0"/>
        <v>1.4965389959887543</v>
      </c>
      <c r="G27" s="54">
        <f t="shared" si="0"/>
        <v>1.4057355131303595</v>
      </c>
      <c r="H27" s="54">
        <f t="shared" si="0"/>
        <v>1.4196299760966626</v>
      </c>
      <c r="I27" s="54">
        <f t="shared" si="0"/>
        <v>1.4890903816916072</v>
      </c>
      <c r="J27" s="95">
        <f t="shared" si="0"/>
        <v>1.592055073859489</v>
      </c>
      <c r="K27" s="52">
        <f t="shared" si="35"/>
        <v>7.4030499407668735</v>
      </c>
      <c r="L27" s="32"/>
      <c r="M27" s="198" t="str">
        <f t="shared" si="7"/>
        <v>18</v>
      </c>
      <c r="N27" s="198" t="str">
        <f t="shared" si="7"/>
        <v>New Service - Exist Home</v>
      </c>
      <c r="O27" s="52"/>
      <c r="P27" s="52"/>
      <c r="Q27" s="55">
        <f>'Capex Category Summary (Comb)'!AO52</f>
        <v>1.3467904108090192</v>
      </c>
      <c r="R27" s="54">
        <f>'Capex Category Summary (Comb)'!AP52</f>
        <v>1.2807627307186613</v>
      </c>
      <c r="S27" s="54">
        <f>'Capex Category Summary (Comb)'!AQ52</f>
        <v>1.2881723025777492</v>
      </c>
      <c r="T27" s="54">
        <f>'Capex Category Summary (Comb)'!AR52</f>
        <v>1.3278206179588936</v>
      </c>
      <c r="U27" s="95">
        <f>'Capex Category Summary (Comb)'!AS52</f>
        <v>1.3634979637536959</v>
      </c>
      <c r="V27" s="52">
        <f t="shared" si="8"/>
        <v>6.6070440258180199</v>
      </c>
      <c r="W27" s="531"/>
      <c r="X27" s="198" t="str">
        <f t="shared" si="9"/>
        <v>18</v>
      </c>
      <c r="Y27" s="198" t="str">
        <f t="shared" si="9"/>
        <v>New Service - Exist Home</v>
      </c>
      <c r="Z27" s="52"/>
      <c r="AA27" s="52"/>
      <c r="AB27" s="55">
        <f t="shared" si="1"/>
        <v>0.14974858517973516</v>
      </c>
      <c r="AC27" s="54">
        <f t="shared" si="2"/>
        <v>0.12497278241169829</v>
      </c>
      <c r="AD27" s="54">
        <f t="shared" si="3"/>
        <v>0.13145767351891355</v>
      </c>
      <c r="AE27" s="54">
        <f t="shared" si="4"/>
        <v>0.16126976373271365</v>
      </c>
      <c r="AF27" s="95">
        <f t="shared" si="5"/>
        <v>0.2285571101057931</v>
      </c>
      <c r="AG27" s="52">
        <f t="shared" si="36"/>
        <v>0.79600591494885364</v>
      </c>
      <c r="AH27" s="32"/>
    </row>
    <row r="28" spans="1:46" ht="18" customHeight="1" x14ac:dyDescent="0.2">
      <c r="A28" s="32"/>
      <c r="B28" s="198" t="str">
        <f>'Capex Model Category Index'!B26</f>
        <v>19</v>
      </c>
      <c r="C28" s="198" t="str">
        <f>'Capex Model Category Index'!C26</f>
        <v>New Service - Multi User</v>
      </c>
      <c r="D28" s="52"/>
      <c r="E28" s="52"/>
      <c r="F28" s="55">
        <f t="shared" si="0"/>
        <v>3.9697989634381505</v>
      </c>
      <c r="G28" s="54">
        <f t="shared" si="0"/>
        <v>3.7240860597309235</v>
      </c>
      <c r="H28" s="54">
        <f t="shared" si="0"/>
        <v>3.7595412441838585</v>
      </c>
      <c r="I28" s="54">
        <f t="shared" si="0"/>
        <v>3.9437310600369364</v>
      </c>
      <c r="J28" s="95">
        <f t="shared" si="0"/>
        <v>4.2163056212621202</v>
      </c>
      <c r="K28" s="52">
        <f t="shared" si="35"/>
        <v>19.613462948651989</v>
      </c>
      <c r="L28" s="32"/>
      <c r="M28" s="198" t="str">
        <f t="shared" si="7"/>
        <v>19</v>
      </c>
      <c r="N28" s="198" t="str">
        <f t="shared" si="7"/>
        <v>New Service - Multi User</v>
      </c>
      <c r="O28" s="52"/>
      <c r="P28" s="52"/>
      <c r="Q28" s="55">
        <f>'Capex Category Summary (Comb)'!AO53</f>
        <v>3.5725678990848437</v>
      </c>
      <c r="R28" s="54">
        <f>'Capex Category Summary (Comb)'!AP53</f>
        <v>3.3930071387831306</v>
      </c>
      <c r="S28" s="54">
        <f>'Capex Category Summary (Comb)'!AQ53</f>
        <v>3.4114078898729741</v>
      </c>
      <c r="T28" s="54">
        <f>'Capex Category Summary (Comb)'!AR53</f>
        <v>3.5166216084568251</v>
      </c>
      <c r="U28" s="95">
        <f>'Capex Category Summary (Comb)'!AS53</f>
        <v>3.6110083272543556</v>
      </c>
      <c r="V28" s="52">
        <f t="shared" si="8"/>
        <v>17.504612863452131</v>
      </c>
      <c r="W28" s="531"/>
      <c r="X28" s="198" t="str">
        <f t="shared" si="9"/>
        <v>19</v>
      </c>
      <c r="Y28" s="198" t="str">
        <f t="shared" si="9"/>
        <v>New Service - Multi User</v>
      </c>
      <c r="Z28" s="52"/>
      <c r="AA28" s="52"/>
      <c r="AB28" s="55">
        <f t="shared" si="1"/>
        <v>0.39723106435330696</v>
      </c>
      <c r="AC28" s="54">
        <f t="shared" si="2"/>
        <v>0.33107892094779301</v>
      </c>
      <c r="AD28" s="54">
        <f t="shared" si="3"/>
        <v>0.34813335431088432</v>
      </c>
      <c r="AE28" s="54">
        <f t="shared" si="4"/>
        <v>0.42710945158011132</v>
      </c>
      <c r="AF28" s="95">
        <f t="shared" si="5"/>
        <v>0.60529729400776489</v>
      </c>
      <c r="AG28" s="52">
        <f t="shared" si="36"/>
        <v>2.1088500851998604</v>
      </c>
      <c r="AH28" s="32"/>
    </row>
    <row r="29" spans="1:46" ht="18" customHeight="1" x14ac:dyDescent="0.2">
      <c r="A29" s="32"/>
      <c r="B29" s="198" t="str">
        <f>'Capex Model Category Index'!B27</f>
        <v>20</v>
      </c>
      <c r="C29" s="198" t="str">
        <f>'Capex Model Category Index'!C27</f>
        <v>New Service - I&amp;C &lt; 10 Tj</v>
      </c>
      <c r="D29" s="52"/>
      <c r="E29" s="52"/>
      <c r="F29" s="55">
        <f t="shared" si="0"/>
        <v>2.0191030098536804</v>
      </c>
      <c r="G29" s="54">
        <f t="shared" si="0"/>
        <v>2.0176087585923499</v>
      </c>
      <c r="H29" s="54">
        <f t="shared" si="0"/>
        <v>2.0521940666429872</v>
      </c>
      <c r="I29" s="54">
        <f t="shared" si="0"/>
        <v>2.1188969602362113</v>
      </c>
      <c r="J29" s="95">
        <f t="shared" si="0"/>
        <v>2.2407477201566022</v>
      </c>
      <c r="K29" s="52">
        <f t="shared" si="35"/>
        <v>10.448550515481831</v>
      </c>
      <c r="L29" s="32"/>
      <c r="M29" s="198" t="str">
        <f t="shared" si="7"/>
        <v>20</v>
      </c>
      <c r="N29" s="198" t="str">
        <f t="shared" si="7"/>
        <v>New Service - I&amp;C &lt; 10 Tj</v>
      </c>
      <c r="O29" s="52"/>
      <c r="P29" s="52"/>
      <c r="Q29" s="55">
        <f>'Capex Category Summary (Comb)'!AO54</f>
        <v>1.8170649608164298</v>
      </c>
      <c r="R29" s="54">
        <f>'Capex Category Summary (Comb)'!AP54</f>
        <v>1.8382391844268606</v>
      </c>
      <c r="S29" s="54">
        <f>'Capex Category Summary (Comb)'!AQ54</f>
        <v>1.8621609860849331</v>
      </c>
      <c r="T29" s="54">
        <f>'Capex Category Summary (Comb)'!AR54</f>
        <v>1.8894186046221808</v>
      </c>
      <c r="U29" s="95">
        <f>'Capex Category Summary (Comb)'!AS54</f>
        <v>1.9190636077134309</v>
      </c>
      <c r="V29" s="52">
        <f t="shared" si="8"/>
        <v>9.3259473436638345</v>
      </c>
      <c r="W29" s="531"/>
      <c r="X29" s="198" t="str">
        <f t="shared" si="9"/>
        <v>20</v>
      </c>
      <c r="Y29" s="198" t="str">
        <f t="shared" si="9"/>
        <v>New Service - I&amp;C &lt; 10 Tj</v>
      </c>
      <c r="Z29" s="52"/>
      <c r="AA29" s="52"/>
      <c r="AB29" s="133">
        <f t="shared" si="1"/>
        <v>0.20203804903725048</v>
      </c>
      <c r="AC29" s="132">
        <f t="shared" si="2"/>
        <v>0.17936957416548949</v>
      </c>
      <c r="AD29" s="132">
        <f t="shared" si="3"/>
        <v>0.19003308055805396</v>
      </c>
      <c r="AE29" s="132">
        <f t="shared" si="4"/>
        <v>0.2294783556140304</v>
      </c>
      <c r="AF29" s="134">
        <f t="shared" si="5"/>
        <v>0.32168411244317141</v>
      </c>
      <c r="AG29" s="52">
        <f t="shared" si="36"/>
        <v>1.1226031718179956</v>
      </c>
      <c r="AH29" s="32"/>
    </row>
    <row r="30" spans="1:46" s="323" customFormat="1" ht="18" customHeight="1" thickBot="1" x14ac:dyDescent="0.25">
      <c r="A30" s="290"/>
      <c r="B30" s="98"/>
      <c r="C30" s="98" t="s">
        <v>46</v>
      </c>
      <c r="D30" s="99"/>
      <c r="E30" s="99"/>
      <c r="F30" s="100">
        <f>SUM(F10:F29)</f>
        <v>86.616241344628563</v>
      </c>
      <c r="G30" s="99">
        <f>SUM(G10:G29)</f>
        <v>86.390660790996108</v>
      </c>
      <c r="H30" s="99">
        <f>SUM(H10:H29)</f>
        <v>87.289700121434137</v>
      </c>
      <c r="I30" s="99">
        <f>SUM(I10:I29)</f>
        <v>85.056808034418864</v>
      </c>
      <c r="J30" s="101">
        <f>SUM(J10:J29)</f>
        <v>59.917993175527251</v>
      </c>
      <c r="K30" s="99">
        <f>SUM(F30:J30)</f>
        <v>405.27140346700492</v>
      </c>
      <c r="L30" s="290"/>
      <c r="M30" s="98"/>
      <c r="N30" s="98" t="s">
        <v>46</v>
      </c>
      <c r="O30" s="99"/>
      <c r="P30" s="99"/>
      <c r="Q30" s="100">
        <f>SUM(Q10:Q29)</f>
        <v>77.949137026124006</v>
      </c>
      <c r="R30" s="99">
        <f>SUM(R10:R29)</f>
        <v>78.71035311391833</v>
      </c>
      <c r="S30" s="99">
        <f>SUM(S10:S29)</f>
        <v>79.206677718879561</v>
      </c>
      <c r="T30" s="99">
        <f>SUM(T10:T29)</f>
        <v>75.845082873729226</v>
      </c>
      <c r="U30" s="101">
        <f>SUM(U10:U29)</f>
        <v>51.31610270804596</v>
      </c>
      <c r="V30" s="99">
        <f>SUM(Q30:U30)</f>
        <v>363.02735344069708</v>
      </c>
      <c r="W30" s="531"/>
      <c r="X30" s="98"/>
      <c r="Y30" s="98" t="s">
        <v>46</v>
      </c>
      <c r="Z30" s="99"/>
      <c r="AA30" s="99"/>
      <c r="AB30" s="100">
        <f>SUM(AB10:AB29)</f>
        <v>8.667104318504558</v>
      </c>
      <c r="AC30" s="99">
        <f>SUM(AC10:AC29)</f>
        <v>7.6803076770777974</v>
      </c>
      <c r="AD30" s="99">
        <f>SUM(AD10:AD29)</f>
        <v>8.0830224025545867</v>
      </c>
      <c r="AE30" s="99">
        <f>SUM(AE10:AE29)</f>
        <v>9.2117251606896353</v>
      </c>
      <c r="AF30" s="101">
        <f>SUM(AF10:AF29)</f>
        <v>8.6018904674812777</v>
      </c>
      <c r="AG30" s="99">
        <f>SUM(AB30:AF30)</f>
        <v>42.244050026307853</v>
      </c>
      <c r="AH30" s="32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</row>
    <row r="31" spans="1:46" x14ac:dyDescent="0.2">
      <c r="A31" s="3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32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531"/>
      <c r="X31" s="103"/>
      <c r="Y31" s="103"/>
      <c r="Z31" s="52"/>
      <c r="AA31" s="54"/>
      <c r="AB31" s="54"/>
      <c r="AC31" s="54"/>
      <c r="AD31" s="54"/>
      <c r="AE31" s="54"/>
      <c r="AF31" s="54"/>
      <c r="AG31" s="54"/>
      <c r="AH31" s="32"/>
    </row>
    <row r="32" spans="1:46" ht="18" customHeight="1" x14ac:dyDescent="0.2">
      <c r="A32" s="32"/>
      <c r="B32" s="114" t="s">
        <v>44</v>
      </c>
      <c r="C32" s="104"/>
      <c r="D32" s="104"/>
      <c r="E32" s="104"/>
      <c r="F32" s="104"/>
      <c r="G32" s="104"/>
      <c r="H32" s="104"/>
      <c r="I32" s="104"/>
      <c r="J32" s="104"/>
      <c r="K32" s="104"/>
      <c r="L32" s="32"/>
      <c r="M32" s="114" t="s">
        <v>44</v>
      </c>
      <c r="N32" s="104"/>
      <c r="O32" s="104"/>
      <c r="P32" s="104"/>
      <c r="Q32" s="104"/>
      <c r="R32" s="104"/>
      <c r="S32" s="104"/>
      <c r="T32" s="104"/>
      <c r="U32" s="104"/>
      <c r="V32" s="104"/>
      <c r="W32" s="531"/>
      <c r="X32" s="114" t="s">
        <v>44</v>
      </c>
      <c r="Y32" s="104"/>
      <c r="Z32" s="52"/>
      <c r="AA32" s="52"/>
      <c r="AB32" s="52"/>
      <c r="AC32" s="52"/>
      <c r="AD32" s="52"/>
      <c r="AE32" s="52"/>
      <c r="AF32" s="52"/>
      <c r="AG32" s="52"/>
      <c r="AH32" s="32"/>
    </row>
    <row r="33" spans="1:46" ht="18" customHeight="1" x14ac:dyDescent="0.2">
      <c r="A33" s="32"/>
      <c r="B33" s="504">
        <f>'Capex Model Category Index'!B32</f>
        <v>21</v>
      </c>
      <c r="C33" s="198" t="str">
        <f>'Capex Model Category Index'!C32</f>
        <v>Telemetry</v>
      </c>
      <c r="D33" s="52"/>
      <c r="E33" s="52"/>
      <c r="F33" s="55">
        <f t="shared" ref="F33:J40" si="37">Q33+AB33</f>
        <v>0.30420103500004991</v>
      </c>
      <c r="G33" s="54">
        <f t="shared" si="37"/>
        <v>0.28905095042515028</v>
      </c>
      <c r="H33" s="54">
        <f t="shared" si="37"/>
        <v>0.28481243845566862</v>
      </c>
      <c r="I33" s="54">
        <f t="shared" si="37"/>
        <v>0.29405974770081161</v>
      </c>
      <c r="J33" s="95">
        <f t="shared" si="37"/>
        <v>0.17181317938572713</v>
      </c>
      <c r="K33" s="52">
        <f>SUM(F33:J33)</f>
        <v>1.3439373509674075</v>
      </c>
      <c r="L33" s="32"/>
      <c r="M33" s="504">
        <f>B33</f>
        <v>21</v>
      </c>
      <c r="N33" s="198" t="str">
        <f>C33</f>
        <v>Telemetry</v>
      </c>
      <c r="O33" s="52"/>
      <c r="P33" s="52"/>
      <c r="Q33" s="55">
        <f>'Capex Category Summary (Comb)'!AO62</f>
        <v>0.27376168479028706</v>
      </c>
      <c r="R33" s="54">
        <f>'Capex Category Summary (Comb)'!AP62</f>
        <v>0.26335372559447401</v>
      </c>
      <c r="S33" s="54">
        <f>'Capex Category Summary (Comb)'!AQ62</f>
        <v>0.25843881914708228</v>
      </c>
      <c r="T33" s="54">
        <f>'Capex Category Summary (Comb)'!AR62</f>
        <v>0.26221282516469341</v>
      </c>
      <c r="U33" s="95">
        <f>'Capex Category Summary (Comb)'!AS62</f>
        <v>0.14714749764942067</v>
      </c>
      <c r="V33" s="52">
        <f>SUM(Q33:U33)</f>
        <v>1.2049145523459575</v>
      </c>
      <c r="W33" s="531"/>
      <c r="X33" s="504">
        <f>M33</f>
        <v>21</v>
      </c>
      <c r="Y33" s="198" t="str">
        <f>N33</f>
        <v>Telemetry</v>
      </c>
      <c r="Z33" s="52"/>
      <c r="AA33" s="52"/>
      <c r="AB33" s="55">
        <f>(Q33/Q$43)*Q$45</f>
        <v>3.043935020976285E-2</v>
      </c>
      <c r="AC33" s="54">
        <f t="shared" ref="AC33:AF40" si="38">(R33/R$43)*R$45</f>
        <v>2.5697224830676248E-2</v>
      </c>
      <c r="AD33" s="54">
        <f t="shared" si="38"/>
        <v>2.6373619308586366E-2</v>
      </c>
      <c r="AE33" s="54">
        <f t="shared" si="38"/>
        <v>3.1846922536118184E-2</v>
      </c>
      <c r="AF33" s="95">
        <f t="shared" si="38"/>
        <v>2.4665681736306452E-2</v>
      </c>
      <c r="AG33" s="52">
        <f>SUM(AB33:AF33)</f>
        <v>0.13902279862145009</v>
      </c>
      <c r="AH33" s="32"/>
    </row>
    <row r="34" spans="1:46" ht="18" customHeight="1" x14ac:dyDescent="0.2">
      <c r="A34" s="32"/>
      <c r="B34" s="504">
        <f>'Capex Model Category Index'!B33</f>
        <v>22</v>
      </c>
      <c r="C34" s="198" t="str">
        <f>'Capex Model Category Index'!C33</f>
        <v>Regulators</v>
      </c>
      <c r="D34" s="52"/>
      <c r="E34" s="52"/>
      <c r="F34" s="55">
        <f t="shared" si="37"/>
        <v>2.7149152096057767</v>
      </c>
      <c r="G34" s="54">
        <f t="shared" si="37"/>
        <v>4.9330779926077151</v>
      </c>
      <c r="H34" s="54">
        <f t="shared" si="37"/>
        <v>11.124489443725517</v>
      </c>
      <c r="I34" s="54">
        <f t="shared" si="37"/>
        <v>6.4676918886348629</v>
      </c>
      <c r="J34" s="95">
        <f t="shared" si="37"/>
        <v>3.27508304839411</v>
      </c>
      <c r="K34" s="52">
        <f t="shared" ref="K34:K40" si="39">SUM(F34:J34)</f>
        <v>28.51525758296798</v>
      </c>
      <c r="L34" s="32"/>
      <c r="M34" s="504">
        <f t="shared" ref="M34:N40" si="40">B34</f>
        <v>22</v>
      </c>
      <c r="N34" s="198" t="str">
        <f t="shared" si="40"/>
        <v>Regulators</v>
      </c>
      <c r="O34" s="52"/>
      <c r="P34" s="52"/>
      <c r="Q34" s="55">
        <f>'Capex Category Summary (Comb)'!AO63</f>
        <v>2.4432519167606737</v>
      </c>
      <c r="R34" s="54">
        <f>'Capex Category Summary (Comb)'!AP63</f>
        <v>4.4945171987516588</v>
      </c>
      <c r="S34" s="54">
        <f>'Capex Category Summary (Comb)'!AQ63</f>
        <v>10.094362209177538</v>
      </c>
      <c r="T34" s="54">
        <f>'Capex Category Summary (Comb)'!AR63</f>
        <v>5.7672353175627729</v>
      </c>
      <c r="U34" s="95">
        <f>'Capex Category Summary (Comb)'!AS63</f>
        <v>2.8049086623518003</v>
      </c>
      <c r="V34" s="52">
        <f t="shared" ref="V34:V40" si="41">SUM(Q34:U34)</f>
        <v>25.604275304604442</v>
      </c>
      <c r="W34" s="531"/>
      <c r="X34" s="504">
        <f t="shared" ref="X34:Y40" si="42">M34</f>
        <v>22</v>
      </c>
      <c r="Y34" s="198" t="str">
        <f t="shared" si="42"/>
        <v>Regulators</v>
      </c>
      <c r="Z34" s="52"/>
      <c r="AA34" s="52"/>
      <c r="AB34" s="55">
        <f t="shared" ref="AB34:AB40" si="43">(Q34/Q$43)*Q$45</f>
        <v>0.27166329284510288</v>
      </c>
      <c r="AC34" s="54">
        <f t="shared" si="38"/>
        <v>0.43856079385605651</v>
      </c>
      <c r="AD34" s="54">
        <f t="shared" si="38"/>
        <v>1.0301272345479793</v>
      </c>
      <c r="AE34" s="54">
        <f t="shared" si="38"/>
        <v>0.70045657107208992</v>
      </c>
      <c r="AF34" s="95">
        <f t="shared" si="38"/>
        <v>0.4701743860423096</v>
      </c>
      <c r="AG34" s="52">
        <f t="shared" ref="AG34:AG40" si="44">SUM(AB34:AF34)</f>
        <v>2.9109822783635382</v>
      </c>
      <c r="AH34" s="32"/>
    </row>
    <row r="35" spans="1:46" ht="18" customHeight="1" x14ac:dyDescent="0.2">
      <c r="A35" s="32"/>
      <c r="B35" s="504">
        <f>'Capex Model Category Index'!B34</f>
        <v>23</v>
      </c>
      <c r="C35" s="198" t="str">
        <f>'Capex Model Category Index'!C34</f>
        <v>Information Technology</v>
      </c>
      <c r="D35" s="52"/>
      <c r="E35" s="52"/>
      <c r="F35" s="55">
        <f t="shared" si="37"/>
        <v>12.892729630749114</v>
      </c>
      <c r="G35" s="54">
        <f t="shared" si="37"/>
        <v>26.895143598215117</v>
      </c>
      <c r="H35" s="54">
        <f t="shared" si="37"/>
        <v>18.492220241276542</v>
      </c>
      <c r="I35" s="54">
        <f t="shared" si="37"/>
        <v>6.0390979676275824</v>
      </c>
      <c r="J35" s="95">
        <f t="shared" si="37"/>
        <v>7.4085867016410294</v>
      </c>
      <c r="K35" s="52">
        <f t="shared" si="39"/>
        <v>71.727778139509383</v>
      </c>
      <c r="L35" s="32"/>
      <c r="M35" s="504">
        <f t="shared" si="40"/>
        <v>23</v>
      </c>
      <c r="N35" s="198" t="str">
        <f t="shared" si="40"/>
        <v>Information Technology</v>
      </c>
      <c r="O35" s="52"/>
      <c r="P35" s="52"/>
      <c r="Q35" s="55">
        <f>'Capex Category Summary (Comb)'!AO64</f>
        <v>11.602640948473281</v>
      </c>
      <c r="R35" s="54">
        <f>'Capex Category Summary (Comb)'!AP64</f>
        <v>24.504109938301152</v>
      </c>
      <c r="S35" s="54">
        <f>'Capex Category Summary (Comb)'!AQ64</f>
        <v>16.779841458037851</v>
      </c>
      <c r="T35" s="54">
        <f>'Capex Category Summary (Comb)'!AR64</f>
        <v>5.3850584852882815</v>
      </c>
      <c r="U35" s="95">
        <f>'Capex Category Summary (Comb)'!AS64</f>
        <v>6.3450021596877226</v>
      </c>
      <c r="V35" s="52">
        <f t="shared" si="41"/>
        <v>64.616652989788292</v>
      </c>
      <c r="W35" s="531"/>
      <c r="X35" s="504">
        <f t="shared" si="42"/>
        <v>23</v>
      </c>
      <c r="Y35" s="198" t="str">
        <f t="shared" si="42"/>
        <v>Information Technology</v>
      </c>
      <c r="Z35" s="52"/>
      <c r="AA35" s="52"/>
      <c r="AB35" s="55">
        <f t="shared" si="43"/>
        <v>1.2900886822758324</v>
      </c>
      <c r="AC35" s="54">
        <f t="shared" si="38"/>
        <v>2.3910336599139641</v>
      </c>
      <c r="AD35" s="54">
        <f t="shared" si="38"/>
        <v>1.7123787832386919</v>
      </c>
      <c r="AE35" s="54">
        <f t="shared" si="38"/>
        <v>0.65403948233930131</v>
      </c>
      <c r="AF35" s="95">
        <f t="shared" si="38"/>
        <v>1.0635845419533072</v>
      </c>
      <c r="AG35" s="52">
        <f t="shared" si="44"/>
        <v>7.1111251497210972</v>
      </c>
      <c r="AH35" s="32"/>
    </row>
    <row r="36" spans="1:46" ht="18" customHeight="1" x14ac:dyDescent="0.2">
      <c r="A36" s="32"/>
      <c r="B36" s="504">
        <f>'Capex Model Category Index'!B35</f>
        <v>24</v>
      </c>
      <c r="C36" s="198" t="str">
        <f>'Capex Model Category Index'!C35</f>
        <v>Other Distribution System</v>
      </c>
      <c r="D36" s="52"/>
      <c r="E36" s="52"/>
      <c r="F36" s="55">
        <f t="shared" si="37"/>
        <v>0.66301219747270546</v>
      </c>
      <c r="G36" s="54">
        <f t="shared" si="37"/>
        <v>0.40147853403671957</v>
      </c>
      <c r="H36" s="54">
        <f t="shared" si="37"/>
        <v>0.38763394643376414</v>
      </c>
      <c r="I36" s="54">
        <f t="shared" si="37"/>
        <v>0.39082551033886359</v>
      </c>
      <c r="J36" s="95">
        <f t="shared" si="37"/>
        <v>0.41000310505212717</v>
      </c>
      <c r="K36" s="52">
        <f t="shared" si="39"/>
        <v>2.2529532933341798</v>
      </c>
      <c r="L36" s="32"/>
      <c r="M36" s="504">
        <f t="shared" si="40"/>
        <v>24</v>
      </c>
      <c r="N36" s="198" t="str">
        <f t="shared" si="40"/>
        <v>Other Distribution System</v>
      </c>
      <c r="O36" s="52"/>
      <c r="P36" s="52"/>
      <c r="Q36" s="55">
        <f>'Capex Category Summary (Comb)'!AO65</f>
        <v>0.59666902913926168</v>
      </c>
      <c r="R36" s="54">
        <f>'Capex Category Summary (Comb)'!AP65</f>
        <v>0.36578626546380083</v>
      </c>
      <c r="S36" s="54">
        <f>'Capex Category Summary (Comb)'!AQ65</f>
        <v>0.35173905999635063</v>
      </c>
      <c r="T36" s="54">
        <f>'Capex Category Summary (Comb)'!AR65</f>
        <v>0.34849877282984448</v>
      </c>
      <c r="U36" s="95">
        <f>'Capex Category Summary (Comb)'!AS65</f>
        <v>0.35114262568570381</v>
      </c>
      <c r="V36" s="52">
        <f t="shared" si="41"/>
        <v>2.0138357531149613</v>
      </c>
      <c r="W36" s="531"/>
      <c r="X36" s="504">
        <f t="shared" si="42"/>
        <v>24</v>
      </c>
      <c r="Y36" s="198" t="str">
        <f t="shared" si="42"/>
        <v>Other Distribution System</v>
      </c>
      <c r="Z36" s="52"/>
      <c r="AA36" s="52"/>
      <c r="AB36" s="55">
        <f t="shared" si="43"/>
        <v>6.6343168333443753E-2</v>
      </c>
      <c r="AC36" s="54">
        <f t="shared" si="38"/>
        <v>3.569226857291876E-2</v>
      </c>
      <c r="AD36" s="54">
        <f t="shared" si="38"/>
        <v>3.589488643741353E-2</v>
      </c>
      <c r="AE36" s="54">
        <f t="shared" si="38"/>
        <v>4.2326737509019136E-2</v>
      </c>
      <c r="AF36" s="95">
        <f t="shared" si="38"/>
        <v>5.8860479366423378E-2</v>
      </c>
      <c r="AG36" s="52">
        <f t="shared" si="44"/>
        <v>0.23911754021921858</v>
      </c>
      <c r="AH36" s="32"/>
    </row>
    <row r="37" spans="1:46" ht="18" customHeight="1" x14ac:dyDescent="0.2">
      <c r="A37" s="32"/>
      <c r="B37" s="504">
        <f>'Capex Model Category Index'!B36</f>
        <v>25</v>
      </c>
      <c r="C37" s="198" t="str">
        <f>'Capex Model Category Index'!C36</f>
        <v>Other Non-Distribution System</v>
      </c>
      <c r="D37" s="52"/>
      <c r="E37" s="52"/>
      <c r="F37" s="55">
        <f t="shared" si="37"/>
        <v>1.9044210006525939</v>
      </c>
      <c r="G37" s="54">
        <f t="shared" si="37"/>
        <v>1.8397323342991894</v>
      </c>
      <c r="H37" s="54">
        <f t="shared" si="37"/>
        <v>1.3906253279272747</v>
      </c>
      <c r="I37" s="54">
        <f t="shared" si="37"/>
        <v>2.5114419075926979</v>
      </c>
      <c r="J37" s="95">
        <f t="shared" si="37"/>
        <v>1.1693184726539412</v>
      </c>
      <c r="K37" s="52">
        <f t="shared" si="39"/>
        <v>8.8155390431256979</v>
      </c>
      <c r="L37" s="32"/>
      <c r="M37" s="504">
        <f t="shared" si="40"/>
        <v>25</v>
      </c>
      <c r="N37" s="198" t="str">
        <f t="shared" si="40"/>
        <v>Other Non-Distribution System</v>
      </c>
      <c r="O37" s="52"/>
      <c r="P37" s="52"/>
      <c r="Q37" s="55">
        <f>'Capex Category Summary (Comb)'!AO66</f>
        <v>1.7138584084323478</v>
      </c>
      <c r="R37" s="54">
        <f>'Capex Category Summary (Comb)'!AP66</f>
        <v>1.6761763406129024</v>
      </c>
      <c r="S37" s="54">
        <f>'Capex Category Summary (Comb)'!AQ66</f>
        <v>1.2618534835566482</v>
      </c>
      <c r="T37" s="54">
        <f>'Capex Category Summary (Comb)'!AR66</f>
        <v>2.239450597967954</v>
      </c>
      <c r="U37" s="95">
        <f>'Capex Category Summary (Comb)'!AS66</f>
        <v>1.0014498760888628</v>
      </c>
      <c r="V37" s="52">
        <f t="shared" si="41"/>
        <v>7.892788706658715</v>
      </c>
      <c r="W37" s="531"/>
      <c r="X37" s="504">
        <f t="shared" si="42"/>
        <v>25</v>
      </c>
      <c r="Y37" s="198" t="str">
        <f t="shared" si="42"/>
        <v>Other Non-Distribution System</v>
      </c>
      <c r="Z37" s="52"/>
      <c r="AA37" s="52"/>
      <c r="AB37" s="55">
        <f t="shared" si="43"/>
        <v>0.19056259222024607</v>
      </c>
      <c r="AC37" s="54">
        <f t="shared" si="38"/>
        <v>0.1635559936862869</v>
      </c>
      <c r="AD37" s="54">
        <f t="shared" si="38"/>
        <v>0.12877184437062658</v>
      </c>
      <c r="AE37" s="54">
        <f t="shared" si="38"/>
        <v>0.27199130962474394</v>
      </c>
      <c r="AF37" s="95">
        <f t="shared" si="38"/>
        <v>0.16786859656507841</v>
      </c>
      <c r="AG37" s="52">
        <f t="shared" si="44"/>
        <v>0.92275033646698201</v>
      </c>
      <c r="AH37" s="32"/>
    </row>
    <row r="38" spans="1:46" ht="18" customHeight="1" x14ac:dyDescent="0.2">
      <c r="A38" s="32"/>
      <c r="B38" s="504">
        <f>'Capex Model Category Index'!B37</f>
        <v>26</v>
      </c>
      <c r="C38" s="198" t="str">
        <f>'Capex Model Category Index'!C37</f>
        <v>Large Consumers</v>
      </c>
      <c r="D38" s="52"/>
      <c r="E38" s="52"/>
      <c r="F38" s="55">
        <f t="shared" si="37"/>
        <v>0</v>
      </c>
      <c r="G38" s="54">
        <f t="shared" si="37"/>
        <v>0</v>
      </c>
      <c r="H38" s="54">
        <f t="shared" si="37"/>
        <v>0</v>
      </c>
      <c r="I38" s="54">
        <f t="shared" si="37"/>
        <v>0</v>
      </c>
      <c r="J38" s="95">
        <f t="shared" si="37"/>
        <v>0</v>
      </c>
      <c r="K38" s="52">
        <f t="shared" si="39"/>
        <v>0</v>
      </c>
      <c r="L38" s="32"/>
      <c r="M38" s="504">
        <f t="shared" si="40"/>
        <v>26</v>
      </c>
      <c r="N38" s="198" t="str">
        <f t="shared" si="40"/>
        <v>Large Consumers</v>
      </c>
      <c r="O38" s="52"/>
      <c r="P38" s="52"/>
      <c r="Q38" s="55">
        <f>'Capex Category Summary (Comb)'!AO67</f>
        <v>0</v>
      </c>
      <c r="R38" s="54">
        <f>'Capex Category Summary (Comb)'!AP67</f>
        <v>0</v>
      </c>
      <c r="S38" s="54">
        <f>'Capex Category Summary (Comb)'!AQ67</f>
        <v>0</v>
      </c>
      <c r="T38" s="54">
        <f>'Capex Category Summary (Comb)'!AR67</f>
        <v>0</v>
      </c>
      <c r="U38" s="95">
        <f>'Capex Category Summary (Comb)'!AS67</f>
        <v>0</v>
      </c>
      <c r="V38" s="52">
        <f t="shared" si="41"/>
        <v>0</v>
      </c>
      <c r="W38" s="531"/>
      <c r="X38" s="504">
        <f t="shared" si="42"/>
        <v>26</v>
      </c>
      <c r="Y38" s="198" t="str">
        <f t="shared" si="42"/>
        <v>Large Consumers</v>
      </c>
      <c r="Z38" s="52"/>
      <c r="AA38" s="52"/>
      <c r="AB38" s="55">
        <f t="shared" si="43"/>
        <v>0</v>
      </c>
      <c r="AC38" s="54">
        <f t="shared" si="38"/>
        <v>0</v>
      </c>
      <c r="AD38" s="54">
        <f t="shared" si="38"/>
        <v>0</v>
      </c>
      <c r="AE38" s="54">
        <f t="shared" si="38"/>
        <v>0</v>
      </c>
      <c r="AF38" s="95">
        <f t="shared" si="38"/>
        <v>0</v>
      </c>
      <c r="AG38" s="52">
        <f t="shared" si="44"/>
        <v>0</v>
      </c>
      <c r="AH38" s="32"/>
    </row>
    <row r="39" spans="1:46" ht="18" customHeight="1" x14ac:dyDescent="0.2">
      <c r="A39" s="32"/>
      <c r="B39" s="504">
        <f>'Capex Model Category Index'!B38</f>
        <v>27</v>
      </c>
      <c r="C39" s="198" t="str">
        <f>'Capex Model Category Index'!C38</f>
        <v>Mains Augmentation</v>
      </c>
      <c r="D39" s="52"/>
      <c r="E39" s="52"/>
      <c r="F39" s="55">
        <f t="shared" si="37"/>
        <v>10.368352150666727</v>
      </c>
      <c r="G39" s="54">
        <f t="shared" si="37"/>
        <v>13.298410019912676</v>
      </c>
      <c r="H39" s="54">
        <f t="shared" si="37"/>
        <v>8.293350390604175</v>
      </c>
      <c r="I39" s="54">
        <f t="shared" si="37"/>
        <v>3.9823285304384206</v>
      </c>
      <c r="J39" s="95">
        <f t="shared" si="37"/>
        <v>2.5945026153283539</v>
      </c>
      <c r="K39" s="52">
        <f t="shared" si="39"/>
        <v>38.536943706950353</v>
      </c>
      <c r="L39" s="32"/>
      <c r="M39" s="504">
        <f t="shared" si="40"/>
        <v>27</v>
      </c>
      <c r="N39" s="198" t="str">
        <f t="shared" si="40"/>
        <v>Mains Augmentation</v>
      </c>
      <c r="O39" s="52"/>
      <c r="P39" s="52"/>
      <c r="Q39" s="55">
        <f>'Capex Category Summary (Comb)'!AO68</f>
        <v>9.3308609330177124</v>
      </c>
      <c r="R39" s="54">
        <f>'Capex Category Summary (Comb)'!AP68</f>
        <v>12.116153979344128</v>
      </c>
      <c r="S39" s="54">
        <f>'Capex Category Summary (Comb)'!AQ68</f>
        <v>7.5253865081961555</v>
      </c>
      <c r="T39" s="54">
        <f>'Capex Category Summary (Comb)'!AR68</f>
        <v>3.5510389397553648</v>
      </c>
      <c r="U39" s="95">
        <f>'Capex Category Summary (Comb)'!AS68</f>
        <v>2.2220330760153524</v>
      </c>
      <c r="V39" s="52">
        <f t="shared" si="41"/>
        <v>34.745473436328709</v>
      </c>
      <c r="W39" s="531"/>
      <c r="X39" s="504">
        <f t="shared" si="42"/>
        <v>27</v>
      </c>
      <c r="Y39" s="198" t="str">
        <f t="shared" si="42"/>
        <v>Mains Augmentation</v>
      </c>
      <c r="Z39" s="52"/>
      <c r="AA39" s="52"/>
      <c r="AB39" s="55">
        <f t="shared" si="43"/>
        <v>1.0374912176490148</v>
      </c>
      <c r="AC39" s="54">
        <f t="shared" si="38"/>
        <v>1.1822560405685481</v>
      </c>
      <c r="AD39" s="54">
        <f t="shared" si="38"/>
        <v>0.76796388240802005</v>
      </c>
      <c r="AE39" s="54">
        <f t="shared" si="38"/>
        <v>0.43128959068305595</v>
      </c>
      <c r="AF39" s="95">
        <f t="shared" si="38"/>
        <v>0.37246953931300175</v>
      </c>
      <c r="AG39" s="52">
        <f t="shared" si="44"/>
        <v>3.7914702706216401</v>
      </c>
      <c r="AH39" s="32"/>
    </row>
    <row r="40" spans="1:46" ht="18" customHeight="1" x14ac:dyDescent="0.2">
      <c r="A40" s="32"/>
      <c r="B40" s="504">
        <f>'Capex Model Category Index'!B39</f>
        <v>28</v>
      </c>
      <c r="C40" s="198" t="str">
        <f>'Capex Model Category Index'!C39</f>
        <v>Growth New Areas</v>
      </c>
      <c r="D40" s="52"/>
      <c r="E40" s="52"/>
      <c r="F40" s="55">
        <f t="shared" si="37"/>
        <v>0</v>
      </c>
      <c r="G40" s="54">
        <f t="shared" si="37"/>
        <v>0</v>
      </c>
      <c r="H40" s="54">
        <f t="shared" si="37"/>
        <v>0</v>
      </c>
      <c r="I40" s="54">
        <f t="shared" si="37"/>
        <v>0</v>
      </c>
      <c r="J40" s="95">
        <f t="shared" si="37"/>
        <v>0</v>
      </c>
      <c r="K40" s="52">
        <f t="shared" si="39"/>
        <v>0</v>
      </c>
      <c r="L40" s="32"/>
      <c r="M40" s="504">
        <f t="shared" si="40"/>
        <v>28</v>
      </c>
      <c r="N40" s="198" t="str">
        <f t="shared" si="40"/>
        <v>Growth New Areas</v>
      </c>
      <c r="O40" s="52"/>
      <c r="P40" s="52"/>
      <c r="Q40" s="55">
        <f>'Capex Category Summary (Comb)'!AO69</f>
        <v>0</v>
      </c>
      <c r="R40" s="54">
        <f>'Capex Category Summary (Comb)'!AP69</f>
        <v>0</v>
      </c>
      <c r="S40" s="54">
        <f>'Capex Category Summary (Comb)'!AQ69</f>
        <v>0</v>
      </c>
      <c r="T40" s="54">
        <f>'Capex Category Summary (Comb)'!AR69</f>
        <v>0</v>
      </c>
      <c r="U40" s="95">
        <f>'Capex Category Summary (Comb)'!AS69</f>
        <v>0</v>
      </c>
      <c r="V40" s="52">
        <f t="shared" si="41"/>
        <v>0</v>
      </c>
      <c r="W40" s="531"/>
      <c r="X40" s="504">
        <f t="shared" si="42"/>
        <v>28</v>
      </c>
      <c r="Y40" s="198" t="str">
        <f t="shared" si="42"/>
        <v>Growth New Areas</v>
      </c>
      <c r="Z40" s="52"/>
      <c r="AA40" s="52"/>
      <c r="AB40" s="133">
        <f t="shared" si="43"/>
        <v>0</v>
      </c>
      <c r="AC40" s="132">
        <f t="shared" si="38"/>
        <v>0</v>
      </c>
      <c r="AD40" s="132">
        <f t="shared" si="38"/>
        <v>0</v>
      </c>
      <c r="AE40" s="132">
        <f t="shared" si="38"/>
        <v>0</v>
      </c>
      <c r="AF40" s="134">
        <f t="shared" si="38"/>
        <v>0</v>
      </c>
      <c r="AG40" s="52">
        <f t="shared" si="44"/>
        <v>0</v>
      </c>
      <c r="AH40" s="32"/>
    </row>
    <row r="41" spans="1:46" s="323" customFormat="1" ht="18" customHeight="1" thickBot="1" x14ac:dyDescent="0.25">
      <c r="A41" s="290"/>
      <c r="B41" s="98"/>
      <c r="C41" s="98" t="s">
        <v>46</v>
      </c>
      <c r="D41" s="99"/>
      <c r="E41" s="99"/>
      <c r="F41" s="100">
        <f>SUM(F33:F40)</f>
        <v>28.847631224146969</v>
      </c>
      <c r="G41" s="99">
        <f t="shared" ref="G41:J41" si="45">SUM(G33:G40)</f>
        <v>47.656893429496577</v>
      </c>
      <c r="H41" s="99">
        <f t="shared" si="45"/>
        <v>39.97313178842294</v>
      </c>
      <c r="I41" s="99">
        <f t="shared" si="45"/>
        <v>19.685445552333238</v>
      </c>
      <c r="J41" s="101">
        <f t="shared" si="45"/>
        <v>15.029307122455288</v>
      </c>
      <c r="K41" s="99">
        <f>SUM(F41:J41)</f>
        <v>151.19240911685503</v>
      </c>
      <c r="L41" s="290"/>
      <c r="M41" s="98"/>
      <c r="N41" s="98" t="s">
        <v>46</v>
      </c>
      <c r="O41" s="99"/>
      <c r="P41" s="99"/>
      <c r="Q41" s="100">
        <f>SUM(Q33:Q40)</f>
        <v>25.961042920613565</v>
      </c>
      <c r="R41" s="99">
        <f t="shared" ref="R41:U41" si="46">SUM(R33:R40)</f>
        <v>43.420097448068113</v>
      </c>
      <c r="S41" s="99">
        <f t="shared" si="46"/>
        <v>36.271621538111624</v>
      </c>
      <c r="T41" s="99">
        <f t="shared" si="46"/>
        <v>17.55349493856891</v>
      </c>
      <c r="U41" s="101">
        <f t="shared" si="46"/>
        <v>12.871683897478862</v>
      </c>
      <c r="V41" s="99">
        <f>SUM(Q41:U41)</f>
        <v>136.07794074284109</v>
      </c>
      <c r="W41" s="531"/>
      <c r="X41" s="98"/>
      <c r="Y41" s="98" t="s">
        <v>46</v>
      </c>
      <c r="Z41" s="99"/>
      <c r="AA41" s="99"/>
      <c r="AB41" s="144">
        <f>SUM(AB33:AB40)</f>
        <v>2.8865883035334026</v>
      </c>
      <c r="AC41" s="145">
        <f t="shared" ref="AC41:AF41" si="47">SUM(AC33:AC40)</f>
        <v>4.2367959814284504</v>
      </c>
      <c r="AD41" s="145">
        <f t="shared" si="47"/>
        <v>3.7015102503113178</v>
      </c>
      <c r="AE41" s="145">
        <f t="shared" si="47"/>
        <v>2.1319506137643285</v>
      </c>
      <c r="AF41" s="300">
        <f t="shared" si="47"/>
        <v>2.1576232249764269</v>
      </c>
      <c r="AG41" s="99">
        <f>SUM(AB41:AF41)</f>
        <v>15.114468374013924</v>
      </c>
      <c r="AH41" s="32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</row>
    <row r="42" spans="1:46" ht="15" x14ac:dyDescent="0.25">
      <c r="A42" s="32"/>
      <c r="B42" s="105"/>
      <c r="C42" s="105"/>
      <c r="D42" s="57"/>
      <c r="E42" s="57"/>
      <c r="F42" s="57"/>
      <c r="G42" s="57"/>
      <c r="H42" s="57"/>
      <c r="I42" s="57"/>
      <c r="J42" s="57"/>
      <c r="K42" s="57"/>
      <c r="L42" s="32"/>
      <c r="M42" s="105"/>
      <c r="N42" s="105"/>
      <c r="O42" s="57"/>
      <c r="P42" s="57"/>
      <c r="Q42" s="57" t="s">
        <v>375</v>
      </c>
      <c r="R42" s="57"/>
      <c r="S42" s="57"/>
      <c r="T42" s="57"/>
      <c r="U42" s="57"/>
      <c r="V42" s="57"/>
      <c r="W42" s="531"/>
      <c r="X42" s="105"/>
      <c r="Y42" s="105"/>
      <c r="Z42" s="57"/>
      <c r="AA42" s="57"/>
      <c r="AB42" s="57"/>
      <c r="AC42" s="57"/>
      <c r="AD42" s="57"/>
      <c r="AE42" s="57"/>
      <c r="AF42" s="57"/>
      <c r="AG42" s="57"/>
      <c r="AH42" s="32"/>
    </row>
    <row r="43" spans="1:46" ht="15" thickBot="1" x14ac:dyDescent="0.25">
      <c r="A43" s="32"/>
      <c r="B43" s="98"/>
      <c r="C43" s="149" t="s">
        <v>228</v>
      </c>
      <c r="D43" s="99"/>
      <c r="E43" s="99"/>
      <c r="F43" s="100">
        <f>F30+F41</f>
        <v>115.46387256877553</v>
      </c>
      <c r="G43" s="99">
        <f t="shared" ref="G43:J43" si="48">G30+G41</f>
        <v>134.04755422049269</v>
      </c>
      <c r="H43" s="99">
        <f t="shared" si="48"/>
        <v>127.26283190985708</v>
      </c>
      <c r="I43" s="99">
        <f t="shared" si="48"/>
        <v>104.7422535867521</v>
      </c>
      <c r="J43" s="101">
        <f t="shared" si="48"/>
        <v>74.947300297982537</v>
      </c>
      <c r="K43" s="99">
        <f>SUM(F43:J43)</f>
        <v>556.46381258385998</v>
      </c>
      <c r="L43" s="32"/>
      <c r="M43" s="98"/>
      <c r="N43" s="149" t="s">
        <v>227</v>
      </c>
      <c r="O43" s="99"/>
      <c r="P43" s="99"/>
      <c r="Q43" s="100">
        <f>Q30+Q41</f>
        <v>103.91017994673757</v>
      </c>
      <c r="R43" s="99">
        <f t="shared" ref="R43:U43" si="49">R30+R41</f>
        <v>122.13045056198644</v>
      </c>
      <c r="S43" s="99">
        <f t="shared" si="49"/>
        <v>115.47829925699119</v>
      </c>
      <c r="T43" s="99">
        <f t="shared" si="49"/>
        <v>93.398577812298129</v>
      </c>
      <c r="U43" s="101">
        <f t="shared" si="49"/>
        <v>64.187786605524821</v>
      </c>
      <c r="V43" s="99">
        <f>SUM(Q43:U43)</f>
        <v>499.10529418353815</v>
      </c>
      <c r="W43" s="531"/>
      <c r="X43" s="98"/>
      <c r="Y43" s="149" t="s">
        <v>194</v>
      </c>
      <c r="Z43" s="99"/>
      <c r="AA43" s="99"/>
      <c r="AB43" s="100">
        <f>AB30+AB41</f>
        <v>11.553692622037961</v>
      </c>
      <c r="AC43" s="99">
        <f t="shared" ref="AC43:AF43" si="50">AC30+AC41</f>
        <v>11.917103658506248</v>
      </c>
      <c r="AD43" s="99">
        <f t="shared" si="50"/>
        <v>11.784532652865904</v>
      </c>
      <c r="AE43" s="99">
        <f t="shared" si="50"/>
        <v>11.343675774453963</v>
      </c>
      <c r="AF43" s="101">
        <f t="shared" si="50"/>
        <v>10.759513692457706</v>
      </c>
      <c r="AG43" s="99">
        <f>SUM(AB43:AF43)</f>
        <v>57.358518400321785</v>
      </c>
      <c r="AH43" s="32"/>
    </row>
    <row r="44" spans="1:46" ht="15" x14ac:dyDescent="0.25">
      <c r="A44" s="32"/>
      <c r="B44" s="305"/>
      <c r="C44" s="305" t="s">
        <v>11</v>
      </c>
      <c r="D44" s="50"/>
      <c r="E44" s="50"/>
      <c r="F44" s="50">
        <f>F43-Q47</f>
        <v>0</v>
      </c>
      <c r="G44" s="50">
        <f>G43-R47</f>
        <v>0</v>
      </c>
      <c r="H44" s="50">
        <f>H43-S47</f>
        <v>0</v>
      </c>
      <c r="I44" s="50">
        <f>I43-T47</f>
        <v>0</v>
      </c>
      <c r="J44" s="50">
        <f>J43-U47</f>
        <v>0</v>
      </c>
      <c r="K44" s="57"/>
      <c r="L44" s="32"/>
      <c r="M44" s="105"/>
      <c r="N44" s="305" t="s">
        <v>11</v>
      </c>
      <c r="O44" s="505"/>
      <c r="P44" s="505"/>
      <c r="Q44" s="50">
        <f>Q43-'Capex Category Summary (Comb)'!AO76</f>
        <v>0</v>
      </c>
      <c r="R44" s="50">
        <f>R43-'Capex Category Summary (Comb)'!AP76</f>
        <v>0</v>
      </c>
      <c r="S44" s="50">
        <f>S43-'Capex Category Summary (Comb)'!AQ76</f>
        <v>0</v>
      </c>
      <c r="T44" s="50">
        <f>T43-'Capex Category Summary (Comb)'!AR76</f>
        <v>0</v>
      </c>
      <c r="U44" s="50">
        <f>U43-'Capex Category Summary (Comb)'!AS76</f>
        <v>0</v>
      </c>
      <c r="V44" s="50">
        <f>V43-'Capex Category Summary (Comb)'!AT76</f>
        <v>0</v>
      </c>
      <c r="W44" s="531"/>
      <c r="X44" s="105"/>
      <c r="Y44" s="450" t="s">
        <v>11</v>
      </c>
      <c r="Z44" s="451"/>
      <c r="AA44" s="451"/>
      <c r="AB44" s="451">
        <f>AB43-Q45</f>
        <v>0</v>
      </c>
      <c r="AC44" s="451">
        <f t="shared" ref="AC44:AG44" si="51">AC43-R45</f>
        <v>0</v>
      </c>
      <c r="AD44" s="451">
        <f t="shared" si="51"/>
        <v>0</v>
      </c>
      <c r="AE44" s="451">
        <f t="shared" si="51"/>
        <v>0</v>
      </c>
      <c r="AF44" s="451">
        <f t="shared" si="51"/>
        <v>0</v>
      </c>
      <c r="AG44" s="451">
        <f t="shared" si="51"/>
        <v>0</v>
      </c>
      <c r="AH44" s="32"/>
    </row>
    <row r="45" spans="1:46" ht="19.5" customHeight="1" thickBo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98"/>
      <c r="N45" s="149" t="s">
        <v>61</v>
      </c>
      <c r="O45" s="99"/>
      <c r="P45" s="99"/>
      <c r="Q45" s="100">
        <f>Overheads!C51+Overheads!O51</f>
        <v>11.553692622037962</v>
      </c>
      <c r="R45" s="99">
        <f>Overheads!D51+Overheads!P51</f>
        <v>11.917103658506244</v>
      </c>
      <c r="S45" s="99">
        <f>Overheads!E51+Overheads!Q51</f>
        <v>11.784532652865906</v>
      </c>
      <c r="T45" s="99">
        <f>Overheads!F51+Overheads!R51</f>
        <v>11.343675774453962</v>
      </c>
      <c r="U45" s="101">
        <f>Overheads!G51+Overheads!S51</f>
        <v>10.759513692457704</v>
      </c>
      <c r="V45" s="99">
        <f>SUM(Q45:U45)</f>
        <v>57.358518400321778</v>
      </c>
      <c r="W45" s="531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32"/>
    </row>
    <row r="46" spans="1:46" ht="1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105"/>
      <c r="N46" s="105"/>
      <c r="O46" s="57"/>
      <c r="P46" s="57"/>
      <c r="Q46" s="57"/>
      <c r="R46" s="57"/>
      <c r="S46" s="57"/>
      <c r="T46" s="57"/>
      <c r="U46" s="57"/>
      <c r="V46" s="57"/>
      <c r="W46" s="531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32"/>
    </row>
    <row r="47" spans="1:46" s="323" customFormat="1" ht="18.75" customHeight="1" thickBot="1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98"/>
      <c r="N47" s="149" t="s">
        <v>228</v>
      </c>
      <c r="O47" s="99"/>
      <c r="P47" s="99"/>
      <c r="Q47" s="100">
        <f>Q30+Q41+Q45</f>
        <v>115.46387256877553</v>
      </c>
      <c r="R47" s="99">
        <f t="shared" ref="R47:U47" si="52">R30+R41+R45</f>
        <v>134.04755422049269</v>
      </c>
      <c r="S47" s="99">
        <f t="shared" si="52"/>
        <v>127.2628319098571</v>
      </c>
      <c r="T47" s="99">
        <f t="shared" si="52"/>
        <v>104.74225358675208</v>
      </c>
      <c r="U47" s="101">
        <f t="shared" si="52"/>
        <v>74.947300297982522</v>
      </c>
      <c r="V47" s="99">
        <f>SUM(Q47:U47)</f>
        <v>556.46381258385998</v>
      </c>
      <c r="W47" s="531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32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</row>
    <row r="48" spans="1:46" ht="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105"/>
      <c r="N48" s="305" t="s">
        <v>11</v>
      </c>
      <c r="O48" s="505"/>
      <c r="P48" s="505"/>
      <c r="Q48" s="50">
        <f>Q47-'Consolidated Summary (Comb) $17'!G52</f>
        <v>0</v>
      </c>
      <c r="R48" s="50">
        <f>R47-'Consolidated Summary (Comb) $17'!H52</f>
        <v>0</v>
      </c>
      <c r="S48" s="50">
        <f>S47-'Consolidated Summary (Comb) $17'!I52</f>
        <v>0</v>
      </c>
      <c r="T48" s="50">
        <f>T47-'Consolidated Summary (Comb) $17'!J52</f>
        <v>0</v>
      </c>
      <c r="U48" s="50">
        <f>U47-'Consolidated Summary (Comb) $17'!K52</f>
        <v>0</v>
      </c>
      <c r="V48" s="50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32"/>
    </row>
    <row r="49" spans="13:23" ht="15" x14ac:dyDescent="0.25">
      <c r="M49" s="107"/>
      <c r="N49" s="107"/>
      <c r="O49" s="108"/>
      <c r="P49" s="108"/>
      <c r="Q49" s="108"/>
      <c r="R49" s="108"/>
      <c r="S49" s="108"/>
      <c r="T49" s="108"/>
      <c r="U49" s="108"/>
      <c r="V49" s="108"/>
      <c r="W49" s="109"/>
    </row>
    <row r="50" spans="13:23" x14ac:dyDescent="0.2">
      <c r="M50" s="110"/>
      <c r="N50" s="110"/>
      <c r="O50" s="111"/>
      <c r="P50" s="111"/>
      <c r="Q50" s="112"/>
      <c r="R50" s="112"/>
      <c r="S50" s="112"/>
      <c r="T50" s="112"/>
      <c r="U50" s="112"/>
      <c r="V50" s="112"/>
      <c r="W50" s="113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zoomScaleNormal="100" workbookViewId="0">
      <selection activeCell="I11" sqref="I11"/>
    </sheetView>
  </sheetViews>
  <sheetFormatPr defaultRowHeight="14.25" x14ac:dyDescent="0.2"/>
  <cols>
    <col min="1" max="1" width="2.85546875" style="44" customWidth="1"/>
    <col min="2" max="2" width="3.85546875" style="44" customWidth="1"/>
    <col min="3" max="3" width="32.5703125" style="44" customWidth="1"/>
    <col min="4" max="4" width="27" style="44" customWidth="1"/>
    <col min="5" max="6" width="0" style="44" hidden="1" customWidth="1"/>
    <col min="7" max="11" width="11.5703125" style="44" bestFit="1" customWidth="1"/>
    <col min="12" max="12" width="12.7109375" style="44" customWidth="1"/>
    <col min="13" max="13" width="4.28515625" style="44" customWidth="1"/>
    <col min="14" max="16384" width="9.140625" style="44"/>
  </cols>
  <sheetData>
    <row r="1" spans="1:13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8.5" customHeight="1" x14ac:dyDescent="0.25">
      <c r="A2" s="63"/>
      <c r="B2" s="340" t="s">
        <v>109</v>
      </c>
      <c r="C2" s="353"/>
      <c r="D2" s="353"/>
      <c r="E2" s="353"/>
      <c r="F2" s="341"/>
      <c r="G2" s="341"/>
      <c r="H2" s="341"/>
      <c r="I2" s="341"/>
      <c r="J2" s="341"/>
      <c r="K2" s="341"/>
      <c r="L2" s="350"/>
      <c r="M2" s="63"/>
    </row>
    <row r="3" spans="1:13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2.5" x14ac:dyDescent="0.2">
      <c r="A4" s="32"/>
      <c r="B4" s="32"/>
      <c r="C4" s="66"/>
      <c r="D4" s="3" t="s">
        <v>314</v>
      </c>
      <c r="E4" s="30"/>
      <c r="F4" s="4"/>
      <c r="G4" s="5">
        <v>2018</v>
      </c>
      <c r="H4" s="4">
        <v>2019</v>
      </c>
      <c r="I4" s="4">
        <v>2020</v>
      </c>
      <c r="J4" s="4">
        <v>2021</v>
      </c>
      <c r="K4" s="6">
        <v>2022</v>
      </c>
      <c r="L4" s="3" t="s">
        <v>73</v>
      </c>
      <c r="M4" s="32"/>
    </row>
    <row r="5" spans="1:13" x14ac:dyDescent="0.2">
      <c r="A5" s="32"/>
      <c r="B5" s="32"/>
      <c r="C5" s="66"/>
      <c r="D5" s="66"/>
      <c r="E5" s="66"/>
      <c r="F5" s="66"/>
      <c r="G5" s="66"/>
      <c r="H5" s="66"/>
      <c r="I5" s="66"/>
      <c r="J5" s="66"/>
      <c r="K5" s="66"/>
      <c r="L5" s="66"/>
      <c r="M5" s="32"/>
    </row>
    <row r="6" spans="1:13" ht="24" customHeight="1" x14ac:dyDescent="0.2">
      <c r="A6" s="32"/>
      <c r="B6" s="354" t="s">
        <v>101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2"/>
    </row>
    <row r="7" spans="1:13" ht="18" customHeight="1" x14ac:dyDescent="0.2">
      <c r="A7" s="32"/>
      <c r="B7" s="32"/>
      <c r="C7" s="12"/>
      <c r="D7" s="12"/>
      <c r="E7" s="55"/>
      <c r="F7" s="54"/>
      <c r="G7" s="55"/>
      <c r="H7" s="54"/>
      <c r="I7" s="54"/>
      <c r="J7" s="54"/>
      <c r="K7" s="95"/>
      <c r="L7" s="54"/>
      <c r="M7" s="32"/>
    </row>
    <row r="8" spans="1:13" ht="18" customHeight="1" x14ac:dyDescent="0.2">
      <c r="A8" s="32"/>
      <c r="B8" s="12" t="s">
        <v>48</v>
      </c>
      <c r="C8" s="45"/>
      <c r="D8" s="452" t="s">
        <v>102</v>
      </c>
      <c r="E8" s="466"/>
      <c r="F8" s="360"/>
      <c r="G8" s="55">
        <f>'Capex Category Summary (Vic)'!AD25+'Capex Category Summary (Vic)'!AD31</f>
        <v>33.775804754019866</v>
      </c>
      <c r="H8" s="54">
        <f>'Capex Category Summary (Vic)'!AE25+'Capex Category Summary (Vic)'!AE31</f>
        <v>35.742266254323866</v>
      </c>
      <c r="I8" s="54">
        <f>'Capex Category Summary (Vic)'!AF25+'Capex Category Summary (Vic)'!AF31</f>
        <v>35.742266254323866</v>
      </c>
      <c r="J8" s="54">
        <f>'Capex Category Summary (Vic)'!AG25+'Capex Category Summary (Vic)'!AG31</f>
        <v>33.409228514019865</v>
      </c>
      <c r="K8" s="95">
        <f>'Capex Category Summary (Vic)'!AH25+'Capex Category Summary (Vic)'!AH31</f>
        <v>8.5559843103040496</v>
      </c>
      <c r="L8" s="52">
        <f>SUM(G8:K8)</f>
        <v>147.22555008699149</v>
      </c>
      <c r="M8" s="32"/>
    </row>
    <row r="9" spans="1:13" ht="18" customHeight="1" x14ac:dyDescent="0.2">
      <c r="A9" s="32"/>
      <c r="B9" s="147" t="s">
        <v>49</v>
      </c>
      <c r="C9" s="45"/>
      <c r="D9" s="453" t="s">
        <v>70</v>
      </c>
      <c r="E9" s="466"/>
      <c r="F9" s="360"/>
      <c r="G9" s="55">
        <f>'Capex Category Summary (Vic)'!AD12</f>
        <v>7.1554318560902068</v>
      </c>
      <c r="H9" s="54">
        <f>'Capex Category Summary (Vic)'!AE12</f>
        <v>7.1554318560902068</v>
      </c>
      <c r="I9" s="54">
        <f>'Capex Category Summary (Vic)'!AF12</f>
        <v>7.1554318560902068</v>
      </c>
      <c r="J9" s="54">
        <f>'Capex Category Summary (Vic)'!AG12</f>
        <v>4.8264415582820153</v>
      </c>
      <c r="K9" s="95">
        <f>'Capex Category Summary (Vic)'!AH12</f>
        <v>4.8264415582820153</v>
      </c>
      <c r="L9" s="52">
        <f>SUM(G9:K9)</f>
        <v>31.119178684834651</v>
      </c>
      <c r="M9" s="32"/>
    </row>
    <row r="10" spans="1:13" ht="18" customHeight="1" x14ac:dyDescent="0.2">
      <c r="A10" s="32"/>
      <c r="B10" s="147" t="s">
        <v>50</v>
      </c>
      <c r="C10" s="45"/>
      <c r="D10" s="452" t="s">
        <v>102</v>
      </c>
      <c r="E10" s="466"/>
      <c r="F10" s="360"/>
      <c r="G10" s="55">
        <f>'Capex Category Summary (Vic)'!AD68</f>
        <v>9.2684663520000008</v>
      </c>
      <c r="H10" s="54">
        <f>'Capex Category Summary (Vic)'!AE68</f>
        <v>11.966736600000003</v>
      </c>
      <c r="I10" s="54">
        <f>'Capex Category Summary (Vic)'!AF68</f>
        <v>7.3804560000000006</v>
      </c>
      <c r="J10" s="54">
        <f>'Capex Category Summary (Vic)'!AG68</f>
        <v>3.4527078000000002</v>
      </c>
      <c r="K10" s="95">
        <f>'Capex Category Summary (Vic)'!AH68</f>
        <v>2.1397206000000004</v>
      </c>
      <c r="L10" s="52">
        <f t="shared" ref="L10:L13" si="0">SUM(G10:K10)</f>
        <v>34.208087352000007</v>
      </c>
      <c r="M10" s="32"/>
    </row>
    <row r="11" spans="1:13" ht="18" customHeight="1" x14ac:dyDescent="0.2">
      <c r="A11" s="32"/>
      <c r="B11" s="147" t="s">
        <v>1</v>
      </c>
      <c r="C11" s="45"/>
      <c r="D11" s="452" t="s">
        <v>1</v>
      </c>
      <c r="E11" s="466"/>
      <c r="F11" s="360"/>
      <c r="G11" s="55">
        <f>'Capex Category Summary (Vic)'!AD62</f>
        <v>0.27193106640000003</v>
      </c>
      <c r="H11" s="54">
        <f>'Capex Category Summary (Vic)'!AE62</f>
        <v>0.26010602640000002</v>
      </c>
      <c r="I11" s="54">
        <f>'Capex Category Summary (Vic)'!AF62</f>
        <v>0.25346157720000001</v>
      </c>
      <c r="J11" s="54">
        <f>'Capex Category Summary (Vic)'!AG62</f>
        <v>0.16524474</v>
      </c>
      <c r="K11" s="95">
        <f>'Capex Category Summary (Vic)'!AH62</f>
        <v>0.14169660000000003</v>
      </c>
      <c r="L11" s="52">
        <f t="shared" si="0"/>
        <v>1.09244001</v>
      </c>
      <c r="M11" s="32"/>
    </row>
    <row r="12" spans="1:13" ht="18" customHeight="1" x14ac:dyDescent="0.2">
      <c r="A12" s="32"/>
      <c r="B12" s="147" t="s">
        <v>52</v>
      </c>
      <c r="C12" s="45"/>
      <c r="D12" s="452" t="s">
        <v>2</v>
      </c>
      <c r="E12" s="466"/>
      <c r="F12" s="360"/>
      <c r="G12" s="55">
        <f>'Capex Category Summary (Vic)'!AD64</f>
        <v>11.136838238946279</v>
      </c>
      <c r="H12" s="54">
        <f>'Capex Category Summary (Vic)'!AE64</f>
        <v>23.386691028286787</v>
      </c>
      <c r="I12" s="54">
        <f>'Capex Category Summary (Vic)'!AF64</f>
        <v>15.902343710792943</v>
      </c>
      <c r="J12" s="54">
        <f>'Capex Category Summary (Vic)'!AG64</f>
        <v>5.0595712189581263</v>
      </c>
      <c r="K12" s="95">
        <f>'Capex Category Summary (Vic)'!AH64</f>
        <v>5.9041477981432378</v>
      </c>
      <c r="L12" s="52">
        <f t="shared" si="0"/>
        <v>61.389591995127368</v>
      </c>
      <c r="M12" s="32"/>
    </row>
    <row r="13" spans="1:13" ht="18" customHeight="1" x14ac:dyDescent="0.2">
      <c r="A13" s="32"/>
      <c r="B13" s="151" t="s">
        <v>53</v>
      </c>
      <c r="C13" s="45"/>
      <c r="D13" s="452"/>
      <c r="E13" s="466"/>
      <c r="F13" s="360"/>
      <c r="G13" s="55">
        <f>SUM(G14:G18)</f>
        <v>34.841069455597292</v>
      </c>
      <c r="H13" s="54">
        <f t="shared" ref="H13:K13" si="1">SUM(H14:H18)</f>
        <v>33.246007031395408</v>
      </c>
      <c r="I13" s="54">
        <f t="shared" si="1"/>
        <v>33.22840952196352</v>
      </c>
      <c r="J13" s="54">
        <f t="shared" si="1"/>
        <v>33.859653731541115</v>
      </c>
      <c r="K13" s="95">
        <f t="shared" si="1"/>
        <v>34.363372288793038</v>
      </c>
      <c r="L13" s="52">
        <f t="shared" si="0"/>
        <v>169.53851202929039</v>
      </c>
      <c r="M13" s="37"/>
    </row>
    <row r="14" spans="1:13" ht="18" customHeight="1" x14ac:dyDescent="0.2">
      <c r="A14" s="32"/>
      <c r="B14" s="45"/>
      <c r="C14" s="152" t="s">
        <v>54</v>
      </c>
      <c r="D14" s="454" t="s">
        <v>102</v>
      </c>
      <c r="E14" s="517"/>
      <c r="F14" s="462"/>
      <c r="G14" s="127">
        <f>'Capex Category Summary (Vic)'!AD39</f>
        <v>9.5822451683942695</v>
      </c>
      <c r="H14" s="128">
        <f>'Capex Category Summary (Vic)'!AE39</f>
        <v>9.1670247840786292</v>
      </c>
      <c r="I14" s="128">
        <f>'Capex Category Summary (Vic)'!AF39</f>
        <v>9.1651162662580177</v>
      </c>
      <c r="J14" s="128">
        <f>'Capex Category Summary (Vic)'!AG39</f>
        <v>9.3332219403274621</v>
      </c>
      <c r="K14" s="129">
        <f>'Capex Category Summary (Vic)'!AH39</f>
        <v>9.467934928083686</v>
      </c>
      <c r="L14" s="126"/>
      <c r="M14" s="32"/>
    </row>
    <row r="15" spans="1:13" ht="18" customHeight="1" x14ac:dyDescent="0.2">
      <c r="A15" s="32"/>
      <c r="B15" s="45"/>
      <c r="C15" s="153" t="s">
        <v>55</v>
      </c>
      <c r="D15" s="455" t="s">
        <v>102</v>
      </c>
      <c r="E15" s="466"/>
      <c r="F15" s="465"/>
      <c r="G15" s="130">
        <f>'Capex Category Summary (Vic)'!AD55</f>
        <v>19.02874179026157</v>
      </c>
      <c r="H15" s="50">
        <f>'Capex Category Summary (Vic)'!AE55</f>
        <v>18.049776338802953</v>
      </c>
      <c r="I15" s="50">
        <f>'Capex Category Summary (Vic)'!AF55</f>
        <v>18.026697890619172</v>
      </c>
      <c r="J15" s="50">
        <f>'Capex Category Summary (Vic)'!AG55</f>
        <v>18.396743391449984</v>
      </c>
      <c r="K15" s="131">
        <f>'Capex Category Summary (Vic)'!AH55</f>
        <v>18.689419516704632</v>
      </c>
      <c r="L15" s="54"/>
      <c r="M15" s="32"/>
    </row>
    <row r="16" spans="1:13" ht="18" customHeight="1" x14ac:dyDescent="0.2">
      <c r="A16" s="32"/>
      <c r="B16" s="45"/>
      <c r="C16" s="153" t="s">
        <v>56</v>
      </c>
      <c r="D16" s="455" t="s">
        <v>70</v>
      </c>
      <c r="E16" s="466"/>
      <c r="F16" s="465"/>
      <c r="G16" s="130">
        <f>'Capex Category Summary (Vic)'!AD46</f>
        <v>6.2300824969414492</v>
      </c>
      <c r="H16" s="50">
        <f>'Capex Category Summary (Vic)'!AE46</f>
        <v>6.0292059085138217</v>
      </c>
      <c r="I16" s="50">
        <f>'Capex Category Summary (Vic)'!AF46</f>
        <v>6.0365953650863293</v>
      </c>
      <c r="J16" s="50">
        <f>'Capex Category Summary (Vic)'!AG46</f>
        <v>6.1296883997636726</v>
      </c>
      <c r="K16" s="131">
        <f>'Capex Category Summary (Vic)'!AH46</f>
        <v>6.2060178440047222</v>
      </c>
      <c r="L16" s="54"/>
      <c r="M16" s="32"/>
    </row>
    <row r="17" spans="1:13" ht="18" customHeight="1" x14ac:dyDescent="0.2">
      <c r="A17" s="32"/>
      <c r="B17" s="45"/>
      <c r="C17" s="153" t="s">
        <v>57</v>
      </c>
      <c r="D17" s="153"/>
      <c r="E17" s="466"/>
      <c r="F17" s="465"/>
      <c r="G17" s="130">
        <f>'Capex Category Summary (Vic)'!AD67</f>
        <v>0</v>
      </c>
      <c r="H17" s="50">
        <f>'Capex Category Summary (Vic)'!AE67</f>
        <v>0</v>
      </c>
      <c r="I17" s="50">
        <f>'Capex Category Summary (Vic)'!AF67</f>
        <v>0</v>
      </c>
      <c r="J17" s="50">
        <f>'Capex Category Summary (Vic)'!AG67</f>
        <v>0</v>
      </c>
      <c r="K17" s="131">
        <f>'Capex Category Summary (Vic)'!AH67</f>
        <v>0</v>
      </c>
      <c r="L17" s="54"/>
      <c r="M17" s="32"/>
    </row>
    <row r="18" spans="1:13" ht="18" customHeight="1" x14ac:dyDescent="0.2">
      <c r="A18" s="32"/>
      <c r="B18" s="154"/>
      <c r="C18" s="155" t="s">
        <v>58</v>
      </c>
      <c r="D18" s="155"/>
      <c r="E18" s="463"/>
      <c r="F18" s="464"/>
      <c r="G18" s="130">
        <f>'Capex Category Summary (Vic)'!AD69</f>
        <v>0</v>
      </c>
      <c r="H18" s="50">
        <f>'Capex Category Summary (Vic)'!AE69</f>
        <v>0</v>
      </c>
      <c r="I18" s="50">
        <f>'Capex Category Summary (Vic)'!AF69</f>
        <v>0</v>
      </c>
      <c r="J18" s="50">
        <f>'Capex Category Summary (Vic)'!AG69</f>
        <v>0</v>
      </c>
      <c r="K18" s="131">
        <f>'Capex Category Summary (Vic)'!AH69</f>
        <v>0</v>
      </c>
      <c r="L18" s="132"/>
      <c r="M18" s="32"/>
    </row>
    <row r="19" spans="1:13" ht="18" customHeight="1" x14ac:dyDescent="0.2">
      <c r="A19" s="32"/>
      <c r="B19" s="147" t="s">
        <v>96</v>
      </c>
      <c r="C19" s="45"/>
      <c r="D19" s="455" t="s">
        <v>96</v>
      </c>
      <c r="E19" s="466"/>
      <c r="F19" s="360"/>
      <c r="G19" s="141">
        <f>'Capex Category Summary (Vic)'!AD63+'Capex Category Summary (Vic)'!AD65+'Capex Category Summary (Vic)'!AD66</f>
        <v>4.6506332832000004</v>
      </c>
      <c r="H19" s="142">
        <f>'Capex Category Summary (Vic)'!AE63+'Capex Category Summary (Vic)'!AE65+'Capex Category Summary (Vic)'!AE66</f>
        <v>6.3508732134000008</v>
      </c>
      <c r="I19" s="142">
        <f>'Capex Category Summary (Vic)'!AF63+'Capex Category Summary (Vic)'!AF65+'Capex Category Summary (Vic)'!AF66</f>
        <v>11.377474468799999</v>
      </c>
      <c r="J19" s="142">
        <f>'Capex Category Summary (Vic)'!AG63+'Capex Category Summary (Vic)'!AG65+'Capex Category Summary (Vic)'!AG66</f>
        <v>8.0320768680000008</v>
      </c>
      <c r="K19" s="143">
        <f>'Capex Category Summary (Vic)'!AH63+'Capex Category Summary (Vic)'!AH65+'Capex Category Summary (Vic)'!AH66</f>
        <v>3.9800454588000003</v>
      </c>
      <c r="L19" s="52">
        <f t="shared" ref="L19" si="2">SUM(G19:K19)</f>
        <v>34.3911032922</v>
      </c>
      <c r="M19" s="32"/>
    </row>
    <row r="20" spans="1:13" ht="18" customHeight="1" thickBot="1" x14ac:dyDescent="0.25">
      <c r="A20" s="32"/>
      <c r="B20" s="149" t="s">
        <v>45</v>
      </c>
      <c r="C20" s="150"/>
      <c r="D20" s="150"/>
      <c r="E20" s="100"/>
      <c r="F20" s="99"/>
      <c r="G20" s="144">
        <f t="shared" ref="G20:K20" si="3">SUM(G8:G13,G19:G19)</f>
        <v>101.10017500625365</v>
      </c>
      <c r="H20" s="145">
        <f t="shared" si="3"/>
        <v>118.10811200989627</v>
      </c>
      <c r="I20" s="145">
        <f t="shared" si="3"/>
        <v>111.03984338917054</v>
      </c>
      <c r="J20" s="145">
        <f t="shared" si="3"/>
        <v>88.804924430801123</v>
      </c>
      <c r="K20" s="145">
        <f t="shared" si="3"/>
        <v>59.91140861432234</v>
      </c>
      <c r="L20" s="100">
        <f>SUM(G20:K20)</f>
        <v>478.96446345044393</v>
      </c>
      <c r="M20" s="32"/>
    </row>
    <row r="21" spans="1:13" x14ac:dyDescent="0.2">
      <c r="A21" s="32"/>
      <c r="B21" s="32"/>
      <c r="C21" s="66"/>
      <c r="D21" s="66"/>
      <c r="E21" s="66"/>
      <c r="F21" s="488"/>
      <c r="G21" s="514"/>
      <c r="H21" s="514"/>
      <c r="I21" s="514"/>
      <c r="J21" s="514"/>
      <c r="K21" s="514"/>
      <c r="L21" s="514"/>
      <c r="M21" s="32"/>
    </row>
    <row r="22" spans="1:13" ht="24" customHeight="1" x14ac:dyDescent="0.2">
      <c r="A22" s="32"/>
      <c r="B22" s="354" t="s">
        <v>189</v>
      </c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2"/>
    </row>
    <row r="23" spans="1:13" x14ac:dyDescent="0.2">
      <c r="A23" s="32"/>
      <c r="B23" s="32"/>
      <c r="C23" s="12"/>
      <c r="D23" s="12"/>
      <c r="E23" s="55"/>
      <c r="F23" s="54"/>
      <c r="G23" s="55"/>
      <c r="H23" s="54"/>
      <c r="I23" s="54"/>
      <c r="J23" s="54"/>
      <c r="K23" s="95"/>
      <c r="L23" s="54"/>
      <c r="M23" s="32"/>
    </row>
    <row r="24" spans="1:13" ht="18" customHeight="1" x14ac:dyDescent="0.2">
      <c r="A24" s="32"/>
      <c r="B24" s="12" t="s">
        <v>48</v>
      </c>
      <c r="C24" s="45"/>
      <c r="D24" s="452" t="s">
        <v>102</v>
      </c>
      <c r="E24" s="55"/>
      <c r="F24" s="52"/>
      <c r="G24" s="55">
        <f>'Capex Category Summary (Vic)'!AO25+'Capex Category Summary (Vic)'!AO31</f>
        <v>34.003180795117366</v>
      </c>
      <c r="H24" s="54">
        <f>'Capex Category Summary (Vic)'!AP25+'Capex Category Summary (Vic)'!AP31</f>
        <v>36.188546299924688</v>
      </c>
      <c r="I24" s="54">
        <f>'Capex Category Summary (Vic)'!AQ25+'Capex Category Summary (Vic)'!AQ31</f>
        <v>36.444139527780337</v>
      </c>
      <c r="J24" s="54">
        <f>'Capex Category Summary (Vic)'!AR25+'Capex Category Summary (Vic)'!AR31</f>
        <v>34.360704198736364</v>
      </c>
      <c r="K24" s="95">
        <f>'Capex Category Summary (Vic)'!AS25+'Capex Category Summary (Vic)'!AS31</f>
        <v>8.8851227283431289</v>
      </c>
      <c r="L24" s="52">
        <f>SUM(G24:K24)</f>
        <v>149.88169354990188</v>
      </c>
      <c r="M24" s="32"/>
    </row>
    <row r="25" spans="1:13" ht="18" customHeight="1" x14ac:dyDescent="0.2">
      <c r="A25" s="32"/>
      <c r="B25" s="147" t="s">
        <v>49</v>
      </c>
      <c r="C25" s="45"/>
      <c r="D25" s="453" t="s">
        <v>70</v>
      </c>
      <c r="E25" s="535"/>
      <c r="F25" s="52"/>
      <c r="G25" s="55">
        <f>'Capex Category Summary (Vic)'!AO12</f>
        <v>7.1714663753240018</v>
      </c>
      <c r="H25" s="54">
        <f>'Capex Category Summary (Vic)'!AP12</f>
        <v>7.1680587086679353</v>
      </c>
      <c r="I25" s="54">
        <f>'Capex Category Summary (Vic)'!AQ12</f>
        <v>7.1850300854502649</v>
      </c>
      <c r="J25" s="54">
        <f>'Capex Category Summary (Vic)'!AR12</f>
        <v>4.9638958483289537</v>
      </c>
      <c r="K25" s="95">
        <f>'Capex Category Summary (Vic)'!AS12</f>
        <v>5.0121089557009046</v>
      </c>
      <c r="L25" s="52">
        <f>SUM(G25:K25)</f>
        <v>31.500559973472058</v>
      </c>
      <c r="M25" s="32"/>
    </row>
    <row r="26" spans="1:13" ht="18" customHeight="1" x14ac:dyDescent="0.2">
      <c r="A26" s="32"/>
      <c r="B26" s="147" t="s">
        <v>50</v>
      </c>
      <c r="C26" s="45"/>
      <c r="D26" s="452" t="s">
        <v>102</v>
      </c>
      <c r="E26" s="55"/>
      <c r="F26" s="52"/>
      <c r="G26" s="55">
        <f>'Capex Category Summary (Vic)'!AO68</f>
        <v>9.3308609330177124</v>
      </c>
      <c r="H26" s="54">
        <f>'Capex Category Summary (Vic)'!AP68</f>
        <v>12.116153979344128</v>
      </c>
      <c r="I26" s="54">
        <f>'Capex Category Summary (Vic)'!AQ68</f>
        <v>7.5253865081961555</v>
      </c>
      <c r="J26" s="54">
        <f>'Capex Category Summary (Vic)'!AR68</f>
        <v>3.5510389397553648</v>
      </c>
      <c r="K26" s="95">
        <f>'Capex Category Summary (Vic)'!AS68</f>
        <v>2.2220330760153524</v>
      </c>
      <c r="L26" s="52">
        <f t="shared" ref="L26:L29" si="4">SUM(G26:K26)</f>
        <v>34.745473436328709</v>
      </c>
      <c r="M26" s="32"/>
    </row>
    <row r="27" spans="1:13" ht="18" customHeight="1" x14ac:dyDescent="0.2">
      <c r="A27" s="32"/>
      <c r="B27" s="147" t="s">
        <v>1</v>
      </c>
      <c r="C27" s="45"/>
      <c r="D27" s="452" t="s">
        <v>1</v>
      </c>
      <c r="E27" s="55"/>
      <c r="F27" s="52"/>
      <c r="G27" s="55">
        <f>'Capex Category Summary (Vic)'!AO62</f>
        <v>0.27376168479028706</v>
      </c>
      <c r="H27" s="54">
        <f>'Capex Category Summary (Vic)'!AP62</f>
        <v>0.26335372559447401</v>
      </c>
      <c r="I27" s="54">
        <f>'Capex Category Summary (Vic)'!AQ62</f>
        <v>0.25843881914708228</v>
      </c>
      <c r="J27" s="54">
        <f>'Capex Category Summary (Vic)'!AR62</f>
        <v>0.169950815510583</v>
      </c>
      <c r="K27" s="95">
        <f>'Capex Category Summary (Vic)'!AS62</f>
        <v>0.14714749764942067</v>
      </c>
      <c r="L27" s="52">
        <f t="shared" si="4"/>
        <v>1.112652542691847</v>
      </c>
      <c r="M27" s="32"/>
    </row>
    <row r="28" spans="1:13" ht="18" customHeight="1" x14ac:dyDescent="0.2">
      <c r="A28" s="32"/>
      <c r="B28" s="147" t="s">
        <v>52</v>
      </c>
      <c r="C28" s="45"/>
      <c r="D28" s="452" t="s">
        <v>2</v>
      </c>
      <c r="E28" s="55"/>
      <c r="F28" s="52"/>
      <c r="G28" s="55">
        <f>'Capex Category Summary (Vic)'!AO64</f>
        <v>11.21181055145094</v>
      </c>
      <c r="H28" s="54">
        <f>'Capex Category Summary (Vic)'!AP64</f>
        <v>23.678698632513441</v>
      </c>
      <c r="I28" s="54">
        <f>'Capex Category Summary (Vic)'!AQ64</f>
        <v>16.214619098047489</v>
      </c>
      <c r="J28" s="54">
        <f>'Capex Category Summary (Vic)'!AR64</f>
        <v>5.2036649081586992</v>
      </c>
      <c r="K28" s="95">
        <f>'Capex Category Summary (Vic)'!AS64</f>
        <v>6.1312732574325288</v>
      </c>
      <c r="L28" s="52">
        <f t="shared" si="4"/>
        <v>62.440066447603101</v>
      </c>
      <c r="M28" s="32"/>
    </row>
    <row r="29" spans="1:13" ht="18" customHeight="1" x14ac:dyDescent="0.2">
      <c r="A29" s="32"/>
      <c r="B29" s="151" t="s">
        <v>53</v>
      </c>
      <c r="C29" s="45"/>
      <c r="D29" s="452"/>
      <c r="E29" s="55"/>
      <c r="F29" s="52"/>
      <c r="G29" s="55">
        <f>SUM(G30:G34)</f>
        <v>35.050179974310083</v>
      </c>
      <c r="H29" s="54">
        <f t="shared" ref="H29:K29" si="5">SUM(H30:H34)</f>
        <v>33.603854787502122</v>
      </c>
      <c r="I29" s="54">
        <f t="shared" si="5"/>
        <v>33.798295512861969</v>
      </c>
      <c r="J29" s="54">
        <f t="shared" si="5"/>
        <v>34.823957268360665</v>
      </c>
      <c r="K29" s="95">
        <f t="shared" si="5"/>
        <v>35.685289859399163</v>
      </c>
      <c r="L29" s="52">
        <f t="shared" si="4"/>
        <v>172.96157740243399</v>
      </c>
      <c r="M29" s="32"/>
    </row>
    <row r="30" spans="1:13" ht="18" customHeight="1" x14ac:dyDescent="0.2">
      <c r="A30" s="32"/>
      <c r="B30" s="45"/>
      <c r="C30" s="152" t="s">
        <v>54</v>
      </c>
      <c r="D30" s="454" t="s">
        <v>102</v>
      </c>
      <c r="E30" s="199"/>
      <c r="F30" s="126"/>
      <c r="G30" s="127">
        <f>'Capex Category Summary (Vic)'!AO39</f>
        <v>9.6467520835390772</v>
      </c>
      <c r="H30" s="128">
        <f>'Capex Category Summary (Vic)'!AP39</f>
        <v>9.2814847964783063</v>
      </c>
      <c r="I30" s="128">
        <f>'Capex Category Summary (Vic)'!AQ39</f>
        <v>9.345092267489596</v>
      </c>
      <c r="J30" s="128">
        <f>'Capex Category Summary (Vic)'!AR39</f>
        <v>9.599026753286779</v>
      </c>
      <c r="K30" s="129">
        <f>'Capex Category Summary (Vic)'!AS39</f>
        <v>9.8321549887228183</v>
      </c>
      <c r="L30" s="126"/>
      <c r="M30" s="32"/>
    </row>
    <row r="31" spans="1:13" ht="18" customHeight="1" x14ac:dyDescent="0.2">
      <c r="A31" s="32"/>
      <c r="B31" s="45"/>
      <c r="C31" s="153" t="s">
        <v>55</v>
      </c>
      <c r="D31" s="455" t="s">
        <v>102</v>
      </c>
      <c r="E31" s="55"/>
      <c r="F31" s="54"/>
      <c r="G31" s="130">
        <f>'Capex Category Summary (Vic)'!AO55</f>
        <v>19.156841772093127</v>
      </c>
      <c r="H31" s="50">
        <f>'Capex Category Summary (Vic)'!AP55</f>
        <v>18.275146911285642</v>
      </c>
      <c r="I31" s="50">
        <f>'Capex Category Summary (Vic)'!AQ55</f>
        <v>18.380689363014099</v>
      </c>
      <c r="J31" s="50">
        <f>'Capex Category Summary (Vic)'!AR55</f>
        <v>18.920672101973437</v>
      </c>
      <c r="K31" s="131">
        <f>'Capex Category Summary (Vic)'!AS55</f>
        <v>19.408378990062786</v>
      </c>
      <c r="L31" s="54"/>
      <c r="M31" s="32"/>
    </row>
    <row r="32" spans="1:13" ht="18" customHeight="1" x14ac:dyDescent="0.2">
      <c r="A32" s="32"/>
      <c r="B32" s="45"/>
      <c r="C32" s="153" t="s">
        <v>56</v>
      </c>
      <c r="D32" s="455" t="s">
        <v>70</v>
      </c>
      <c r="E32" s="55"/>
      <c r="F32" s="54"/>
      <c r="G32" s="130">
        <f>'Capex Category Summary (Vic)'!AO46</f>
        <v>6.2465861186778797</v>
      </c>
      <c r="H32" s="50">
        <f>'Capex Category Summary (Vic)'!AP46</f>
        <v>6.0472230797381714</v>
      </c>
      <c r="I32" s="50">
        <f>'Capex Category Summary (Vic)'!AQ46</f>
        <v>6.0725138823582725</v>
      </c>
      <c r="J32" s="50">
        <f>'Capex Category Summary (Vic)'!AR46</f>
        <v>6.3042584131004507</v>
      </c>
      <c r="K32" s="131">
        <f>'Capex Category Summary (Vic)'!AS46</f>
        <v>6.4447558806135596</v>
      </c>
      <c r="L32" s="54"/>
      <c r="M32" s="32"/>
    </row>
    <row r="33" spans="1:13" ht="18" customHeight="1" x14ac:dyDescent="0.2">
      <c r="A33" s="32"/>
      <c r="B33" s="45"/>
      <c r="C33" s="153" t="s">
        <v>57</v>
      </c>
      <c r="D33" s="153"/>
      <c r="E33" s="55"/>
      <c r="F33" s="54"/>
      <c r="G33" s="130">
        <f>'Capex Category Summary (Vic)'!AO67</f>
        <v>0</v>
      </c>
      <c r="H33" s="50">
        <f>'Capex Category Summary (Vic)'!AP67</f>
        <v>0</v>
      </c>
      <c r="I33" s="50">
        <f>'Capex Category Summary (Vic)'!AQ67</f>
        <v>0</v>
      </c>
      <c r="J33" s="50">
        <f>'Capex Category Summary (Vic)'!AR67</f>
        <v>0</v>
      </c>
      <c r="K33" s="131">
        <f>'Capex Category Summary (Vic)'!AS67</f>
        <v>0</v>
      </c>
      <c r="L33" s="54"/>
      <c r="M33" s="32"/>
    </row>
    <row r="34" spans="1:13" ht="18" customHeight="1" x14ac:dyDescent="0.2">
      <c r="A34" s="32"/>
      <c r="B34" s="154"/>
      <c r="C34" s="155" t="s">
        <v>58</v>
      </c>
      <c r="D34" s="155"/>
      <c r="E34" s="133"/>
      <c r="F34" s="132"/>
      <c r="G34" s="130">
        <f>'Capex Category Summary (Vic)'!AO69</f>
        <v>0</v>
      </c>
      <c r="H34" s="50">
        <f>'Capex Category Summary (Vic)'!AP69</f>
        <v>0</v>
      </c>
      <c r="I34" s="50">
        <f>'Capex Category Summary (Vic)'!AQ69</f>
        <v>0</v>
      </c>
      <c r="J34" s="50">
        <f>'Capex Category Summary (Vic)'!AR69</f>
        <v>0</v>
      </c>
      <c r="K34" s="131">
        <f>'Capex Category Summary (Vic)'!AS69</f>
        <v>0</v>
      </c>
      <c r="L34" s="132"/>
      <c r="M34" s="32"/>
    </row>
    <row r="35" spans="1:13" ht="18" customHeight="1" x14ac:dyDescent="0.2">
      <c r="A35" s="32"/>
      <c r="B35" s="147" t="s">
        <v>96</v>
      </c>
      <c r="C35" s="45"/>
      <c r="D35" s="455" t="s">
        <v>96</v>
      </c>
      <c r="E35" s="55"/>
      <c r="F35" s="52"/>
      <c r="G35" s="141">
        <f>'Capex Category Summary (Vic)'!AO65+'Capex Category Summary (Vic)'!AO66+'Capex Category Summary (Vic)'!AO63</f>
        <v>4.6819409779309273</v>
      </c>
      <c r="H35" s="142">
        <f>'Capex Category Summary (Vic)'!AP65+'Capex Category Summary (Vic)'!AP66+'Capex Category Summary (Vic)'!AP63</f>
        <v>6.4301705911072231</v>
      </c>
      <c r="I35" s="142">
        <f>'Capex Category Summary (Vic)'!AQ65+'Capex Category Summary (Vic)'!AQ66+'Capex Category Summary (Vic)'!AQ63</f>
        <v>11.60089469605316</v>
      </c>
      <c r="J35" s="142">
        <f>'Capex Category Summary (Vic)'!AR65+'Capex Category Summary (Vic)'!AR66+'Capex Category Summary (Vic)'!AR63</f>
        <v>8.2608258148506852</v>
      </c>
      <c r="K35" s="143">
        <f>'Capex Category Summary (Vic)'!AS65+'Capex Category Summary (Vic)'!AS66+'Capex Category Summary (Vic)'!AS63</f>
        <v>4.1331530170332975</v>
      </c>
      <c r="L35" s="52">
        <f t="shared" ref="L35" si="6">SUM(G35:K35)</f>
        <v>35.106985096975293</v>
      </c>
      <c r="M35" s="32"/>
    </row>
    <row r="36" spans="1:13" ht="18" customHeight="1" thickBot="1" x14ac:dyDescent="0.25">
      <c r="A36" s="32"/>
      <c r="B36" s="149" t="s">
        <v>45</v>
      </c>
      <c r="C36" s="150"/>
      <c r="D36" s="150"/>
      <c r="E36" s="100"/>
      <c r="F36" s="99"/>
      <c r="G36" s="144">
        <f t="shared" ref="G36:K36" si="7">SUM(G24:G29,G35:G35)</f>
        <v>101.72320129194131</v>
      </c>
      <c r="H36" s="145">
        <f t="shared" si="7"/>
        <v>119.44883672465402</v>
      </c>
      <c r="I36" s="145">
        <f t="shared" si="7"/>
        <v>113.02680424753646</v>
      </c>
      <c r="J36" s="145">
        <f t="shared" si="7"/>
        <v>91.334037793701313</v>
      </c>
      <c r="K36" s="145">
        <f t="shared" si="7"/>
        <v>62.21612839157379</v>
      </c>
      <c r="L36" s="100">
        <f>SUM(G36:K36)</f>
        <v>487.74900844940692</v>
      </c>
      <c r="M36" s="32"/>
    </row>
    <row r="37" spans="1:13" x14ac:dyDescent="0.2">
      <c r="A37" s="32"/>
      <c r="B37" s="32"/>
      <c r="C37" s="66"/>
      <c r="D37" s="66"/>
      <c r="E37" s="66"/>
      <c r="F37" s="488"/>
      <c r="G37" s="514"/>
      <c r="H37" s="514"/>
      <c r="I37" s="514"/>
      <c r="J37" s="514"/>
      <c r="K37" s="514"/>
      <c r="L37" s="514"/>
      <c r="M37" s="32"/>
    </row>
    <row r="38" spans="1:13" ht="24" customHeight="1" x14ac:dyDescent="0.2">
      <c r="A38" s="69"/>
      <c r="B38" s="354" t="s">
        <v>190</v>
      </c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69"/>
    </row>
    <row r="39" spans="1:13" x14ac:dyDescent="0.2">
      <c r="A39" s="32"/>
      <c r="B39" s="32"/>
      <c r="C39" s="12"/>
      <c r="D39" s="12"/>
      <c r="E39" s="55"/>
      <c r="F39" s="54"/>
      <c r="G39" s="55"/>
      <c r="H39" s="54"/>
      <c r="I39" s="54"/>
      <c r="J39" s="54"/>
      <c r="K39" s="95"/>
      <c r="L39" s="54"/>
      <c r="M39" s="45"/>
    </row>
    <row r="40" spans="1:13" ht="18" customHeight="1" x14ac:dyDescent="0.2">
      <c r="A40" s="32"/>
      <c r="B40" s="12" t="s">
        <v>48</v>
      </c>
      <c r="C40" s="45"/>
      <c r="D40" s="452" t="s">
        <v>102</v>
      </c>
      <c r="E40" s="55"/>
      <c r="F40" s="52"/>
      <c r="G40" s="55">
        <f>SUM('Overheads (Vic)'!F12:F20)</f>
        <v>37.823231436062464</v>
      </c>
      <c r="H40" s="54">
        <f>SUM('Overheads (Vic)'!G12:G20)</f>
        <v>39.758231192333753</v>
      </c>
      <c r="I40" s="54">
        <f>SUM('Overheads (Vic)'!H12:H20)</f>
        <v>40.201868895176304</v>
      </c>
      <c r="J40" s="54">
        <f>SUM('Overheads (Vic)'!I12:I20)</f>
        <v>38.58182636605428</v>
      </c>
      <c r="K40" s="95">
        <f>SUM('Overheads (Vic)'!J12:J20)</f>
        <v>10.404290221340112</v>
      </c>
      <c r="L40" s="136">
        <f>SUM(G40:K40)</f>
        <v>166.76944811096692</v>
      </c>
      <c r="M40" s="45"/>
    </row>
    <row r="41" spans="1:13" ht="18" customHeight="1" x14ac:dyDescent="0.2">
      <c r="A41" s="32"/>
      <c r="B41" s="147" t="s">
        <v>49</v>
      </c>
      <c r="C41" s="45"/>
      <c r="D41" s="453" t="s">
        <v>70</v>
      </c>
      <c r="E41" s="535"/>
      <c r="F41" s="52"/>
      <c r="G41" s="55">
        <f>SUM('Overheads (Vic)'!F10:F11)</f>
        <v>7.9771370238624622</v>
      </c>
      <c r="H41" s="54">
        <f>SUM('Overheads (Vic)'!G10:G11)</f>
        <v>7.8751252669144725</v>
      </c>
      <c r="I41" s="54">
        <f>SUM('Overheads (Vic)'!H10:H11)</f>
        <v>7.9258734393491599</v>
      </c>
      <c r="J41" s="54">
        <f>SUM('Overheads (Vic)'!I10:I11)</f>
        <v>5.5736974018841128</v>
      </c>
      <c r="K41" s="95">
        <f>SUM('Overheads (Vic)'!J10:J11)</f>
        <v>5.8690732576762521</v>
      </c>
      <c r="L41" s="136">
        <f>SUM(G41:K41)</f>
        <v>35.220906389686462</v>
      </c>
      <c r="M41" s="45"/>
    </row>
    <row r="42" spans="1:13" ht="18" customHeight="1" x14ac:dyDescent="0.2">
      <c r="A42" s="32"/>
      <c r="B42" s="147" t="s">
        <v>50</v>
      </c>
      <c r="C42" s="45"/>
      <c r="D42" s="452" t="s">
        <v>102</v>
      </c>
      <c r="E42" s="55"/>
      <c r="F42" s="52"/>
      <c r="G42" s="55">
        <f>'Overheads (Vic)'!F39</f>
        <v>10.37912643213426</v>
      </c>
      <c r="H42" s="54">
        <f>'Overheads (Vic)'!G39</f>
        <v>13.311307038428371</v>
      </c>
      <c r="I42" s="54">
        <f>'Overheads (Vic)'!H39</f>
        <v>8.301323771340984</v>
      </c>
      <c r="J42" s="54">
        <f>'Overheads (Vic)'!I39</f>
        <v>3.9872747368715866</v>
      </c>
      <c r="K42" s="95">
        <f>'Overheads (Vic)'!J39</f>
        <v>2.6019535926648838</v>
      </c>
      <c r="L42" s="136">
        <f t="shared" ref="L42:L51" si="8">SUM(G42:K42)</f>
        <v>38.580985571440081</v>
      </c>
      <c r="M42" s="45"/>
    </row>
    <row r="43" spans="1:13" ht="18" customHeight="1" x14ac:dyDescent="0.2">
      <c r="A43" s="32"/>
      <c r="B43" s="147" t="s">
        <v>1</v>
      </c>
      <c r="C43" s="45"/>
      <c r="D43" s="452" t="s">
        <v>1</v>
      </c>
      <c r="E43" s="55"/>
      <c r="F43" s="52"/>
      <c r="G43" s="55">
        <f>'Overheads (Vic)'!F33</f>
        <v>0.30451714574997218</v>
      </c>
      <c r="H43" s="54">
        <f>'Overheads (Vic)'!G33</f>
        <v>0.28933127682913617</v>
      </c>
      <c r="I43" s="54">
        <f>'Overheads (Vic)'!H33</f>
        <v>0.28508626241141982</v>
      </c>
      <c r="J43" s="54">
        <f>'Overheads (Vic)'!I33</f>
        <v>0.19082882634983295</v>
      </c>
      <c r="K43" s="95">
        <f>'Overheads (Vic)'!J33</f>
        <v>0.17230659808500184</v>
      </c>
      <c r="L43" s="136">
        <f t="shared" si="8"/>
        <v>1.242070109425363</v>
      </c>
      <c r="M43" s="45"/>
    </row>
    <row r="44" spans="1:13" ht="18" customHeight="1" x14ac:dyDescent="0.2">
      <c r="A44" s="32"/>
      <c r="B44" s="147" t="s">
        <v>52</v>
      </c>
      <c r="C44" s="45"/>
      <c r="D44" s="452" t="s">
        <v>2</v>
      </c>
      <c r="E44" s="55"/>
      <c r="F44" s="52"/>
      <c r="G44" s="55">
        <f>'Overheads (Vic)'!F35</f>
        <v>12.47138930501788</v>
      </c>
      <c r="H44" s="54">
        <f>'Overheads (Vic)'!G35</f>
        <v>26.014396012558972</v>
      </c>
      <c r="I44" s="54">
        <f>'Overheads (Vic)'!H35</f>
        <v>17.886496967997672</v>
      </c>
      <c r="J44" s="54">
        <f>'Overheads (Vic)'!I35</f>
        <v>5.8429214602968482</v>
      </c>
      <c r="K44" s="95">
        <f>'Overheads (Vic)'!J35</f>
        <v>7.1795909124785995</v>
      </c>
      <c r="L44" s="136">
        <f t="shared" si="8"/>
        <v>69.39479465834998</v>
      </c>
      <c r="M44" s="45"/>
    </row>
    <row r="45" spans="1:13" ht="18" customHeight="1" x14ac:dyDescent="0.2">
      <c r="A45" s="32"/>
      <c r="B45" s="151" t="s">
        <v>53</v>
      </c>
      <c r="C45" s="45"/>
      <c r="D45" s="452"/>
      <c r="E45" s="55"/>
      <c r="F45" s="52"/>
      <c r="G45" s="55">
        <f>SUM(G46:G50)</f>
        <v>38.987854607835274</v>
      </c>
      <c r="H45" s="54">
        <f t="shared" ref="H45:K45" si="9">SUM(H46:H50)</f>
        <v>36.91858237471952</v>
      </c>
      <c r="I45" s="54">
        <f t="shared" si="9"/>
        <v>37.283213781265502</v>
      </c>
      <c r="J45" s="54">
        <f t="shared" si="9"/>
        <v>39.101988857265496</v>
      </c>
      <c r="K45" s="95">
        <f t="shared" si="9"/>
        <v>41.78671737931856</v>
      </c>
      <c r="L45" s="136">
        <f t="shared" si="8"/>
        <v>194.07835700040434</v>
      </c>
      <c r="M45" s="45"/>
    </row>
    <row r="46" spans="1:13" ht="18" customHeight="1" x14ac:dyDescent="0.2">
      <c r="A46" s="32"/>
      <c r="B46" s="45"/>
      <c r="C46" s="152" t="s">
        <v>54</v>
      </c>
      <c r="D46" s="454" t="s">
        <v>102</v>
      </c>
      <c r="E46" s="199"/>
      <c r="F46" s="126"/>
      <c r="G46" s="127">
        <f>'Overheads (Vic)'!F21+'Overheads (Vic)'!F22+'Overheads (Vic)'!F23</f>
        <v>10.730506032965287</v>
      </c>
      <c r="H46" s="128">
        <f>'Overheads (Vic)'!G21+'Overheads (Vic)'!G22+'Overheads (Vic)'!G23</f>
        <v>10.197022430472245</v>
      </c>
      <c r="I46" s="128">
        <f>'Overheads (Vic)'!H21+'Overheads (Vic)'!H22+'Overheads (Vic)'!H23</f>
        <v>10.308658100284262</v>
      </c>
      <c r="J46" s="128">
        <f>'Overheads (Vic)'!I21+'Overheads (Vic)'!I22+'Overheads (Vic)'!I23</f>
        <v>10.778241951515067</v>
      </c>
      <c r="K46" s="129">
        <f>'Overheads (Vic)'!J21+'Overheads (Vic)'!J22+'Overheads (Vic)'!J23</f>
        <v>11.513244907416734</v>
      </c>
      <c r="L46" s="137"/>
      <c r="M46" s="45"/>
    </row>
    <row r="47" spans="1:13" ht="18" customHeight="1" x14ac:dyDescent="0.2">
      <c r="A47" s="32"/>
      <c r="B47" s="45"/>
      <c r="C47" s="153" t="s">
        <v>55</v>
      </c>
      <c r="D47" s="455" t="s">
        <v>102</v>
      </c>
      <c r="E47" s="55"/>
      <c r="F47" s="54"/>
      <c r="G47" s="130">
        <f>'Overheads (Vic)'!F26+'Overheads (Vic)'!F27+'Overheads (Vic)'!F28+'Overheads (Vic)'!F29</f>
        <v>21.308996481704188</v>
      </c>
      <c r="H47" s="50">
        <f>'Overheads (Vic)'!G26+'Overheads (Vic)'!G27+'Overheads (Vic)'!G28+'Overheads (Vic)'!G29</f>
        <v>20.077830978645054</v>
      </c>
      <c r="I47" s="50">
        <f>'Overheads (Vic)'!H26+'Overheads (Vic)'!H27+'Overheads (Vic)'!H28+'Overheads (Vic)'!H29</f>
        <v>20.275909201027591</v>
      </c>
      <c r="J47" s="50">
        <f>'Overheads (Vic)'!I26+'Overheads (Vic)'!I27+'Overheads (Vic)'!I28+'Overheads (Vic)'!I29</f>
        <v>21.245026922184916</v>
      </c>
      <c r="K47" s="131">
        <f>'Overheads (Vic)'!J26+'Overheads (Vic)'!J27+'Overheads (Vic)'!J28+'Overheads (Vic)'!J29</f>
        <v>22.726800058059354</v>
      </c>
      <c r="L47" s="135"/>
      <c r="M47" s="45"/>
    </row>
    <row r="48" spans="1:13" ht="18" customHeight="1" x14ac:dyDescent="0.2">
      <c r="A48" s="32"/>
      <c r="B48" s="45"/>
      <c r="C48" s="153" t="s">
        <v>56</v>
      </c>
      <c r="D48" s="455" t="s">
        <v>70</v>
      </c>
      <c r="E48" s="55"/>
      <c r="F48" s="54"/>
      <c r="G48" s="130">
        <f>'Overheads (Vic)'!F24+'Overheads (Vic)'!F25</f>
        <v>6.9483520931657932</v>
      </c>
      <c r="H48" s="50">
        <f>'Overheads (Vic)'!G24+'Overheads (Vic)'!G25</f>
        <v>6.6437289656022216</v>
      </c>
      <c r="I48" s="50">
        <f>'Overheads (Vic)'!H24+'Overheads (Vic)'!H25</f>
        <v>6.6986464799536485</v>
      </c>
      <c r="J48" s="50">
        <f>'Overheads (Vic)'!I24+'Overheads (Vic)'!I25</f>
        <v>7.0787199835655121</v>
      </c>
      <c r="K48" s="131">
        <f>'Overheads (Vic)'!J24+'Overheads (Vic)'!J25</f>
        <v>7.5466724138424706</v>
      </c>
      <c r="L48" s="135"/>
      <c r="M48" s="45"/>
    </row>
    <row r="49" spans="1:13" ht="18" customHeight="1" x14ac:dyDescent="0.2">
      <c r="A49" s="32"/>
      <c r="B49" s="45"/>
      <c r="C49" s="153" t="s">
        <v>57</v>
      </c>
      <c r="D49" s="153"/>
      <c r="E49" s="55"/>
      <c r="F49" s="54"/>
      <c r="G49" s="130">
        <f>'Overheads (Vic)'!F38</f>
        <v>0</v>
      </c>
      <c r="H49" s="50">
        <f>'Overheads (Vic)'!G38</f>
        <v>0</v>
      </c>
      <c r="I49" s="50">
        <f>'Overheads (Vic)'!H38</f>
        <v>0</v>
      </c>
      <c r="J49" s="50">
        <f>'Overheads (Vic)'!I38</f>
        <v>0</v>
      </c>
      <c r="K49" s="131">
        <f>'Overheads (Vic)'!J38</f>
        <v>0</v>
      </c>
      <c r="L49" s="135"/>
      <c r="M49" s="45"/>
    </row>
    <row r="50" spans="1:13" ht="18" customHeight="1" x14ac:dyDescent="0.2">
      <c r="A50" s="32"/>
      <c r="B50" s="154"/>
      <c r="C50" s="155" t="s">
        <v>58</v>
      </c>
      <c r="D50" s="155"/>
      <c r="E50" s="133"/>
      <c r="F50" s="132"/>
      <c r="G50" s="130">
        <f>'Overheads (Vic)'!F40</f>
        <v>0</v>
      </c>
      <c r="H50" s="50">
        <f>'Overheads (Vic)'!G40</f>
        <v>0</v>
      </c>
      <c r="I50" s="50">
        <f>'Overheads (Vic)'!H40</f>
        <v>0</v>
      </c>
      <c r="J50" s="50">
        <f>'Overheads (Vic)'!I40</f>
        <v>0</v>
      </c>
      <c r="K50" s="131">
        <f>'Overheads (Vic)'!J40</f>
        <v>0</v>
      </c>
      <c r="L50" s="138"/>
      <c r="M50" s="45"/>
    </row>
    <row r="51" spans="1:13" ht="18" customHeight="1" x14ac:dyDescent="0.2">
      <c r="A51" s="32"/>
      <c r="B51" s="147" t="s">
        <v>96</v>
      </c>
      <c r="C51" s="45"/>
      <c r="D51" s="455" t="s">
        <v>96</v>
      </c>
      <c r="E51" s="55"/>
      <c r="F51" s="52"/>
      <c r="G51" s="141">
        <f>'Overheads (Vic)'!F34+'Overheads (Vic)'!F36+'Overheads (Vic)'!F37</f>
        <v>5.2079285830722792</v>
      </c>
      <c r="H51" s="142">
        <f>'Overheads (Vic)'!G34+'Overheads (Vic)'!G36+'Overheads (Vic)'!G37</f>
        <v>7.0644509135178613</v>
      </c>
      <c r="I51" s="142">
        <f>'Overheads (Vic)'!H34+'Overheads (Vic)'!H36+'Overheads (Vic)'!H37</f>
        <v>12.797054716629237</v>
      </c>
      <c r="J51" s="142">
        <f>'Overheads (Vic)'!I34+'Overheads (Vic)'!I36+'Overheads (Vic)'!I37</f>
        <v>9.2756465462808837</v>
      </c>
      <c r="K51" s="143">
        <f>'Overheads (Vic)'!J34+'Overheads (Vic)'!J36+'Overheads (Vic)'!J37</f>
        <v>4.8398345001184797</v>
      </c>
      <c r="L51" s="136">
        <f t="shared" si="8"/>
        <v>39.184915259618741</v>
      </c>
      <c r="M51" s="45"/>
    </row>
    <row r="52" spans="1:13" ht="18" customHeight="1" thickBot="1" x14ac:dyDescent="0.25">
      <c r="A52" s="32"/>
      <c r="B52" s="149" t="s">
        <v>45</v>
      </c>
      <c r="C52" s="150"/>
      <c r="D52" s="150"/>
      <c r="E52" s="100"/>
      <c r="F52" s="99"/>
      <c r="G52" s="144">
        <f t="shared" ref="G52:K52" si="10">SUM(G40:G45,G51:G51)</f>
        <v>113.15118453373458</v>
      </c>
      <c r="H52" s="145">
        <f t="shared" si="10"/>
        <v>131.2314240753021</v>
      </c>
      <c r="I52" s="145">
        <f t="shared" si="10"/>
        <v>124.68091783417027</v>
      </c>
      <c r="J52" s="145">
        <f t="shared" si="10"/>
        <v>102.55418419500305</v>
      </c>
      <c r="K52" s="145">
        <f t="shared" si="10"/>
        <v>72.853766461681886</v>
      </c>
      <c r="L52" s="100">
        <f>SUM(G52:K52)</f>
        <v>544.4714770998919</v>
      </c>
      <c r="M52" s="106"/>
    </row>
    <row r="53" spans="1:13" s="67" customFormat="1" ht="11.25" x14ac:dyDescent="0.2">
      <c r="A53" s="66"/>
      <c r="B53" s="419"/>
      <c r="C53" s="419"/>
      <c r="D53" s="419"/>
      <c r="E53" s="57"/>
      <c r="F53" s="50"/>
      <c r="G53" s="50"/>
      <c r="H53" s="50"/>
      <c r="I53" s="50"/>
      <c r="J53" s="50"/>
      <c r="K53" s="50"/>
      <c r="L53" s="50"/>
      <c r="M53" s="184"/>
    </row>
    <row r="54" spans="1:13" ht="15" x14ac:dyDescent="0.25">
      <c r="A54" s="32"/>
      <c r="B54" s="105"/>
      <c r="C54" s="105"/>
      <c r="D54" s="105"/>
      <c r="E54" s="139"/>
      <c r="F54" s="49"/>
      <c r="G54" s="139"/>
      <c r="H54" s="139"/>
      <c r="I54" s="139"/>
      <c r="J54" s="139"/>
      <c r="K54" s="139"/>
      <c r="L54" s="139"/>
      <c r="M54" s="139"/>
    </row>
    <row r="55" spans="1:13" ht="15" x14ac:dyDescent="0.25">
      <c r="B55" s="107"/>
      <c r="C55" s="107"/>
      <c r="D55" s="107"/>
      <c r="E55" s="108"/>
      <c r="F55" s="108"/>
      <c r="G55" s="108"/>
      <c r="H55" s="108"/>
      <c r="I55" s="108"/>
      <c r="J55" s="108"/>
      <c r="K55" s="108"/>
      <c r="L55" s="108"/>
      <c r="M55" s="109"/>
    </row>
    <row r="56" spans="1:13" ht="15" x14ac:dyDescent="0.25">
      <c r="B56" s="107"/>
      <c r="C56" s="107"/>
      <c r="D56" s="107"/>
      <c r="E56" s="108"/>
      <c r="F56" s="108"/>
      <c r="G56" s="108"/>
      <c r="H56" s="108"/>
      <c r="I56" s="108"/>
      <c r="J56" s="108"/>
      <c r="K56" s="108"/>
      <c r="L56" s="108"/>
      <c r="M56" s="109"/>
    </row>
    <row r="57" spans="1:13" ht="15" x14ac:dyDescent="0.25">
      <c r="B57" s="107"/>
      <c r="C57" s="107"/>
      <c r="D57" s="107"/>
      <c r="E57" s="108"/>
      <c r="F57" s="108"/>
      <c r="G57" s="108"/>
      <c r="H57" s="108"/>
      <c r="I57" s="108"/>
      <c r="J57" s="108"/>
      <c r="K57" s="108"/>
      <c r="L57" s="108"/>
      <c r="M57" s="109"/>
    </row>
    <row r="58" spans="1:13" ht="15" x14ac:dyDescent="0.25">
      <c r="B58" s="107"/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9"/>
    </row>
    <row r="59" spans="1:13" ht="15" x14ac:dyDescent="0.25">
      <c r="B59" s="107"/>
      <c r="C59" s="107"/>
      <c r="D59" s="107"/>
      <c r="E59" s="108"/>
      <c r="F59" s="108"/>
      <c r="G59" s="539"/>
      <c r="H59" s="539"/>
      <c r="I59" s="539"/>
      <c r="J59" s="539"/>
      <c r="K59" s="539"/>
      <c r="L59" s="108"/>
      <c r="M59" s="109"/>
    </row>
    <row r="60" spans="1:13" ht="15" x14ac:dyDescent="0.25">
      <c r="B60" s="107"/>
      <c r="C60" s="107"/>
      <c r="D60" s="107"/>
      <c r="E60" s="108"/>
      <c r="F60" s="108"/>
      <c r="G60" s="108"/>
      <c r="H60" s="108"/>
      <c r="I60" s="108"/>
      <c r="J60" s="108"/>
      <c r="K60" s="108"/>
      <c r="L60" s="108"/>
      <c r="M60" s="109"/>
    </row>
    <row r="61" spans="1:13" ht="15" x14ac:dyDescent="0.25">
      <c r="B61" s="107"/>
      <c r="C61" s="107"/>
      <c r="D61" s="107"/>
      <c r="E61" s="108"/>
      <c r="F61" s="108"/>
      <c r="G61" s="108"/>
      <c r="H61" s="108"/>
      <c r="I61" s="108"/>
      <c r="J61" s="108"/>
      <c r="K61" s="108"/>
      <c r="L61" s="108"/>
      <c r="M61" s="109"/>
    </row>
    <row r="62" spans="1:13" ht="15" x14ac:dyDescent="0.25">
      <c r="B62" s="107"/>
      <c r="C62" s="107"/>
      <c r="D62" s="107"/>
      <c r="E62" s="108"/>
      <c r="F62" s="108"/>
      <c r="G62" s="108"/>
      <c r="H62" s="108"/>
      <c r="I62" s="108"/>
      <c r="J62" s="108"/>
      <c r="K62" s="108"/>
      <c r="L62" s="108"/>
      <c r="M62" s="109"/>
    </row>
    <row r="63" spans="1:13" ht="15" x14ac:dyDescent="0.25">
      <c r="B63" s="107"/>
      <c r="C63" s="107"/>
      <c r="D63" s="107"/>
      <c r="E63" s="108"/>
      <c r="F63" s="108"/>
      <c r="G63" s="108"/>
      <c r="H63" s="108"/>
      <c r="I63" s="108"/>
      <c r="J63" s="108"/>
      <c r="K63" s="108"/>
      <c r="L63" s="108"/>
      <c r="M63" s="109"/>
    </row>
    <row r="64" spans="1:13" ht="15" x14ac:dyDescent="0.25">
      <c r="B64" s="107"/>
      <c r="C64" s="107"/>
      <c r="D64" s="107"/>
      <c r="E64" s="108"/>
      <c r="F64" s="108"/>
      <c r="G64" s="108"/>
      <c r="H64" s="108"/>
      <c r="I64" s="108"/>
      <c r="J64" s="108"/>
      <c r="K64" s="108"/>
      <c r="L64" s="108"/>
      <c r="M64" s="109"/>
    </row>
    <row r="65" spans="2:13" ht="15" x14ac:dyDescent="0.25">
      <c r="B65" s="107"/>
      <c r="C65" s="107"/>
      <c r="D65" s="107"/>
      <c r="E65" s="108"/>
      <c r="F65" s="108"/>
      <c r="G65" s="108"/>
      <c r="H65" s="108"/>
      <c r="I65" s="108"/>
      <c r="J65" s="108"/>
      <c r="K65" s="108"/>
      <c r="L65" s="108"/>
      <c r="M65" s="109"/>
    </row>
    <row r="66" spans="2:13" ht="15" x14ac:dyDescent="0.25">
      <c r="B66" s="107"/>
      <c r="C66" s="107"/>
      <c r="D66" s="107"/>
      <c r="E66" s="108"/>
      <c r="F66" s="108"/>
      <c r="G66" s="108"/>
      <c r="H66" s="108"/>
      <c r="I66" s="108"/>
      <c r="J66" s="108"/>
      <c r="K66" s="108"/>
      <c r="L66" s="108"/>
      <c r="M66" s="109"/>
    </row>
    <row r="67" spans="2:13" ht="15" x14ac:dyDescent="0.25">
      <c r="B67" s="107"/>
      <c r="C67" s="107"/>
      <c r="D67" s="107"/>
      <c r="E67" s="108"/>
      <c r="F67" s="108"/>
      <c r="G67" s="108"/>
      <c r="H67" s="108"/>
      <c r="I67" s="108"/>
      <c r="J67" s="108"/>
      <c r="K67" s="108"/>
      <c r="L67" s="108"/>
      <c r="M67" s="109"/>
    </row>
    <row r="68" spans="2:13" ht="15" x14ac:dyDescent="0.25">
      <c r="B68" s="107"/>
      <c r="C68" s="107"/>
      <c r="D68" s="107"/>
      <c r="E68" s="108"/>
      <c r="F68" s="108"/>
      <c r="G68" s="108"/>
      <c r="H68" s="108"/>
      <c r="I68" s="108"/>
      <c r="J68" s="108"/>
      <c r="K68" s="108"/>
      <c r="L68" s="108"/>
      <c r="M68" s="109"/>
    </row>
    <row r="69" spans="2:13" ht="15" x14ac:dyDescent="0.25">
      <c r="B69" s="107"/>
      <c r="C69" s="107"/>
      <c r="D69" s="107"/>
      <c r="E69" s="108"/>
      <c r="F69" s="108"/>
      <c r="G69" s="108"/>
      <c r="H69" s="108"/>
      <c r="I69" s="108"/>
      <c r="J69" s="108"/>
      <c r="K69" s="108"/>
      <c r="L69" s="108"/>
      <c r="M69" s="109"/>
    </row>
    <row r="70" spans="2:13" ht="15" x14ac:dyDescent="0.25">
      <c r="B70" s="107"/>
      <c r="C70" s="107"/>
      <c r="D70" s="107"/>
      <c r="E70" s="108"/>
      <c r="F70" s="108"/>
      <c r="G70" s="108"/>
      <c r="H70" s="108"/>
      <c r="I70" s="108"/>
      <c r="J70" s="108"/>
      <c r="K70" s="108"/>
      <c r="L70" s="108"/>
      <c r="M70" s="109"/>
    </row>
    <row r="71" spans="2:13" ht="15" x14ac:dyDescent="0.25">
      <c r="B71" s="107"/>
      <c r="C71" s="107"/>
      <c r="D71" s="107"/>
      <c r="E71" s="108"/>
      <c r="F71" s="108"/>
      <c r="G71" s="108"/>
      <c r="H71" s="108"/>
      <c r="I71" s="108"/>
      <c r="J71" s="108"/>
      <c r="K71" s="108"/>
      <c r="L71" s="108"/>
      <c r="M71" s="109"/>
    </row>
    <row r="72" spans="2:13" ht="15" x14ac:dyDescent="0.25">
      <c r="B72" s="107"/>
      <c r="C72" s="107"/>
      <c r="D72" s="107"/>
      <c r="E72" s="108"/>
      <c r="F72" s="108"/>
      <c r="G72" s="108"/>
      <c r="H72" s="108"/>
      <c r="I72" s="108"/>
      <c r="J72" s="108"/>
      <c r="K72" s="108"/>
      <c r="L72" s="108"/>
      <c r="M72" s="109"/>
    </row>
    <row r="73" spans="2:13" ht="15" x14ac:dyDescent="0.25">
      <c r="B73" s="107"/>
      <c r="C73" s="107"/>
      <c r="D73" s="107"/>
      <c r="E73" s="108"/>
      <c r="F73" s="108"/>
      <c r="G73" s="108"/>
      <c r="H73" s="108"/>
      <c r="I73" s="108"/>
      <c r="J73" s="108"/>
      <c r="K73" s="108"/>
      <c r="L73" s="108"/>
      <c r="M73" s="109"/>
    </row>
    <row r="74" spans="2:13" ht="15" x14ac:dyDescent="0.25">
      <c r="B74" s="107"/>
      <c r="C74" s="107"/>
      <c r="D74" s="107"/>
      <c r="E74" s="108"/>
      <c r="F74" s="108"/>
      <c r="G74" s="108"/>
      <c r="H74" s="108"/>
      <c r="I74" s="108"/>
      <c r="J74" s="108"/>
      <c r="K74" s="108"/>
      <c r="L74" s="108"/>
      <c r="M74" s="109"/>
    </row>
    <row r="75" spans="2:13" x14ac:dyDescent="0.2">
      <c r="B75" s="110"/>
      <c r="C75" s="110"/>
      <c r="D75" s="110"/>
      <c r="E75" s="111"/>
      <c r="F75" s="111"/>
      <c r="G75" s="112"/>
      <c r="H75" s="112"/>
      <c r="I75" s="112"/>
      <c r="J75" s="112"/>
      <c r="K75" s="112"/>
      <c r="L75" s="111"/>
      <c r="M75" s="113"/>
    </row>
    <row r="77" spans="2:13" x14ac:dyDescent="0.2">
      <c r="C77" s="110"/>
      <c r="D77" s="110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I13" sqref="I13"/>
    </sheetView>
  </sheetViews>
  <sheetFormatPr defaultRowHeight="14.25" x14ac:dyDescent="0.2"/>
  <cols>
    <col min="1" max="1" width="2.85546875" style="44" customWidth="1"/>
    <col min="2" max="2" width="3.85546875" style="44" customWidth="1"/>
    <col min="3" max="3" width="32.5703125" style="44" customWidth="1"/>
    <col min="4" max="4" width="27.7109375" style="44" customWidth="1"/>
    <col min="5" max="6" width="0" style="44" hidden="1" customWidth="1"/>
    <col min="7" max="11" width="11.5703125" style="44" bestFit="1" customWidth="1"/>
    <col min="12" max="12" width="12.7109375" style="44" customWidth="1"/>
    <col min="13" max="13" width="4.28515625" style="44" customWidth="1"/>
    <col min="14" max="15" width="9.85546875" style="44" bestFit="1" customWidth="1"/>
    <col min="16" max="16384" width="9.140625" style="44"/>
  </cols>
  <sheetData>
    <row r="1" spans="1:13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8.5" customHeight="1" x14ac:dyDescent="0.25">
      <c r="A2" s="63"/>
      <c r="B2" s="340" t="s">
        <v>109</v>
      </c>
      <c r="C2" s="353"/>
      <c r="D2" s="353"/>
      <c r="E2" s="353"/>
      <c r="F2" s="341"/>
      <c r="G2" s="341"/>
      <c r="H2" s="341"/>
      <c r="I2" s="341"/>
      <c r="J2" s="341"/>
      <c r="K2" s="341"/>
      <c r="L2" s="350"/>
      <c r="M2" s="63"/>
    </row>
    <row r="3" spans="1:13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2.5" x14ac:dyDescent="0.2">
      <c r="A4" s="32"/>
      <c r="B4" s="32"/>
      <c r="C4" s="66"/>
      <c r="D4" s="3" t="s">
        <v>314</v>
      </c>
      <c r="E4" s="30"/>
      <c r="F4" s="4"/>
      <c r="G4" s="5">
        <v>2018</v>
      </c>
      <c r="H4" s="4">
        <v>2019</v>
      </c>
      <c r="I4" s="4">
        <v>2020</v>
      </c>
      <c r="J4" s="4">
        <v>2021</v>
      </c>
      <c r="K4" s="6">
        <v>2022</v>
      </c>
      <c r="L4" s="3" t="s">
        <v>73</v>
      </c>
      <c r="M4" s="32"/>
    </row>
    <row r="5" spans="1:13" x14ac:dyDescent="0.2">
      <c r="A5" s="32"/>
      <c r="B5" s="32"/>
      <c r="C5" s="66"/>
      <c r="D5" s="66"/>
      <c r="E5" s="66"/>
      <c r="F5" s="66"/>
      <c r="G5" s="66"/>
      <c r="H5" s="66"/>
      <c r="I5" s="66"/>
      <c r="J5" s="66"/>
      <c r="K5" s="66"/>
      <c r="L5" s="66"/>
      <c r="M5" s="32"/>
    </row>
    <row r="6" spans="1:13" ht="24" customHeight="1" x14ac:dyDescent="0.2">
      <c r="A6" s="32"/>
      <c r="B6" s="354" t="s">
        <v>101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2"/>
    </row>
    <row r="7" spans="1:13" ht="18" customHeight="1" x14ac:dyDescent="0.2">
      <c r="A7" s="32"/>
      <c r="B7" s="32"/>
      <c r="C7" s="12"/>
      <c r="D7" s="12"/>
      <c r="E7" s="55"/>
      <c r="F7" s="54"/>
      <c r="G7" s="55"/>
      <c r="H7" s="54"/>
      <c r="I7" s="54"/>
      <c r="J7" s="54"/>
      <c r="K7" s="95"/>
      <c r="L7" s="54"/>
      <c r="M7" s="32"/>
    </row>
    <row r="8" spans="1:13" ht="18" customHeight="1" x14ac:dyDescent="0.2">
      <c r="A8" s="32"/>
      <c r="B8" s="12" t="s">
        <v>48</v>
      </c>
      <c r="C8" s="45"/>
      <c r="D8" s="452" t="s">
        <v>102</v>
      </c>
      <c r="E8" s="55"/>
      <c r="F8" s="52"/>
      <c r="G8" s="55">
        <f>'Capex Category Summary (Alb)'!AD25+'Capex Category Summary (Alb)'!AD31</f>
        <v>1.7459922718240466E-2</v>
      </c>
      <c r="H8" s="54">
        <f>'Capex Category Summary (Alb)'!AE25+'Capex Category Summary (Alb)'!AE31</f>
        <v>1.7459922718240466E-2</v>
      </c>
      <c r="I8" s="54">
        <f>'Capex Category Summary (Alb)'!AF25+'Capex Category Summary (Alb)'!AF31</f>
        <v>1.7459922718240466E-2</v>
      </c>
      <c r="J8" s="54">
        <f>'Capex Category Summary (Alb)'!AG25+'Capex Category Summary (Alb)'!AG31</f>
        <v>1.7459922718240466E-2</v>
      </c>
      <c r="K8" s="95">
        <f>'Capex Category Summary (Alb)'!AH25+'Capex Category Summary (Alb)'!AH31</f>
        <v>1.7459922718240466E-2</v>
      </c>
      <c r="L8" s="52">
        <f>SUM(G8:K8)</f>
        <v>8.7299613591202335E-2</v>
      </c>
      <c r="M8" s="32"/>
    </row>
    <row r="9" spans="1:13" ht="18" customHeight="1" x14ac:dyDescent="0.2">
      <c r="A9" s="32"/>
      <c r="B9" s="147" t="s">
        <v>49</v>
      </c>
      <c r="C9" s="45"/>
      <c r="D9" s="453" t="s">
        <v>70</v>
      </c>
      <c r="E9" s="466"/>
      <c r="F9" s="52"/>
      <c r="G9" s="55">
        <f>'Capex Category Summary (Alb)'!AD12</f>
        <v>0.33992145802290008</v>
      </c>
      <c r="H9" s="54">
        <f>'Capex Category Summary (Alb)'!AE12</f>
        <v>0.33992145802290008</v>
      </c>
      <c r="I9" s="54">
        <f>'Capex Category Summary (Alb)'!AF12</f>
        <v>0.33992145802290008</v>
      </c>
      <c r="J9" s="54">
        <f>'Capex Category Summary (Alb)'!AG12</f>
        <v>0.21676884183109163</v>
      </c>
      <c r="K9" s="95">
        <f>'Capex Category Summary (Alb)'!AH12</f>
        <v>0.21676884183109163</v>
      </c>
      <c r="L9" s="52">
        <f>SUM(G9:K9)</f>
        <v>1.4533020577308835</v>
      </c>
      <c r="M9" s="32"/>
    </row>
    <row r="10" spans="1:13" ht="18" customHeight="1" x14ac:dyDescent="0.2">
      <c r="A10" s="32"/>
      <c r="B10" s="147" t="s">
        <v>50</v>
      </c>
      <c r="C10" s="45"/>
      <c r="D10" s="452" t="s">
        <v>102</v>
      </c>
      <c r="E10" s="55"/>
      <c r="F10" s="52"/>
      <c r="G10" s="55">
        <f>'Capex Category Summary (Alb)'!AD68</f>
        <v>0</v>
      </c>
      <c r="H10" s="54">
        <f>'Capex Category Summary (Alb)'!AE68</f>
        <v>0</v>
      </c>
      <c r="I10" s="54">
        <f>'Capex Category Summary (Alb)'!AF68</f>
        <v>0</v>
      </c>
      <c r="J10" s="54">
        <f>'Capex Category Summary (Alb)'!AG68</f>
        <v>0</v>
      </c>
      <c r="K10" s="95">
        <f>'Capex Category Summary (Alb)'!AH68</f>
        <v>0</v>
      </c>
      <c r="L10" s="52">
        <f t="shared" ref="L10:L13" si="0">SUM(G10:K10)</f>
        <v>0</v>
      </c>
      <c r="M10" s="32"/>
    </row>
    <row r="11" spans="1:13" ht="18" customHeight="1" x14ac:dyDescent="0.2">
      <c r="A11" s="32"/>
      <c r="B11" s="147" t="s">
        <v>1</v>
      </c>
      <c r="C11" s="45"/>
      <c r="D11" s="452" t="s">
        <v>1</v>
      </c>
      <c r="E11" s="55"/>
      <c r="F11" s="52"/>
      <c r="G11" s="55">
        <f>'Capex Category Summary (Alb)'!AD62</f>
        <v>0</v>
      </c>
      <c r="H11" s="54">
        <f>'Capex Category Summary (Alb)'!AE62</f>
        <v>0</v>
      </c>
      <c r="I11" s="54">
        <f>'Capex Category Summary (Alb)'!AF62</f>
        <v>0</v>
      </c>
      <c r="J11" s="54">
        <f>'Capex Category Summary (Alb)'!AG62</f>
        <v>8.9707200000000001E-2</v>
      </c>
      <c r="K11" s="95">
        <f>'Capex Category Summary (Alb)'!AH62</f>
        <v>0</v>
      </c>
      <c r="L11" s="52">
        <f t="shared" si="0"/>
        <v>8.9707200000000001E-2</v>
      </c>
      <c r="M11" s="32"/>
    </row>
    <row r="12" spans="1:13" ht="18" customHeight="1" x14ac:dyDescent="0.2">
      <c r="A12" s="32"/>
      <c r="B12" s="147" t="s">
        <v>52</v>
      </c>
      <c r="C12" s="45"/>
      <c r="D12" s="452" t="s">
        <v>2</v>
      </c>
      <c r="E12" s="55"/>
      <c r="F12" s="52"/>
      <c r="G12" s="55">
        <f>'Capex Category Summary (Alb)'!AD64</f>
        <v>0.38821695126998695</v>
      </c>
      <c r="H12" s="54">
        <f>'Capex Category Summary (Alb)'!AE64</f>
        <v>0.81523226758779643</v>
      </c>
      <c r="I12" s="54">
        <f>'Capex Category Summary (Alb)'!AF64</f>
        <v>0.55433681095071785</v>
      </c>
      <c r="J12" s="54">
        <f>'Capex Category Summary (Alb)'!AG64</f>
        <v>0.17637064229669031</v>
      </c>
      <c r="K12" s="95">
        <f>'Capex Category Summary (Alb)'!AH64</f>
        <v>0.20581157855260745</v>
      </c>
      <c r="L12" s="52">
        <f t="shared" si="0"/>
        <v>2.1399682506577991</v>
      </c>
      <c r="M12" s="32"/>
    </row>
    <row r="13" spans="1:13" ht="18" customHeight="1" x14ac:dyDescent="0.2">
      <c r="A13" s="32"/>
      <c r="B13" s="151" t="s">
        <v>53</v>
      </c>
      <c r="C13" s="45"/>
      <c r="D13" s="452"/>
      <c r="E13" s="55"/>
      <c r="F13" s="52"/>
      <c r="G13" s="55">
        <f>SUM(G14:G18)</f>
        <v>1.3577961016215383</v>
      </c>
      <c r="H13" s="54">
        <f t="shared" ref="H13:K13" si="1">SUM(H14:H18)</f>
        <v>1.3766553135955006</v>
      </c>
      <c r="I13" s="54">
        <f t="shared" si="1"/>
        <v>1.3958276248304746</v>
      </c>
      <c r="J13" s="54">
        <f t="shared" si="1"/>
        <v>1.4153186291654056</v>
      </c>
      <c r="K13" s="95">
        <f t="shared" si="1"/>
        <v>1.4351340229409262</v>
      </c>
      <c r="L13" s="52">
        <f t="shared" si="0"/>
        <v>6.9807316921538449</v>
      </c>
      <c r="M13" s="37"/>
    </row>
    <row r="14" spans="1:13" ht="18" customHeight="1" x14ac:dyDescent="0.2">
      <c r="A14" s="32"/>
      <c r="B14" s="45"/>
      <c r="C14" s="152" t="s">
        <v>54</v>
      </c>
      <c r="D14" s="454" t="s">
        <v>102</v>
      </c>
      <c r="E14" s="199"/>
      <c r="F14" s="126"/>
      <c r="G14" s="127">
        <f>'Capex Category Summary (Alb)'!AD39</f>
        <v>0.45852686879686122</v>
      </c>
      <c r="H14" s="128">
        <f>'Capex Category Summary (Alb)'!AE39</f>
        <v>0.46465329203943906</v>
      </c>
      <c r="I14" s="128">
        <f>'Capex Category Summary (Alb)'!AF39</f>
        <v>0.47087955079189348</v>
      </c>
      <c r="J14" s="128">
        <f>'Capex Category Summary (Alb)'!AG39</f>
        <v>0.4772074165809827</v>
      </c>
      <c r="K14" s="129">
        <f>'Capex Category Summary (Alb)'!AH39</f>
        <v>0.48363869332197218</v>
      </c>
      <c r="L14" s="126"/>
      <c r="M14" s="32"/>
    </row>
    <row r="15" spans="1:13" ht="18" customHeight="1" x14ac:dyDescent="0.2">
      <c r="A15" s="32"/>
      <c r="B15" s="45"/>
      <c r="C15" s="153" t="s">
        <v>55</v>
      </c>
      <c r="D15" s="455" t="s">
        <v>102</v>
      </c>
      <c r="E15" s="55"/>
      <c r="F15" s="54"/>
      <c r="G15" s="130">
        <f>'Capex Category Summary (Alb)'!AD55</f>
        <v>0.60952078834998358</v>
      </c>
      <c r="H15" s="50">
        <f>'Capex Category Summary (Alb)'!AE55</f>
        <v>0.61922075381177577</v>
      </c>
      <c r="I15" s="50">
        <f>'Capex Category Summary (Alb)'!AF55</f>
        <v>0.62909130514599265</v>
      </c>
      <c r="J15" s="50">
        <f>'Capex Category Summary (Alb)'!AG55</f>
        <v>0.63913555184909721</v>
      </c>
      <c r="K15" s="131">
        <f>'Capex Category Summary (Alb)'!AH55</f>
        <v>0.64935666076784226</v>
      </c>
      <c r="L15" s="54"/>
      <c r="M15" s="32"/>
    </row>
    <row r="16" spans="1:13" ht="18" customHeight="1" x14ac:dyDescent="0.2">
      <c r="A16" s="32"/>
      <c r="B16" s="45"/>
      <c r="C16" s="153" t="s">
        <v>56</v>
      </c>
      <c r="D16" s="455" t="s">
        <v>70</v>
      </c>
      <c r="E16" s="55"/>
      <c r="F16" s="54"/>
      <c r="G16" s="130">
        <f>'Capex Category Summary (Alb)'!AD46</f>
        <v>0.28974844447469333</v>
      </c>
      <c r="H16" s="50">
        <f>'Capex Category Summary (Alb)'!AE46</f>
        <v>0.29278126774428581</v>
      </c>
      <c r="I16" s="50">
        <f>'Capex Category Summary (Alb)'!AF46</f>
        <v>0.2958567688925885</v>
      </c>
      <c r="J16" s="50">
        <f>'Capex Category Summary (Alb)'!AG46</f>
        <v>0.29897566073532572</v>
      </c>
      <c r="K16" s="131">
        <f>'Capex Category Summary (Alb)'!AH46</f>
        <v>0.30213866885111157</v>
      </c>
      <c r="L16" s="54"/>
      <c r="M16" s="32"/>
    </row>
    <row r="17" spans="1:14" ht="18" customHeight="1" x14ac:dyDescent="0.2">
      <c r="A17" s="32"/>
      <c r="B17" s="45"/>
      <c r="C17" s="153" t="s">
        <v>57</v>
      </c>
      <c r="D17" s="153"/>
      <c r="E17" s="55"/>
      <c r="F17" s="54"/>
      <c r="G17" s="130">
        <f>'Capex Category Summary (Alb)'!AD67</f>
        <v>0</v>
      </c>
      <c r="H17" s="50">
        <f>'Capex Category Summary (Alb)'!AE67</f>
        <v>0</v>
      </c>
      <c r="I17" s="50">
        <f>'Capex Category Summary (Alb)'!AF67</f>
        <v>0</v>
      </c>
      <c r="J17" s="50">
        <f>'Capex Category Summary (Alb)'!AG67</f>
        <v>0</v>
      </c>
      <c r="K17" s="131">
        <f>'Capex Category Summary (Alb)'!AH67</f>
        <v>0</v>
      </c>
      <c r="L17" s="54"/>
      <c r="M17" s="32"/>
    </row>
    <row r="18" spans="1:14" ht="18" customHeight="1" x14ac:dyDescent="0.2">
      <c r="A18" s="32"/>
      <c r="B18" s="154"/>
      <c r="C18" s="155" t="s">
        <v>58</v>
      </c>
      <c r="D18" s="155"/>
      <c r="E18" s="133"/>
      <c r="F18" s="132"/>
      <c r="G18" s="130">
        <f>'Capex Category Summary (Alb)'!AD69</f>
        <v>0</v>
      </c>
      <c r="H18" s="50">
        <f>'Capex Category Summary (Alb)'!AE69</f>
        <v>0</v>
      </c>
      <c r="I18" s="50">
        <f>'Capex Category Summary (Alb)'!AF69</f>
        <v>0</v>
      </c>
      <c r="J18" s="50">
        <f>'Capex Category Summary (Alb)'!AG69</f>
        <v>0</v>
      </c>
      <c r="K18" s="131">
        <f>'Capex Category Summary (Alb)'!AH69</f>
        <v>0</v>
      </c>
      <c r="L18" s="132"/>
      <c r="M18" s="32"/>
    </row>
    <row r="19" spans="1:14" ht="18" customHeight="1" x14ac:dyDescent="0.2">
      <c r="A19" s="32"/>
      <c r="B19" s="147" t="s">
        <v>96</v>
      </c>
      <c r="C19" s="45"/>
      <c r="D19" s="455" t="s">
        <v>96</v>
      </c>
      <c r="E19" s="55"/>
      <c r="F19" s="52"/>
      <c r="G19" s="141">
        <f>'Capex Category Summary (Alb)'!AD63+'Capex Category Summary (Alb)'!AD65+'Capex Category Summary (Alb)'!AD66</f>
        <v>7.1358000000000019E-2</v>
      </c>
      <c r="H19" s="142">
        <f>'Capex Category Summary (Alb)'!AE63+'Capex Category Summary (Alb)'!AE65+'Capex Category Summary (Alb)'!AE66</f>
        <v>0.10499820000000001</v>
      </c>
      <c r="I19" s="142">
        <f>'Capex Category Summary (Alb)'!AF63+'Capex Category Summary (Alb)'!AF65+'Capex Category Summary (Alb)'!AF66</f>
        <v>0.10499820000000001</v>
      </c>
      <c r="J19" s="142">
        <f>'Capex Category Summary (Alb)'!AG63+'Capex Category Summary (Alb)'!AG65+'Capex Category Summary (Alb)'!AG66</f>
        <v>9.1746000000000008E-2</v>
      </c>
      <c r="K19" s="143">
        <f>'Capex Category Summary (Alb)'!AH63+'Capex Category Summary (Alb)'!AH65+'Capex Category Summary (Alb)'!AH66</f>
        <v>2.34462E-2</v>
      </c>
      <c r="L19" s="52">
        <f t="shared" ref="L19" si="2">SUM(G19:K19)</f>
        <v>0.39654659999999997</v>
      </c>
      <c r="M19" s="32"/>
    </row>
    <row r="20" spans="1:14" ht="18" customHeight="1" thickBot="1" x14ac:dyDescent="0.25">
      <c r="A20" s="32"/>
      <c r="B20" s="149" t="s">
        <v>45</v>
      </c>
      <c r="C20" s="150"/>
      <c r="D20" s="150"/>
      <c r="E20" s="100"/>
      <c r="F20" s="99"/>
      <c r="G20" s="144">
        <f t="shared" ref="G20:K20" si="3">SUM(G8:G13,G19:G19)</f>
        <v>2.1747524336326656</v>
      </c>
      <c r="H20" s="145">
        <f t="shared" si="3"/>
        <v>2.6542671619244373</v>
      </c>
      <c r="I20" s="145">
        <f t="shared" si="3"/>
        <v>2.4125440165223329</v>
      </c>
      <c r="J20" s="145">
        <f t="shared" si="3"/>
        <v>2.0073712360114282</v>
      </c>
      <c r="K20" s="145">
        <f t="shared" si="3"/>
        <v>1.8986205660428657</v>
      </c>
      <c r="L20" s="100">
        <f>SUM(G20:K20)</f>
        <v>11.147555414133729</v>
      </c>
      <c r="M20" s="32"/>
    </row>
    <row r="21" spans="1:14" x14ac:dyDescent="0.2">
      <c r="A21" s="32"/>
      <c r="B21" s="32"/>
      <c r="C21" s="66"/>
      <c r="D21" s="66"/>
      <c r="E21" s="66"/>
      <c r="F21" s="140"/>
      <c r="G21" s="140"/>
      <c r="H21" s="140"/>
      <c r="I21" s="140"/>
      <c r="J21" s="140"/>
      <c r="K21" s="140"/>
      <c r="L21" s="140"/>
      <c r="M21" s="32"/>
    </row>
    <row r="22" spans="1:14" ht="24" customHeight="1" x14ac:dyDescent="0.2">
      <c r="A22" s="32"/>
      <c r="B22" s="354" t="s">
        <v>189</v>
      </c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2"/>
    </row>
    <row r="23" spans="1:14" x14ac:dyDescent="0.2">
      <c r="A23" s="32"/>
      <c r="B23" s="32"/>
      <c r="C23" s="12"/>
      <c r="D23" s="12"/>
      <c r="E23" s="55"/>
      <c r="F23" s="54"/>
      <c r="G23" s="55"/>
      <c r="H23" s="54"/>
      <c r="I23" s="54"/>
      <c r="J23" s="54"/>
      <c r="K23" s="95"/>
      <c r="L23" s="54"/>
      <c r="M23" s="32"/>
    </row>
    <row r="24" spans="1:14" ht="18" customHeight="1" x14ac:dyDescent="0.2">
      <c r="A24" s="32"/>
      <c r="B24" s="12" t="s">
        <v>48</v>
      </c>
      <c r="C24" s="45"/>
      <c r="D24" s="452" t="s">
        <v>102</v>
      </c>
      <c r="E24" s="55"/>
      <c r="F24" s="52"/>
      <c r="G24" s="55">
        <f>'Capex Category Summary (Alb)'!AO25+'Capex Category Summary (Alb)'!AO31</f>
        <v>1.7577461534397595E-2</v>
      </c>
      <c r="H24" s="54">
        <f>'Capex Category Summary (Alb)'!AP25+'Capex Category Summary (Alb)'!AP31</f>
        <v>1.7677928343609581E-2</v>
      </c>
      <c r="I24" s="54">
        <f>'Capex Category Summary (Alb)'!AQ25+'Capex Category Summary (Alb)'!AQ31</f>
        <v>1.7802784388660311E-2</v>
      </c>
      <c r="J24" s="54">
        <f>'Capex Category Summary (Alb)'!AR25+'Capex Category Summary (Alb)'!AR31</f>
        <v>1.7957171312785642E-2</v>
      </c>
      <c r="K24" s="95">
        <f>'Capex Category Summary (Alb)'!AS25+'Capex Category Summary (Alb)'!AS31</f>
        <v>1.8131584929640902E-2</v>
      </c>
      <c r="L24" s="52">
        <f>SUM(G24:K24)</f>
        <v>8.914693050909403E-2</v>
      </c>
      <c r="M24" s="32"/>
      <c r="N24" s="221"/>
    </row>
    <row r="25" spans="1:14" ht="18" customHeight="1" x14ac:dyDescent="0.2">
      <c r="A25" s="32"/>
      <c r="B25" s="147" t="s">
        <v>49</v>
      </c>
      <c r="C25" s="45"/>
      <c r="D25" s="453" t="s">
        <v>70</v>
      </c>
      <c r="E25" s="535"/>
      <c r="F25" s="52"/>
      <c r="G25" s="55">
        <f>'Capex Category Summary (Alb)'!AO12</f>
        <v>0.34051052926587566</v>
      </c>
      <c r="H25" s="54">
        <f>'Capex Category Summary (Alb)'!AP12</f>
        <v>0.34010912452541819</v>
      </c>
      <c r="I25" s="54">
        <f>'Capex Category Summary (Alb)'!AQ12</f>
        <v>0.34073162352275543</v>
      </c>
      <c r="J25" s="54">
        <f>'Capex Category Summary (Alb)'!AR12</f>
        <v>0.22294229423870676</v>
      </c>
      <c r="K25" s="95">
        <f>'Capex Category Summary (Alb)'!AS12</f>
        <v>0.22510767826333297</v>
      </c>
      <c r="L25" s="52">
        <f>SUM(G25:K25)</f>
        <v>1.4694012498160889</v>
      </c>
      <c r="M25" s="32"/>
    </row>
    <row r="26" spans="1:14" ht="18" customHeight="1" x14ac:dyDescent="0.2">
      <c r="A26" s="32"/>
      <c r="B26" s="147" t="s">
        <v>50</v>
      </c>
      <c r="C26" s="45"/>
      <c r="D26" s="452" t="s">
        <v>102</v>
      </c>
      <c r="E26" s="55"/>
      <c r="F26" s="52"/>
      <c r="G26" s="55">
        <f>'Capex Category Summary (Alb)'!AO68</f>
        <v>0</v>
      </c>
      <c r="H26" s="54">
        <f>'Capex Category Summary (Alb)'!AP68</f>
        <v>0</v>
      </c>
      <c r="I26" s="54">
        <f>'Capex Category Summary (Alb)'!AQ68</f>
        <v>0</v>
      </c>
      <c r="J26" s="54">
        <f>'Capex Category Summary (Alb)'!AR68</f>
        <v>0</v>
      </c>
      <c r="K26" s="95">
        <f>'Capex Category Summary (Alb)'!AS68</f>
        <v>0</v>
      </c>
      <c r="L26" s="52">
        <f t="shared" ref="L26:L29" si="4">SUM(G26:K26)</f>
        <v>0</v>
      </c>
      <c r="M26" s="32"/>
    </row>
    <row r="27" spans="1:14" ht="18" customHeight="1" x14ac:dyDescent="0.2">
      <c r="A27" s="32"/>
      <c r="B27" s="147" t="s">
        <v>1</v>
      </c>
      <c r="C27" s="45"/>
      <c r="D27" s="452" t="s">
        <v>1</v>
      </c>
      <c r="E27" s="55"/>
      <c r="F27" s="52"/>
      <c r="G27" s="55">
        <f>'Capex Category Summary (Alb)'!AO62</f>
        <v>0</v>
      </c>
      <c r="H27" s="54">
        <f>'Capex Category Summary (Alb)'!AP62</f>
        <v>0</v>
      </c>
      <c r="I27" s="54">
        <f>'Capex Category Summary (Alb)'!AQ62</f>
        <v>0</v>
      </c>
      <c r="J27" s="54">
        <f>'Capex Category Summary (Alb)'!AR62</f>
        <v>9.2262009654110452E-2</v>
      </c>
      <c r="K27" s="95">
        <f>'Capex Category Summary (Alb)'!AS62</f>
        <v>0</v>
      </c>
      <c r="L27" s="52">
        <f t="shared" si="4"/>
        <v>9.2262009654110452E-2</v>
      </c>
      <c r="M27" s="32"/>
    </row>
    <row r="28" spans="1:14" ht="18" customHeight="1" x14ac:dyDescent="0.2">
      <c r="A28" s="32"/>
      <c r="B28" s="147" t="s">
        <v>52</v>
      </c>
      <c r="C28" s="45"/>
      <c r="D28" s="452" t="s">
        <v>2</v>
      </c>
      <c r="E28" s="55"/>
      <c r="F28" s="52"/>
      <c r="G28" s="55">
        <f>'Capex Category Summary (Alb)'!AO64</f>
        <v>0.39083039702234029</v>
      </c>
      <c r="H28" s="54">
        <f>'Capex Category Summary (Alb)'!AP64</f>
        <v>0.82541130578771282</v>
      </c>
      <c r="I28" s="54">
        <f>'Capex Category Summary (Alb)'!AQ64</f>
        <v>0.5652223599903603</v>
      </c>
      <c r="J28" s="54">
        <f>'Capex Category Summary (Alb)'!AR64</f>
        <v>0.18139357712958271</v>
      </c>
      <c r="K28" s="95">
        <f>'Capex Category Summary (Alb)'!AS64</f>
        <v>0.21372890225519423</v>
      </c>
      <c r="L28" s="52">
        <f t="shared" si="4"/>
        <v>2.1765865421851904</v>
      </c>
      <c r="M28" s="32"/>
    </row>
    <row r="29" spans="1:14" ht="18" customHeight="1" x14ac:dyDescent="0.2">
      <c r="A29" s="32"/>
      <c r="B29" s="151" t="s">
        <v>53</v>
      </c>
      <c r="C29" s="45"/>
      <c r="D29" s="452"/>
      <c r="E29" s="55"/>
      <c r="F29" s="52"/>
      <c r="G29" s="55">
        <f>SUM(G30:G34)</f>
        <v>1.3662218905722878</v>
      </c>
      <c r="H29" s="54">
        <f t="shared" ref="H29:K29" si="5">SUM(H30:H34)</f>
        <v>1.3921062649545621</v>
      </c>
      <c r="I29" s="54">
        <f t="shared" si="5"/>
        <v>1.4206781848755856</v>
      </c>
      <c r="J29" s="54">
        <f t="shared" si="5"/>
        <v>1.4556260927517637</v>
      </c>
      <c r="K29" s="95">
        <f t="shared" si="5"/>
        <v>1.4903419014097974</v>
      </c>
      <c r="L29" s="52">
        <f t="shared" si="4"/>
        <v>7.124974334563996</v>
      </c>
      <c r="M29" s="32"/>
    </row>
    <row r="30" spans="1:14" ht="18" customHeight="1" x14ac:dyDescent="0.2">
      <c r="A30" s="32"/>
      <c r="B30" s="45"/>
      <c r="C30" s="152" t="s">
        <v>54</v>
      </c>
      <c r="D30" s="454" t="s">
        <v>102</v>
      </c>
      <c r="E30" s="199"/>
      <c r="F30" s="126"/>
      <c r="G30" s="127">
        <f>'Capex Category Summary (Alb)'!AO39</f>
        <v>0.46161363534241495</v>
      </c>
      <c r="H30" s="128">
        <f>'Capex Category Summary (Alb)'!AP39</f>
        <v>0.47045498046301093</v>
      </c>
      <c r="I30" s="128">
        <f>'Capex Category Summary (Alb)'!AQ39</f>
        <v>0.48012624403082693</v>
      </c>
      <c r="J30" s="128">
        <f>'Capex Category Summary (Alb)'!AR39</f>
        <v>0.4907980103671471</v>
      </c>
      <c r="K30" s="129">
        <f>'Capex Category Summary (Alb)'!AS39</f>
        <v>0.50224369172417527</v>
      </c>
      <c r="L30" s="126"/>
      <c r="M30" s="32"/>
    </row>
    <row r="31" spans="1:14" ht="18" customHeight="1" x14ac:dyDescent="0.2">
      <c r="A31" s="32"/>
      <c r="B31" s="45"/>
      <c r="C31" s="153" t="s">
        <v>55</v>
      </c>
      <c r="D31" s="455" t="s">
        <v>102</v>
      </c>
      <c r="E31" s="55"/>
      <c r="F31" s="54"/>
      <c r="G31" s="130">
        <f>'Capex Category Summary (Alb)'!AO55</f>
        <v>0.61362403399671073</v>
      </c>
      <c r="H31" s="50">
        <f>'Capex Category Summary (Alb)'!AP55</f>
        <v>0.62695238068405512</v>
      </c>
      <c r="I31" s="50">
        <f>'Capex Category Summary (Alb)'!AQ55</f>
        <v>0.6414448131889362</v>
      </c>
      <c r="J31" s="50">
        <f>'Capex Category Summary (Alb)'!AR55</f>
        <v>0.65733776614348249</v>
      </c>
      <c r="K31" s="131">
        <f>'Capex Category Summary (Alb)'!AS55</f>
        <v>0.67433662991188004</v>
      </c>
      <c r="L31" s="54"/>
      <c r="M31" s="32"/>
    </row>
    <row r="32" spans="1:14" ht="18" customHeight="1" x14ac:dyDescent="0.2">
      <c r="A32" s="32"/>
      <c r="B32" s="45"/>
      <c r="C32" s="153" t="s">
        <v>56</v>
      </c>
      <c r="D32" s="455" t="s">
        <v>70</v>
      </c>
      <c r="E32" s="55"/>
      <c r="F32" s="54"/>
      <c r="G32" s="130">
        <f>'Capex Category Summary (Alb)'!AO46</f>
        <v>0.29098422123316203</v>
      </c>
      <c r="H32" s="50">
        <f>'Capex Category Summary (Alb)'!AP46</f>
        <v>0.29469890380749603</v>
      </c>
      <c r="I32" s="50">
        <f>'Capex Category Summary (Alb)'!AQ46</f>
        <v>0.29910712765582259</v>
      </c>
      <c r="J32" s="50">
        <f>'Capex Category Summary (Alb)'!AR46</f>
        <v>0.30749031624113421</v>
      </c>
      <c r="K32" s="131">
        <f>'Capex Category Summary (Alb)'!AS46</f>
        <v>0.31376157977374208</v>
      </c>
      <c r="L32" s="54"/>
      <c r="M32" s="32"/>
    </row>
    <row r="33" spans="1:13" ht="18" customHeight="1" x14ac:dyDescent="0.2">
      <c r="A33" s="32"/>
      <c r="B33" s="45"/>
      <c r="C33" s="153" t="s">
        <v>57</v>
      </c>
      <c r="D33" s="153"/>
      <c r="E33" s="55"/>
      <c r="F33" s="54"/>
      <c r="G33" s="130">
        <f>'Capex Category Summary (Alb)'!AO67</f>
        <v>0</v>
      </c>
      <c r="H33" s="50">
        <f>'Capex Category Summary (Alb)'!AP67</f>
        <v>0</v>
      </c>
      <c r="I33" s="50">
        <f>'Capex Category Summary (Alb)'!AQ67</f>
        <v>0</v>
      </c>
      <c r="J33" s="50">
        <f>'Capex Category Summary (Alb)'!AR67</f>
        <v>0</v>
      </c>
      <c r="K33" s="131">
        <f>'Capex Category Summary (Alb)'!AS67</f>
        <v>0</v>
      </c>
      <c r="L33" s="54"/>
      <c r="M33" s="32"/>
    </row>
    <row r="34" spans="1:13" ht="18" customHeight="1" x14ac:dyDescent="0.2">
      <c r="A34" s="32"/>
      <c r="B34" s="154"/>
      <c r="C34" s="155" t="s">
        <v>58</v>
      </c>
      <c r="D34" s="155"/>
      <c r="E34" s="133"/>
      <c r="F34" s="132"/>
      <c r="G34" s="130">
        <f>'Capex Category Summary (Alb)'!AO69</f>
        <v>0</v>
      </c>
      <c r="H34" s="50">
        <f>'Capex Category Summary (Alb)'!AP69</f>
        <v>0</v>
      </c>
      <c r="I34" s="50">
        <f>'Capex Category Summary (Alb)'!AQ69</f>
        <v>0</v>
      </c>
      <c r="J34" s="50">
        <f>'Capex Category Summary (Alb)'!AR69</f>
        <v>0</v>
      </c>
      <c r="K34" s="131">
        <f>'Capex Category Summary (Alb)'!AS69</f>
        <v>0</v>
      </c>
      <c r="L34" s="132"/>
      <c r="M34" s="32"/>
    </row>
    <row r="35" spans="1:13" ht="18" customHeight="1" x14ac:dyDescent="0.2">
      <c r="A35" s="32"/>
      <c r="B35" s="147" t="s">
        <v>96</v>
      </c>
      <c r="C35" s="45"/>
      <c r="D35" s="455" t="s">
        <v>96</v>
      </c>
      <c r="E35" s="55"/>
      <c r="F35" s="52"/>
      <c r="G35" s="141">
        <f>'Capex Category Summary (Alb)'!AO65+'Capex Category Summary (Alb)'!AO66+'Capex Category Summary (Alb)'!AO63</f>
        <v>7.1838376401355902E-2</v>
      </c>
      <c r="H35" s="142">
        <f>'Capex Category Summary (Alb)'!AP65+'Capex Category Summary (Alb)'!AP66+'Capex Category Summary (Alb)'!AP63</f>
        <v>0.10630921372113852</v>
      </c>
      <c r="I35" s="142">
        <f>'Capex Category Summary (Alb)'!AQ65+'Capex Category Summary (Alb)'!AQ66+'Capex Category Summary (Alb)'!AQ63</f>
        <v>0.10706005667737624</v>
      </c>
      <c r="J35" s="142">
        <f>'Capex Category Summary (Alb)'!AR65+'Capex Category Summary (Alb)'!AR66+'Capex Category Summary (Alb)'!AR63</f>
        <v>9.4358873509885699E-2</v>
      </c>
      <c r="K35" s="143">
        <f>'Capex Category Summary (Alb)'!AS65+'Capex Category Summary (Alb)'!AS66+'Capex Category Summary (Alb)'!AS63</f>
        <v>2.4348147093069601E-2</v>
      </c>
      <c r="L35" s="52">
        <f t="shared" ref="L35" si="6">SUM(G35:K35)</f>
        <v>0.40391466740282594</v>
      </c>
      <c r="M35" s="32"/>
    </row>
    <row r="36" spans="1:13" ht="18" customHeight="1" thickBot="1" x14ac:dyDescent="0.25">
      <c r="A36" s="32"/>
      <c r="B36" s="149" t="s">
        <v>45</v>
      </c>
      <c r="C36" s="150"/>
      <c r="D36" s="150"/>
      <c r="E36" s="100"/>
      <c r="F36" s="99"/>
      <c r="G36" s="144">
        <f t="shared" ref="G36:K36" si="7">SUM(G24:G29,G35:G35)</f>
        <v>2.1869786547962571</v>
      </c>
      <c r="H36" s="145">
        <f t="shared" si="7"/>
        <v>2.6816138373324416</v>
      </c>
      <c r="I36" s="145">
        <f t="shared" si="7"/>
        <v>2.4514950094547379</v>
      </c>
      <c r="J36" s="145">
        <f t="shared" si="7"/>
        <v>2.0645400185968352</v>
      </c>
      <c r="K36" s="145">
        <f t="shared" si="7"/>
        <v>1.971658213951035</v>
      </c>
      <c r="L36" s="100">
        <f>SUM(G36:K36)</f>
        <v>11.356285734131305</v>
      </c>
      <c r="M36" s="32"/>
    </row>
    <row r="37" spans="1:13" x14ac:dyDescent="0.2">
      <c r="A37" s="32"/>
      <c r="B37" s="32"/>
      <c r="C37" s="66"/>
      <c r="D37" s="66"/>
      <c r="E37" s="66"/>
      <c r="F37" s="140"/>
      <c r="G37" s="140"/>
      <c r="H37" s="140"/>
      <c r="I37" s="140"/>
      <c r="J37" s="140"/>
      <c r="K37" s="140"/>
      <c r="L37" s="140"/>
      <c r="M37" s="32"/>
    </row>
    <row r="38" spans="1:13" ht="24" customHeight="1" x14ac:dyDescent="0.2">
      <c r="A38" s="69"/>
      <c r="B38" s="354" t="s">
        <v>190</v>
      </c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69"/>
    </row>
    <row r="39" spans="1:13" x14ac:dyDescent="0.2">
      <c r="A39" s="32"/>
      <c r="B39" s="32"/>
      <c r="C39" s="12"/>
      <c r="D39" s="12"/>
      <c r="E39" s="55"/>
      <c r="F39" s="54"/>
      <c r="G39" s="55"/>
      <c r="H39" s="54"/>
      <c r="I39" s="54"/>
      <c r="J39" s="54"/>
      <c r="K39" s="95"/>
      <c r="L39" s="54"/>
      <c r="M39" s="45"/>
    </row>
    <row r="40" spans="1:13" ht="18" customHeight="1" x14ac:dyDescent="0.2">
      <c r="A40" s="32"/>
      <c r="B40" s="12" t="s">
        <v>48</v>
      </c>
      <c r="C40" s="45"/>
      <c r="D40" s="452" t="s">
        <v>102</v>
      </c>
      <c r="E40" s="55"/>
      <c r="F40" s="52"/>
      <c r="G40" s="55">
        <f>SUM('Overheads (Alb)'!F12:F20)</f>
        <v>1.8587828869679041E-2</v>
      </c>
      <c r="H40" s="54">
        <f>SUM('Overheads (Alb)'!G12:G20)</f>
        <v>1.8564696459979799E-2</v>
      </c>
      <c r="I40" s="54">
        <f>SUM('Overheads (Alb)'!H12:H20)</f>
        <v>1.8749889117548338E-2</v>
      </c>
      <c r="J40" s="54">
        <f>SUM('Overheads (Alb)'!I12:I20)</f>
        <v>1.9031617967185395E-2</v>
      </c>
      <c r="K40" s="95">
        <f>SUM('Overheads (Alb)'!J12:J20)</f>
        <v>1.9252366504179948E-2</v>
      </c>
      <c r="L40" s="136">
        <f>SUM(G40:K40)</f>
        <v>9.4186398918572528E-2</v>
      </c>
      <c r="M40" s="45"/>
    </row>
    <row r="41" spans="1:13" ht="18" customHeight="1" x14ac:dyDescent="0.2">
      <c r="A41" s="32"/>
      <c r="B41" s="147" t="s">
        <v>49</v>
      </c>
      <c r="C41" s="45"/>
      <c r="D41" s="453" t="s">
        <v>70</v>
      </c>
      <c r="E41" s="535"/>
      <c r="F41" s="52"/>
      <c r="G41" s="55">
        <f>SUM('Overheads (Alb)'!F10:F11)</f>
        <v>0.36008336209025016</v>
      </c>
      <c r="H41" s="54">
        <f>SUM('Overheads (Alb)'!G10:G11)</f>
        <v>0.35716982993464419</v>
      </c>
      <c r="I41" s="54">
        <f>SUM('Overheads (Alb)'!H10:H11)</f>
        <v>0.35885848080950944</v>
      </c>
      <c r="J41" s="54">
        <f>SUM('Overheads (Alb)'!I10:I11)</f>
        <v>0.23628178952984041</v>
      </c>
      <c r="K41" s="95">
        <f>SUM('Overheads (Alb)'!J10:J11)</f>
        <v>0.23902243194117398</v>
      </c>
      <c r="L41" s="136">
        <f>SUM(G41:K41)</f>
        <v>1.5514158943054182</v>
      </c>
      <c r="M41" s="45"/>
    </row>
    <row r="42" spans="1:13" ht="18" customHeight="1" x14ac:dyDescent="0.2">
      <c r="A42" s="32"/>
      <c r="B42" s="147" t="s">
        <v>50</v>
      </c>
      <c r="C42" s="45"/>
      <c r="D42" s="452" t="s">
        <v>102</v>
      </c>
      <c r="E42" s="55"/>
      <c r="F42" s="52"/>
      <c r="G42" s="55">
        <f>'Overheads (Alb)'!F39</f>
        <v>0</v>
      </c>
      <c r="H42" s="54">
        <f>'Overheads (Alb)'!G39</f>
        <v>0</v>
      </c>
      <c r="I42" s="54">
        <f>'Overheads (Alb)'!H39</f>
        <v>0</v>
      </c>
      <c r="J42" s="54">
        <f>'Overheads (Alb)'!I39</f>
        <v>0</v>
      </c>
      <c r="K42" s="95">
        <f>'Overheads (Alb)'!J39</f>
        <v>0</v>
      </c>
      <c r="L42" s="136">
        <f t="shared" ref="L42:L51" si="8">SUM(G42:K42)</f>
        <v>0</v>
      </c>
      <c r="M42" s="45"/>
    </row>
    <row r="43" spans="1:13" ht="18" customHeight="1" x14ac:dyDescent="0.2">
      <c r="A43" s="32"/>
      <c r="B43" s="147" t="s">
        <v>1</v>
      </c>
      <c r="C43" s="45"/>
      <c r="D43" s="452" t="s">
        <v>1</v>
      </c>
      <c r="E43" s="55"/>
      <c r="F43" s="52"/>
      <c r="G43" s="55">
        <f>'Overheads (Alb)'!F33</f>
        <v>0</v>
      </c>
      <c r="H43" s="54">
        <f>'Overheads (Alb)'!G33</f>
        <v>0</v>
      </c>
      <c r="I43" s="54">
        <f>'Overheads (Alb)'!H33</f>
        <v>0</v>
      </c>
      <c r="J43" s="54">
        <f>'Overheads (Alb)'!I33</f>
        <v>9.7782400693119761E-2</v>
      </c>
      <c r="K43" s="95">
        <f>'Overheads (Alb)'!J33</f>
        <v>0</v>
      </c>
      <c r="L43" s="136">
        <f t="shared" si="8"/>
        <v>9.7782400693119761E-2</v>
      </c>
      <c r="M43" s="45"/>
    </row>
    <row r="44" spans="1:13" ht="18" customHeight="1" x14ac:dyDescent="0.2">
      <c r="A44" s="32"/>
      <c r="B44" s="147" t="s">
        <v>52</v>
      </c>
      <c r="C44" s="45"/>
      <c r="D44" s="452" t="s">
        <v>2</v>
      </c>
      <c r="E44" s="55"/>
      <c r="F44" s="52"/>
      <c r="G44" s="55">
        <f>'Overheads (Alb)'!F35</f>
        <v>0.41329565834654802</v>
      </c>
      <c r="H44" s="54">
        <f>'Overheads (Alb)'!G35</f>
        <v>0.86681595539580147</v>
      </c>
      <c r="I44" s="54">
        <f>'Overheads (Alb)'!H35</f>
        <v>0.59529208157622093</v>
      </c>
      <c r="J44" s="54">
        <f>'Overheads (Alb)'!I35</f>
        <v>0.19224705280688581</v>
      </c>
      <c r="K44" s="95">
        <f>'Overheads (Alb)'!J35</f>
        <v>0.22694029091887807</v>
      </c>
      <c r="L44" s="136">
        <f t="shared" si="8"/>
        <v>2.2945910390443345</v>
      </c>
      <c r="M44" s="45"/>
    </row>
    <row r="45" spans="1:13" ht="18" customHeight="1" x14ac:dyDescent="0.2">
      <c r="A45" s="32"/>
      <c r="B45" s="151" t="s">
        <v>53</v>
      </c>
      <c r="C45" s="45"/>
      <c r="D45" s="452"/>
      <c r="E45" s="55"/>
      <c r="F45" s="52"/>
      <c r="G45" s="55">
        <f>SUM(G46:G50)</f>
        <v>1.4447534787813932</v>
      </c>
      <c r="H45" s="54">
        <f t="shared" ref="H45:K45" si="9">SUM(H46:H50)</f>
        <v>1.4619377195439338</v>
      </c>
      <c r="I45" s="54">
        <f t="shared" si="9"/>
        <v>1.4962579929409343</v>
      </c>
      <c r="J45" s="54">
        <f t="shared" si="9"/>
        <v>1.5427218027704428</v>
      </c>
      <c r="K45" s="95">
        <f t="shared" si="9"/>
        <v>1.5824655491408326</v>
      </c>
      <c r="L45" s="136">
        <f t="shared" si="8"/>
        <v>7.5281365431775358</v>
      </c>
      <c r="M45" s="45"/>
    </row>
    <row r="46" spans="1:13" ht="18" customHeight="1" x14ac:dyDescent="0.2">
      <c r="A46" s="32"/>
      <c r="B46" s="45"/>
      <c r="C46" s="152" t="s">
        <v>54</v>
      </c>
      <c r="D46" s="454" t="s">
        <v>102</v>
      </c>
      <c r="E46" s="199"/>
      <c r="F46" s="126"/>
      <c r="G46" s="127">
        <f>'Overheads (Alb)'!F21+'Overheads (Alb)'!F22+'Overheads (Alb)'!F23</f>
        <v>0.48814757699023437</v>
      </c>
      <c r="H46" s="128">
        <f>'Overheads (Alb)'!G21+'Overheads (Alb)'!G22+'Overheads (Alb)'!G23</f>
        <v>0.4940541527615559</v>
      </c>
      <c r="I46" s="128">
        <f>'Overheads (Alb)'!H21+'Overheads (Alb)'!H22+'Overheads (Alb)'!H23</f>
        <v>0.50566886850222648</v>
      </c>
      <c r="J46" s="128">
        <f>'Overheads (Alb)'!I21+'Overheads (Alb)'!I22+'Overheads (Alb)'!I23</f>
        <v>0.52016434379682086</v>
      </c>
      <c r="K46" s="129">
        <f>'Overheads (Alb)'!J21+'Overheads (Alb)'!J22+'Overheads (Alb)'!J23</f>
        <v>0.53328926649313568</v>
      </c>
      <c r="L46" s="137"/>
      <c r="M46" s="45"/>
    </row>
    <row r="47" spans="1:13" ht="18" customHeight="1" x14ac:dyDescent="0.2">
      <c r="A47" s="32"/>
      <c r="B47" s="45"/>
      <c r="C47" s="153" t="s">
        <v>55</v>
      </c>
      <c r="D47" s="455" t="s">
        <v>102</v>
      </c>
      <c r="E47" s="55"/>
      <c r="F47" s="54"/>
      <c r="G47" s="130">
        <f>'Overheads (Alb)'!F26+'Overheads (Alb)'!F27+'Overheads (Alb)'!F28+'Overheads (Alb)'!F29</f>
        <v>0.64889566175027746</v>
      </c>
      <c r="H47" s="50">
        <f>'Overheads (Alb)'!G26+'Overheads (Alb)'!G27+'Overheads (Alb)'!G28+'Overheads (Alb)'!G29</f>
        <v>0.65840184528571477</v>
      </c>
      <c r="I47" s="50">
        <f>'Overheads (Alb)'!H26+'Overheads (Alb)'!H27+'Overheads (Alb)'!H28+'Overheads (Alb)'!H29</f>
        <v>0.67556955472537272</v>
      </c>
      <c r="J47" s="50">
        <f>'Overheads (Alb)'!I26+'Overheads (Alb)'!I27+'Overheads (Alb)'!I28+'Overheads (Alb)'!I29</f>
        <v>0.69666881396506231</v>
      </c>
      <c r="K47" s="131">
        <f>'Overheads (Alb)'!J26+'Overheads (Alb)'!J27+'Overheads (Alb)'!J28+'Overheads (Alb)'!J29</f>
        <v>0.71601991754364458</v>
      </c>
      <c r="L47" s="135"/>
      <c r="M47" s="45"/>
    </row>
    <row r="48" spans="1:13" ht="18" customHeight="1" x14ac:dyDescent="0.2">
      <c r="A48" s="32"/>
      <c r="B48" s="45"/>
      <c r="C48" s="153" t="s">
        <v>56</v>
      </c>
      <c r="D48" s="455" t="s">
        <v>70</v>
      </c>
      <c r="E48" s="55"/>
      <c r="F48" s="54"/>
      <c r="G48" s="130">
        <f>'Overheads (Alb)'!F24+'Overheads (Alb)'!F25</f>
        <v>0.30771024004088132</v>
      </c>
      <c r="H48" s="50">
        <f>'Overheads (Alb)'!G24+'Overheads (Alb)'!G25</f>
        <v>0.3094817214966632</v>
      </c>
      <c r="I48" s="50">
        <f>'Overheads (Alb)'!H24+'Overheads (Alb)'!H25</f>
        <v>0.31501956971333511</v>
      </c>
      <c r="J48" s="50">
        <f>'Overheads (Alb)'!I24+'Overheads (Alb)'!I25</f>
        <v>0.32588864500855952</v>
      </c>
      <c r="K48" s="131">
        <f>'Overheads (Alb)'!J24+'Overheads (Alb)'!J25</f>
        <v>0.33315636510405228</v>
      </c>
      <c r="L48" s="135"/>
      <c r="M48" s="45"/>
    </row>
    <row r="49" spans="1:15" ht="18" customHeight="1" x14ac:dyDescent="0.2">
      <c r="A49" s="32"/>
      <c r="B49" s="45"/>
      <c r="C49" s="153" t="s">
        <v>57</v>
      </c>
      <c r="D49" s="153"/>
      <c r="E49" s="55"/>
      <c r="F49" s="54"/>
      <c r="G49" s="130">
        <f>'Overheads (Alb)'!F38</f>
        <v>0</v>
      </c>
      <c r="H49" s="50">
        <f>'Overheads (Alb)'!G38</f>
        <v>0</v>
      </c>
      <c r="I49" s="50">
        <f>'Overheads (Alb)'!H38</f>
        <v>0</v>
      </c>
      <c r="J49" s="50">
        <f>'Overheads (Alb)'!I38</f>
        <v>0</v>
      </c>
      <c r="K49" s="131">
        <f>'Overheads (Alb)'!J38</f>
        <v>0</v>
      </c>
      <c r="L49" s="135"/>
      <c r="M49" s="45"/>
    </row>
    <row r="50" spans="1:15" ht="18" customHeight="1" x14ac:dyDescent="0.2">
      <c r="A50" s="32"/>
      <c r="B50" s="154"/>
      <c r="C50" s="155" t="s">
        <v>58</v>
      </c>
      <c r="D50" s="155"/>
      <c r="E50" s="133"/>
      <c r="F50" s="132"/>
      <c r="G50" s="130">
        <f>'Overheads (Alb)'!F40</f>
        <v>0</v>
      </c>
      <c r="H50" s="50">
        <f>'Overheads (Alb)'!G40</f>
        <v>0</v>
      </c>
      <c r="I50" s="50">
        <f>'Overheads (Alb)'!H40</f>
        <v>0</v>
      </c>
      <c r="J50" s="50">
        <f>'Overheads (Alb)'!I40</f>
        <v>0</v>
      </c>
      <c r="K50" s="131">
        <f>'Overheads (Alb)'!J40</f>
        <v>0</v>
      </c>
      <c r="L50" s="138"/>
      <c r="M50" s="45"/>
    </row>
    <row r="51" spans="1:15" ht="18" customHeight="1" x14ac:dyDescent="0.2">
      <c r="A51" s="32"/>
      <c r="B51" s="147" t="s">
        <v>96</v>
      </c>
      <c r="C51" s="45"/>
      <c r="D51" s="455" t="s">
        <v>96</v>
      </c>
      <c r="E51" s="55"/>
      <c r="F51" s="52"/>
      <c r="G51" s="141">
        <f>'Overheads (Alb)'!F34+'Overheads (Alb)'!F36+'Overheads (Alb)'!F37</f>
        <v>7.5967706953070924E-2</v>
      </c>
      <c r="H51" s="142">
        <f>'Overheads (Alb)'!G34+'Overheads (Alb)'!G36+'Overheads (Alb)'!G37</f>
        <v>0.11164194385624915</v>
      </c>
      <c r="I51" s="142">
        <f>'Overheads (Alb)'!H34+'Overheads (Alb)'!H36+'Overheads (Alb)'!H37</f>
        <v>0.11275563124259702</v>
      </c>
      <c r="J51" s="142">
        <f>'Overheads (Alb)'!I34+'Overheads (Alb)'!I36+'Overheads (Alb)'!I37</f>
        <v>0.10000472798159976</v>
      </c>
      <c r="K51" s="143">
        <f>'Overheads (Alb)'!J34+'Overheads (Alb)'!J36+'Overheads (Alb)'!J37</f>
        <v>2.5853197795585287E-2</v>
      </c>
      <c r="L51" s="136">
        <f t="shared" si="8"/>
        <v>0.42622320782910217</v>
      </c>
      <c r="M51" s="45"/>
    </row>
    <row r="52" spans="1:15" ht="18" customHeight="1" thickBot="1" x14ac:dyDescent="0.25">
      <c r="A52" s="32"/>
      <c r="B52" s="149" t="s">
        <v>45</v>
      </c>
      <c r="C52" s="150"/>
      <c r="D52" s="150"/>
      <c r="E52" s="100"/>
      <c r="F52" s="99"/>
      <c r="G52" s="144">
        <f t="shared" ref="G52:K52" si="10">SUM(G40:G45,G51:G51)</f>
        <v>2.3126880350409413</v>
      </c>
      <c r="H52" s="145">
        <f t="shared" si="10"/>
        <v>2.8161301451906087</v>
      </c>
      <c r="I52" s="145">
        <f t="shared" si="10"/>
        <v>2.58191407568681</v>
      </c>
      <c r="J52" s="145">
        <f t="shared" si="10"/>
        <v>2.1880693917490737</v>
      </c>
      <c r="K52" s="145">
        <f t="shared" si="10"/>
        <v>2.0935338363006499</v>
      </c>
      <c r="L52" s="100">
        <f>SUM(G52:K52)</f>
        <v>11.992335483968084</v>
      </c>
      <c r="M52" s="106"/>
      <c r="N52" s="221"/>
      <c r="O52" s="221"/>
    </row>
    <row r="53" spans="1:15" ht="15" x14ac:dyDescent="0.25">
      <c r="A53" s="32"/>
      <c r="B53" s="105"/>
      <c r="C53" s="105"/>
      <c r="D53" s="105"/>
      <c r="E53" s="139"/>
      <c r="F53" s="140"/>
      <c r="G53" s="140"/>
      <c r="H53" s="140"/>
      <c r="I53" s="140"/>
      <c r="J53" s="140"/>
      <c r="K53" s="140"/>
      <c r="L53" s="140"/>
      <c r="M53" s="106"/>
    </row>
    <row r="54" spans="1:15" ht="15" x14ac:dyDescent="0.25">
      <c r="A54" s="32"/>
      <c r="B54" s="105"/>
      <c r="C54" s="105"/>
      <c r="D54" s="105"/>
      <c r="E54" s="139"/>
      <c r="F54" s="49"/>
      <c r="G54" s="139"/>
      <c r="H54" s="139"/>
      <c r="I54" s="139"/>
      <c r="J54" s="139"/>
      <c r="K54" s="139"/>
      <c r="L54" s="139"/>
      <c r="M54" s="139"/>
    </row>
    <row r="55" spans="1:15" ht="15" x14ac:dyDescent="0.25">
      <c r="B55" s="107"/>
      <c r="C55" s="107"/>
      <c r="D55" s="107"/>
      <c r="E55" s="108"/>
      <c r="F55" s="108"/>
      <c r="G55" s="108"/>
      <c r="H55" s="108"/>
      <c r="I55" s="108"/>
      <c r="J55" s="108"/>
      <c r="K55" s="108"/>
      <c r="L55" s="108"/>
      <c r="M55" s="109"/>
    </row>
    <row r="56" spans="1:15" ht="15" x14ac:dyDescent="0.25">
      <c r="B56" s="107"/>
      <c r="C56" s="107"/>
      <c r="D56" s="107"/>
      <c r="E56" s="108"/>
      <c r="F56" s="108"/>
      <c r="G56" s="108"/>
      <c r="H56" s="108"/>
      <c r="I56" s="108"/>
      <c r="J56" s="108"/>
      <c r="K56" s="108"/>
      <c r="L56" s="108"/>
      <c r="M56" s="109"/>
    </row>
    <row r="57" spans="1:15" ht="15" x14ac:dyDescent="0.25">
      <c r="B57" s="107"/>
      <c r="C57" s="107"/>
      <c r="D57" s="107"/>
      <c r="E57" s="108"/>
      <c r="F57" s="108"/>
      <c r="G57" s="108"/>
      <c r="H57" s="108"/>
      <c r="I57" s="108"/>
      <c r="J57" s="108"/>
      <c r="K57" s="108"/>
      <c r="L57" s="108"/>
      <c r="M57" s="109"/>
    </row>
    <row r="58" spans="1:15" ht="15" x14ac:dyDescent="0.25">
      <c r="B58" s="107"/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9"/>
    </row>
    <row r="59" spans="1:15" ht="15" x14ac:dyDescent="0.25">
      <c r="B59" s="107"/>
      <c r="C59" s="107"/>
      <c r="D59" s="107"/>
      <c r="E59" s="108"/>
      <c r="F59" s="108"/>
      <c r="G59" s="108"/>
      <c r="H59" s="108"/>
      <c r="I59" s="108"/>
      <c r="J59" s="108"/>
      <c r="K59" s="108"/>
      <c r="L59" s="108"/>
      <c r="M59" s="109"/>
    </row>
    <row r="60" spans="1:15" ht="15" x14ac:dyDescent="0.25">
      <c r="B60" s="107"/>
      <c r="C60" s="107"/>
      <c r="D60" s="107"/>
      <c r="E60" s="108"/>
      <c r="F60" s="108"/>
      <c r="G60" s="108"/>
      <c r="H60" s="108"/>
      <c r="I60" s="108"/>
      <c r="J60" s="108"/>
      <c r="K60" s="108"/>
      <c r="L60" s="108"/>
      <c r="M60" s="109"/>
    </row>
    <row r="61" spans="1:15" ht="15" x14ac:dyDescent="0.25">
      <c r="B61" s="107"/>
      <c r="C61" s="107"/>
      <c r="D61" s="107"/>
      <c r="E61" s="108"/>
      <c r="F61" s="108"/>
      <c r="G61" s="108"/>
      <c r="H61" s="108"/>
      <c r="I61" s="108"/>
      <c r="J61" s="108"/>
      <c r="K61" s="108"/>
      <c r="L61" s="108"/>
      <c r="M61" s="109"/>
    </row>
    <row r="62" spans="1:15" ht="15" x14ac:dyDescent="0.25">
      <c r="B62" s="107"/>
      <c r="C62" s="107"/>
      <c r="D62" s="107"/>
      <c r="E62" s="108"/>
      <c r="F62" s="108"/>
      <c r="G62" s="108"/>
      <c r="H62" s="108"/>
      <c r="I62" s="108"/>
      <c r="J62" s="108"/>
      <c r="K62" s="108"/>
      <c r="L62" s="108"/>
      <c r="M62" s="109"/>
    </row>
    <row r="63" spans="1:15" ht="15" x14ac:dyDescent="0.25">
      <c r="B63" s="107"/>
      <c r="C63" s="107"/>
      <c r="D63" s="107"/>
      <c r="E63" s="108"/>
      <c r="F63" s="108"/>
      <c r="G63" s="108"/>
      <c r="H63" s="108"/>
      <c r="I63" s="108"/>
      <c r="J63" s="108"/>
      <c r="K63" s="108"/>
      <c r="L63" s="108"/>
      <c r="M63" s="109"/>
    </row>
    <row r="64" spans="1:15" ht="15" x14ac:dyDescent="0.25">
      <c r="B64" s="107"/>
      <c r="C64" s="107"/>
      <c r="D64" s="107"/>
      <c r="E64" s="108"/>
      <c r="F64" s="108"/>
      <c r="G64" s="108"/>
      <c r="H64" s="108"/>
      <c r="I64" s="108"/>
      <c r="J64" s="108"/>
      <c r="K64" s="108"/>
      <c r="L64" s="108"/>
      <c r="M64" s="109"/>
    </row>
    <row r="65" spans="2:13" ht="15" x14ac:dyDescent="0.25">
      <c r="B65" s="107"/>
      <c r="C65" s="107"/>
      <c r="D65" s="107"/>
      <c r="E65" s="108"/>
      <c r="F65" s="108"/>
      <c r="G65" s="108"/>
      <c r="H65" s="108"/>
      <c r="I65" s="108"/>
      <c r="J65" s="108"/>
      <c r="K65" s="108"/>
      <c r="L65" s="108"/>
      <c r="M65" s="109"/>
    </row>
    <row r="66" spans="2:13" ht="15" x14ac:dyDescent="0.25">
      <c r="B66" s="107"/>
      <c r="C66" s="107"/>
      <c r="D66" s="107"/>
      <c r="E66" s="108"/>
      <c r="F66" s="108"/>
      <c r="G66" s="108"/>
      <c r="H66" s="108"/>
      <c r="I66" s="108"/>
      <c r="J66" s="108"/>
      <c r="K66" s="108"/>
      <c r="L66" s="108"/>
      <c r="M66" s="109"/>
    </row>
    <row r="67" spans="2:13" ht="15" x14ac:dyDescent="0.25">
      <c r="B67" s="107"/>
      <c r="C67" s="107"/>
      <c r="D67" s="107"/>
      <c r="E67" s="108"/>
      <c r="F67" s="108"/>
      <c r="G67" s="108"/>
      <c r="H67" s="108"/>
      <c r="I67" s="108"/>
      <c r="J67" s="108"/>
      <c r="K67" s="108"/>
      <c r="L67" s="108"/>
      <c r="M67" s="109"/>
    </row>
    <row r="68" spans="2:13" ht="15" x14ac:dyDescent="0.25">
      <c r="B68" s="107"/>
      <c r="C68" s="107"/>
      <c r="D68" s="107"/>
      <c r="E68" s="108"/>
      <c r="F68" s="108"/>
      <c r="G68" s="108"/>
      <c r="H68" s="108"/>
      <c r="I68" s="108"/>
      <c r="J68" s="108"/>
      <c r="K68" s="108"/>
      <c r="L68" s="108"/>
      <c r="M68" s="109"/>
    </row>
    <row r="69" spans="2:13" ht="15" x14ac:dyDescent="0.25">
      <c r="B69" s="107"/>
      <c r="C69" s="107"/>
      <c r="D69" s="107"/>
      <c r="E69" s="108"/>
      <c r="F69" s="108"/>
      <c r="G69" s="108"/>
      <c r="H69" s="108"/>
      <c r="I69" s="108"/>
      <c r="J69" s="108"/>
      <c r="K69" s="108"/>
      <c r="L69" s="108"/>
      <c r="M69" s="109"/>
    </row>
    <row r="70" spans="2:13" ht="15" x14ac:dyDescent="0.25">
      <c r="B70" s="107"/>
      <c r="C70" s="107"/>
      <c r="D70" s="107"/>
      <c r="E70" s="108"/>
      <c r="F70" s="108"/>
      <c r="G70" s="108"/>
      <c r="H70" s="108"/>
      <c r="I70" s="108"/>
      <c r="J70" s="108"/>
      <c r="K70" s="108"/>
      <c r="L70" s="108"/>
      <c r="M70" s="109"/>
    </row>
    <row r="71" spans="2:13" ht="15" x14ac:dyDescent="0.25">
      <c r="B71" s="107"/>
      <c r="C71" s="107"/>
      <c r="D71" s="107"/>
      <c r="E71" s="108"/>
      <c r="F71" s="108"/>
      <c r="G71" s="108"/>
      <c r="H71" s="108"/>
      <c r="I71" s="108"/>
      <c r="J71" s="108"/>
      <c r="K71" s="108"/>
      <c r="L71" s="108"/>
      <c r="M71" s="109"/>
    </row>
    <row r="72" spans="2:13" ht="15" x14ac:dyDescent="0.25">
      <c r="B72" s="107"/>
      <c r="C72" s="107"/>
      <c r="D72" s="107"/>
      <c r="E72" s="108"/>
      <c r="F72" s="108"/>
      <c r="G72" s="108"/>
      <c r="H72" s="108"/>
      <c r="I72" s="108"/>
      <c r="J72" s="108"/>
      <c r="K72" s="108"/>
      <c r="L72" s="108"/>
      <c r="M72" s="109"/>
    </row>
    <row r="73" spans="2:13" ht="15" x14ac:dyDescent="0.25">
      <c r="B73" s="107"/>
      <c r="C73" s="107"/>
      <c r="D73" s="107"/>
      <c r="E73" s="108"/>
      <c r="F73" s="108"/>
      <c r="G73" s="108"/>
      <c r="H73" s="108"/>
      <c r="I73" s="108"/>
      <c r="J73" s="108"/>
      <c r="K73" s="108"/>
      <c r="L73" s="108"/>
      <c r="M73" s="109"/>
    </row>
    <row r="74" spans="2:13" ht="15" x14ac:dyDescent="0.25">
      <c r="B74" s="107"/>
      <c r="C74" s="107"/>
      <c r="D74" s="107"/>
      <c r="E74" s="108"/>
      <c r="F74" s="108"/>
      <c r="G74" s="108"/>
      <c r="H74" s="108"/>
      <c r="I74" s="108"/>
      <c r="J74" s="108"/>
      <c r="K74" s="108"/>
      <c r="L74" s="108"/>
      <c r="M74" s="109"/>
    </row>
    <row r="75" spans="2:13" x14ac:dyDescent="0.2">
      <c r="B75" s="110"/>
      <c r="C75" s="110"/>
      <c r="D75" s="110"/>
      <c r="E75" s="111"/>
      <c r="F75" s="111"/>
      <c r="G75" s="112"/>
      <c r="H75" s="112"/>
      <c r="I75" s="112"/>
      <c r="J75" s="112"/>
      <c r="K75" s="112"/>
      <c r="L75" s="111"/>
      <c r="M75" s="113"/>
    </row>
    <row r="77" spans="2:13" x14ac:dyDescent="0.2">
      <c r="C77" s="110"/>
      <c r="D77" s="110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zoomScaleNormal="100" workbookViewId="0">
      <selection activeCell="J11" sqref="J11"/>
    </sheetView>
  </sheetViews>
  <sheetFormatPr defaultRowHeight="14.25" x14ac:dyDescent="0.2"/>
  <cols>
    <col min="1" max="1" width="2.85546875" style="44" customWidth="1"/>
    <col min="2" max="2" width="3.85546875" style="44" customWidth="1"/>
    <col min="3" max="3" width="32.85546875" style="44" customWidth="1"/>
    <col min="4" max="4" width="19.140625" style="44" customWidth="1"/>
    <col min="5" max="5" width="9.85546875" style="44" hidden="1" customWidth="1"/>
    <col min="6" max="6" width="9.140625" style="44" hidden="1" customWidth="1"/>
    <col min="7" max="11" width="11.5703125" style="44" bestFit="1" customWidth="1"/>
    <col min="12" max="12" width="12.7109375" style="44" customWidth="1"/>
    <col min="13" max="14" width="3.7109375" style="44" customWidth="1"/>
    <col min="15" max="19" width="7.5703125" style="609" bestFit="1" customWidth="1"/>
    <col min="20" max="20" width="12.140625" style="609" customWidth="1"/>
    <col min="21" max="21" width="16" style="44" customWidth="1"/>
    <col min="22" max="22" width="18.28515625" style="44" customWidth="1"/>
    <col min="23" max="25" width="16.140625" style="44" customWidth="1"/>
    <col min="26" max="16384" width="9.140625" style="44"/>
  </cols>
  <sheetData>
    <row r="1" spans="1:2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7" ht="28.5" customHeight="1" x14ac:dyDescent="0.25">
      <c r="A2" s="63"/>
      <c r="B2" s="340" t="s">
        <v>408</v>
      </c>
      <c r="C2" s="353"/>
      <c r="D2" s="353"/>
      <c r="E2" s="353"/>
      <c r="F2" s="341"/>
      <c r="G2" s="341"/>
      <c r="H2" s="341"/>
      <c r="I2" s="341"/>
      <c r="J2" s="341"/>
      <c r="K2" s="341"/>
      <c r="L2" s="350"/>
      <c r="M2" s="63"/>
    </row>
    <row r="3" spans="1:27" x14ac:dyDescent="0.2">
      <c r="A3" s="32"/>
      <c r="B3" s="46" t="s">
        <v>17</v>
      </c>
      <c r="C3" s="32"/>
      <c r="D3" s="32"/>
      <c r="E3" s="32"/>
      <c r="F3" s="32"/>
      <c r="G3" s="12"/>
      <c r="H3" s="32"/>
      <c r="I3" s="32"/>
      <c r="J3" s="32"/>
      <c r="K3" s="146"/>
      <c r="L3" s="32"/>
      <c r="M3" s="32"/>
    </row>
    <row r="4" spans="1:27" ht="22.5" x14ac:dyDescent="0.2">
      <c r="A4" s="32"/>
      <c r="B4" s="32"/>
      <c r="C4" s="66"/>
      <c r="D4" s="3" t="s">
        <v>314</v>
      </c>
      <c r="E4" s="30"/>
      <c r="F4" s="4"/>
      <c r="G4" s="5">
        <v>2018</v>
      </c>
      <c r="H4" s="4">
        <v>2019</v>
      </c>
      <c r="I4" s="4">
        <v>2020</v>
      </c>
      <c r="J4" s="4">
        <v>2021</v>
      </c>
      <c r="K4" s="6">
        <v>2022</v>
      </c>
      <c r="L4" s="3" t="s">
        <v>73</v>
      </c>
      <c r="M4" s="32"/>
    </row>
    <row r="5" spans="1:27" x14ac:dyDescent="0.2">
      <c r="A5" s="32"/>
      <c r="B5" s="32"/>
      <c r="C5" s="66"/>
      <c r="D5" s="66"/>
      <c r="E5" s="66"/>
      <c r="F5" s="85"/>
      <c r="G5" s="66"/>
      <c r="H5" s="66"/>
      <c r="I5" s="66"/>
      <c r="J5" s="66"/>
      <c r="K5" s="66"/>
      <c r="L5" s="66"/>
      <c r="M5" s="32"/>
    </row>
    <row r="6" spans="1:27" ht="22.5" customHeight="1" x14ac:dyDescent="0.2">
      <c r="A6" s="32"/>
      <c r="B6" s="354" t="s">
        <v>101</v>
      </c>
      <c r="C6" s="354"/>
      <c r="D6" s="354"/>
      <c r="E6" s="354"/>
      <c r="F6" s="417"/>
      <c r="G6" s="354"/>
      <c r="H6" s="354"/>
      <c r="I6" s="354"/>
      <c r="J6" s="354"/>
      <c r="K6" s="354"/>
      <c r="L6" s="354"/>
      <c r="M6" s="32"/>
      <c r="T6" s="610"/>
      <c r="AA6" s="519"/>
    </row>
    <row r="7" spans="1:27" ht="18" customHeight="1" x14ac:dyDescent="0.25">
      <c r="A7" s="32"/>
      <c r="B7" s="32"/>
      <c r="C7" s="12"/>
      <c r="D7" s="12"/>
      <c r="E7" s="55"/>
      <c r="F7" s="54"/>
      <c r="G7" s="55"/>
      <c r="H7" s="54"/>
      <c r="I7" s="54"/>
      <c r="J7" s="54"/>
      <c r="K7" s="95"/>
      <c r="L7" s="54"/>
      <c r="M7" s="32"/>
      <c r="U7" s="537"/>
      <c r="V7" s="537"/>
      <c r="W7" s="537"/>
    </row>
    <row r="8" spans="1:27" ht="18" customHeight="1" x14ac:dyDescent="0.2">
      <c r="A8" s="32"/>
      <c r="B8" s="77" t="s">
        <v>48</v>
      </c>
      <c r="C8" s="45"/>
      <c r="D8" s="452" t="s">
        <v>102</v>
      </c>
      <c r="E8" s="466"/>
      <c r="F8" s="54"/>
      <c r="G8" s="55">
        <f>('Capex Category Summary (Comb)'!AD25+'Capex Category Summary (Comb)'!AD31)</f>
        <v>33.793264676738104</v>
      </c>
      <c r="H8" s="54">
        <f>('Capex Category Summary (Comb)'!AE25+'Capex Category Summary (Comb)'!AE31)</f>
        <v>35.759726177042104</v>
      </c>
      <c r="I8" s="54">
        <f>('Capex Category Summary (Comb)'!AF25+'Capex Category Summary (Comb)'!AF31)</f>
        <v>35.759726177042104</v>
      </c>
      <c r="J8" s="54">
        <f>('Capex Category Summary (Comb)'!AG25+'Capex Category Summary (Comb)'!AG31)</f>
        <v>33.426688436738104</v>
      </c>
      <c r="K8" s="95">
        <f>('Capex Category Summary (Comb)'!AH25+'Capex Category Summary (Comb)'!AH31)</f>
        <v>8.5734442330222898</v>
      </c>
      <c r="L8" s="52">
        <f>SUM(G8:K8)</f>
        <v>147.31284970058269</v>
      </c>
      <c r="M8" s="520"/>
      <c r="N8" s="469"/>
      <c r="O8" s="611"/>
      <c r="P8" s="611"/>
      <c r="Q8" s="611"/>
      <c r="R8" s="611"/>
      <c r="S8" s="611"/>
      <c r="T8" s="611"/>
      <c r="U8" s="469"/>
      <c r="V8" s="469"/>
      <c r="W8" s="469"/>
    </row>
    <row r="9" spans="1:27" ht="18" customHeight="1" x14ac:dyDescent="0.2">
      <c r="A9" s="32"/>
      <c r="B9" s="456" t="s">
        <v>49</v>
      </c>
      <c r="C9" s="45"/>
      <c r="D9" s="453" t="s">
        <v>70</v>
      </c>
      <c r="E9" s="466"/>
      <c r="F9" s="54"/>
      <c r="G9" s="55">
        <f>'Capex Category Summary (Comb)'!AD12</f>
        <v>7.4953533141131068</v>
      </c>
      <c r="H9" s="54">
        <f>'Capex Category Summary (Comb)'!AE12</f>
        <v>7.4953533141131068</v>
      </c>
      <c r="I9" s="54">
        <f>'Capex Category Summary (Comb)'!AF12</f>
        <v>7.4953533141131068</v>
      </c>
      <c r="J9" s="54">
        <f>'Capex Category Summary (Comb)'!AG12</f>
        <v>5.0432104001131064</v>
      </c>
      <c r="K9" s="95">
        <f>'Capex Category Summary (Comb)'!AH12</f>
        <v>5.0432104001131064</v>
      </c>
      <c r="L9" s="52">
        <f>SUM(G9:K9)</f>
        <v>32.572480742565531</v>
      </c>
      <c r="M9" s="520"/>
      <c r="N9" s="469"/>
      <c r="O9" s="611"/>
      <c r="P9" s="611"/>
      <c r="Q9" s="611"/>
      <c r="R9" s="611"/>
      <c r="S9" s="611"/>
      <c r="T9" s="611"/>
      <c r="U9" s="469"/>
      <c r="V9" s="469"/>
      <c r="W9" s="469"/>
    </row>
    <row r="10" spans="1:27" ht="18" customHeight="1" x14ac:dyDescent="0.2">
      <c r="A10" s="32"/>
      <c r="B10" s="456" t="s">
        <v>50</v>
      </c>
      <c r="C10" s="45"/>
      <c r="D10" s="452" t="s">
        <v>102</v>
      </c>
      <c r="E10" s="466"/>
      <c r="F10" s="54"/>
      <c r="G10" s="55">
        <f>'Capex Category Summary (Comb)'!AD68</f>
        <v>9.2684663520000008</v>
      </c>
      <c r="H10" s="54">
        <f>'Capex Category Summary (Comb)'!AE68</f>
        <v>11.966736600000003</v>
      </c>
      <c r="I10" s="54">
        <f>'Capex Category Summary (Comb)'!AF68</f>
        <v>7.3804560000000006</v>
      </c>
      <c r="J10" s="54">
        <f>'Capex Category Summary (Comb)'!AG68</f>
        <v>3.4527078000000002</v>
      </c>
      <c r="K10" s="95">
        <f>'Capex Category Summary (Comb)'!AH68</f>
        <v>2.1397206000000004</v>
      </c>
      <c r="L10" s="52">
        <f t="shared" ref="L10:L13" si="0">SUM(G10:K10)</f>
        <v>34.208087352000007</v>
      </c>
      <c r="M10" s="520"/>
      <c r="N10" s="469"/>
      <c r="O10" s="611"/>
      <c r="P10" s="611"/>
      <c r="Q10" s="611"/>
      <c r="R10" s="611"/>
      <c r="S10" s="611"/>
      <c r="T10" s="611"/>
      <c r="U10" s="469"/>
      <c r="V10" s="469"/>
      <c r="W10" s="469"/>
    </row>
    <row r="11" spans="1:27" ht="18" customHeight="1" x14ac:dyDescent="0.2">
      <c r="A11" s="32"/>
      <c r="B11" s="456" t="s">
        <v>1</v>
      </c>
      <c r="C11" s="45"/>
      <c r="D11" s="452" t="s">
        <v>1</v>
      </c>
      <c r="E11" s="466"/>
      <c r="F11" s="54"/>
      <c r="G11" s="55">
        <f>'Capex Category Summary (Comb)'!AD62</f>
        <v>0.27193106640000003</v>
      </c>
      <c r="H11" s="54">
        <f>'Capex Category Summary (Comb)'!AE62</f>
        <v>0.26010602640000002</v>
      </c>
      <c r="I11" s="54">
        <f>'Capex Category Summary (Comb)'!AF62</f>
        <v>0.25346157720000001</v>
      </c>
      <c r="J11" s="54">
        <f>'Capex Category Summary (Comb)'!AG62</f>
        <v>0.25495193999999999</v>
      </c>
      <c r="K11" s="95">
        <f>'Capex Category Summary (Comb)'!AH62</f>
        <v>0.14169660000000003</v>
      </c>
      <c r="L11" s="52">
        <f t="shared" si="0"/>
        <v>1.1821472099999999</v>
      </c>
      <c r="M11" s="520"/>
      <c r="N11" s="469"/>
      <c r="O11" s="611"/>
      <c r="P11" s="611"/>
      <c r="Q11" s="611"/>
      <c r="R11" s="611"/>
      <c r="S11" s="611"/>
      <c r="T11" s="611"/>
      <c r="U11" s="469"/>
      <c r="V11" s="469"/>
      <c r="W11" s="469"/>
    </row>
    <row r="12" spans="1:27" ht="18" customHeight="1" x14ac:dyDescent="0.2">
      <c r="A12" s="32"/>
      <c r="B12" s="456" t="s">
        <v>52</v>
      </c>
      <c r="C12" s="45"/>
      <c r="D12" s="452" t="s">
        <v>2</v>
      </c>
      <c r="E12" s="466"/>
      <c r="F12" s="54"/>
      <c r="G12" s="55">
        <f>'Capex Category Summary (Comb)'!AD64</f>
        <v>11.525055190216266</v>
      </c>
      <c r="H12" s="54">
        <f>'Capex Category Summary (Comb)'!AE64</f>
        <v>24.201923295874582</v>
      </c>
      <c r="I12" s="54">
        <f>'Capex Category Summary (Comb)'!AF64</f>
        <v>16.45668052174366</v>
      </c>
      <c r="J12" s="54">
        <f>'Capex Category Summary (Comb)'!AG64</f>
        <v>5.2359418612548163</v>
      </c>
      <c r="K12" s="95">
        <f>'Capex Category Summary (Comb)'!AH64</f>
        <v>6.1099593766958451</v>
      </c>
      <c r="L12" s="52">
        <f t="shared" si="0"/>
        <v>63.52956024578517</v>
      </c>
      <c r="M12" s="520"/>
      <c r="N12" s="469"/>
      <c r="O12" s="611"/>
      <c r="P12" s="611"/>
      <c r="Q12" s="611"/>
      <c r="R12" s="611"/>
      <c r="S12" s="611"/>
      <c r="T12" s="611"/>
      <c r="U12" s="469"/>
      <c r="V12" s="469"/>
      <c r="W12" s="469"/>
    </row>
    <row r="13" spans="1:27" ht="18" customHeight="1" x14ac:dyDescent="0.2">
      <c r="A13" s="32"/>
      <c r="B13" s="457" t="s">
        <v>53</v>
      </c>
      <c r="C13" s="45"/>
      <c r="D13" s="452"/>
      <c r="E13" s="466"/>
      <c r="F13" s="54"/>
      <c r="G13" s="55">
        <f>SUM(G14:G18)</f>
        <v>36.198865557218824</v>
      </c>
      <c r="H13" s="54">
        <f t="shared" ref="H13:K13" si="1">SUM(H14:H18)</f>
        <v>34.6226623449909</v>
      </c>
      <c r="I13" s="54">
        <f t="shared" si="1"/>
        <v>34.624237146793988</v>
      </c>
      <c r="J13" s="54">
        <f t="shared" si="1"/>
        <v>35.274972360706528</v>
      </c>
      <c r="K13" s="95">
        <f t="shared" si="1"/>
        <v>35.798506311733966</v>
      </c>
      <c r="L13" s="52">
        <f t="shared" si="0"/>
        <v>176.51924372144421</v>
      </c>
      <c r="M13" s="520"/>
      <c r="N13" s="469"/>
      <c r="O13" s="611"/>
      <c r="P13" s="611"/>
      <c r="Q13" s="611"/>
      <c r="R13" s="611"/>
      <c r="S13" s="611"/>
      <c r="T13" s="611"/>
      <c r="U13" s="469"/>
      <c r="V13" s="469"/>
      <c r="W13" s="469"/>
      <c r="X13" s="469"/>
      <c r="Y13" s="221"/>
      <c r="Z13" s="469"/>
    </row>
    <row r="14" spans="1:27" ht="18" customHeight="1" x14ac:dyDescent="0.2">
      <c r="A14" s="32"/>
      <c r="B14" s="458"/>
      <c r="C14" s="152" t="s">
        <v>54</v>
      </c>
      <c r="D14" s="454" t="s">
        <v>102</v>
      </c>
      <c r="E14" s="517"/>
      <c r="F14" s="126"/>
      <c r="G14" s="127">
        <f>'Capex Category Summary (Comb)'!AD39</f>
        <v>10.040772037191132</v>
      </c>
      <c r="H14" s="128">
        <f>'Capex Category Summary (Comb)'!AE39</f>
        <v>9.6316780761180674</v>
      </c>
      <c r="I14" s="128">
        <f>'Capex Category Summary (Comb)'!AF39</f>
        <v>9.6359958170499098</v>
      </c>
      <c r="J14" s="128">
        <f>'Capex Category Summary (Comb)'!AG39</f>
        <v>9.8104293569084433</v>
      </c>
      <c r="K14" s="129">
        <f>'Capex Category Summary (Comb)'!AH39</f>
        <v>9.9515736214056574</v>
      </c>
      <c r="L14" s="126"/>
      <c r="M14" s="520"/>
      <c r="N14" s="469"/>
      <c r="O14" s="611"/>
      <c r="P14" s="611"/>
      <c r="Q14" s="611"/>
      <c r="R14" s="611"/>
      <c r="S14" s="611"/>
      <c r="T14" s="611"/>
      <c r="U14" s="469"/>
      <c r="V14" s="469"/>
      <c r="W14" s="469"/>
      <c r="X14" s="469"/>
      <c r="Y14" s="221"/>
      <c r="Z14" s="469"/>
    </row>
    <row r="15" spans="1:27" ht="18" customHeight="1" x14ac:dyDescent="0.2">
      <c r="A15" s="32"/>
      <c r="B15" s="458"/>
      <c r="C15" s="153" t="s">
        <v>55</v>
      </c>
      <c r="D15" s="455" t="s">
        <v>102</v>
      </c>
      <c r="E15" s="466"/>
      <c r="F15" s="54"/>
      <c r="G15" s="130">
        <f>'Capex Category Summary (Comb)'!AD55</f>
        <v>19.638262578611549</v>
      </c>
      <c r="H15" s="50">
        <f>'Capex Category Summary (Comb)'!AE55</f>
        <v>18.668997092614724</v>
      </c>
      <c r="I15" s="50">
        <f>'Capex Category Summary (Comb)'!AF55</f>
        <v>18.655789195765163</v>
      </c>
      <c r="J15" s="50">
        <f>'Capex Category Summary (Comb)'!AG55</f>
        <v>19.035878943299085</v>
      </c>
      <c r="K15" s="131">
        <f>'Capex Category Summary (Comb)'!AH55</f>
        <v>19.338776177472475</v>
      </c>
      <c r="L15" s="54"/>
      <c r="M15" s="520"/>
      <c r="N15" s="469"/>
      <c r="O15" s="611"/>
      <c r="P15" s="611"/>
      <c r="Q15" s="611"/>
      <c r="R15" s="611"/>
      <c r="S15" s="611"/>
      <c r="T15" s="611"/>
      <c r="U15" s="469"/>
      <c r="V15" s="469"/>
      <c r="W15" s="469"/>
      <c r="X15" s="469"/>
      <c r="Y15" s="221"/>
      <c r="Z15" s="469"/>
    </row>
    <row r="16" spans="1:27" ht="18" customHeight="1" x14ac:dyDescent="0.2">
      <c r="A16" s="32"/>
      <c r="B16" s="458"/>
      <c r="C16" s="153" t="s">
        <v>56</v>
      </c>
      <c r="D16" s="455" t="s">
        <v>70</v>
      </c>
      <c r="E16" s="466"/>
      <c r="F16" s="54"/>
      <c r="G16" s="130">
        <f>'Capex Category Summary (Comb)'!AD46</f>
        <v>6.5198309414161422</v>
      </c>
      <c r="H16" s="50">
        <f>'Capex Category Summary (Comb)'!AE46</f>
        <v>6.3219871762581068</v>
      </c>
      <c r="I16" s="50">
        <f>'Capex Category Summary (Comb)'!AF46</f>
        <v>6.3324521339789168</v>
      </c>
      <c r="J16" s="50">
        <f>'Capex Category Summary (Comb)'!AG46</f>
        <v>6.4286640604989973</v>
      </c>
      <c r="K16" s="131">
        <f>'Capex Category Summary (Comb)'!AH46</f>
        <v>6.5081565128558339</v>
      </c>
      <c r="L16" s="54"/>
      <c r="M16" s="520"/>
      <c r="N16" s="469"/>
      <c r="O16" s="611"/>
      <c r="P16" s="611"/>
      <c r="Q16" s="611"/>
      <c r="R16" s="611"/>
      <c r="S16" s="611"/>
      <c r="T16" s="611"/>
      <c r="U16" s="469"/>
      <c r="V16" s="469"/>
      <c r="W16" s="469"/>
      <c r="X16" s="469"/>
      <c r="Y16" s="221"/>
      <c r="Z16" s="469"/>
    </row>
    <row r="17" spans="1:26" ht="18" customHeight="1" x14ac:dyDescent="0.2">
      <c r="A17" s="32"/>
      <c r="B17" s="458"/>
      <c r="C17" s="153" t="s">
        <v>57</v>
      </c>
      <c r="D17" s="153"/>
      <c r="E17" s="466"/>
      <c r="F17" s="54"/>
      <c r="G17" s="130">
        <f>'Capex Category Summary (Comb)'!AD67</f>
        <v>0</v>
      </c>
      <c r="H17" s="50">
        <f>'Capex Category Summary (Comb)'!AE67</f>
        <v>0</v>
      </c>
      <c r="I17" s="50">
        <f>'Capex Category Summary (Comb)'!AF67</f>
        <v>0</v>
      </c>
      <c r="J17" s="50">
        <f>'Capex Category Summary (Comb)'!AG67</f>
        <v>0</v>
      </c>
      <c r="K17" s="131">
        <f>'Capex Category Summary (Comb)'!AH67</f>
        <v>0</v>
      </c>
      <c r="L17" s="54"/>
      <c r="M17" s="520"/>
      <c r="N17" s="469"/>
      <c r="O17" s="611"/>
      <c r="P17" s="611"/>
      <c r="Q17" s="611"/>
      <c r="R17" s="611"/>
      <c r="S17" s="611"/>
      <c r="T17" s="611"/>
      <c r="U17" s="469"/>
      <c r="V17" s="469"/>
      <c r="W17" s="469"/>
      <c r="X17" s="469"/>
      <c r="Y17" s="221"/>
      <c r="Z17" s="469"/>
    </row>
    <row r="18" spans="1:26" ht="18" customHeight="1" x14ac:dyDescent="0.2">
      <c r="A18" s="32"/>
      <c r="B18" s="459"/>
      <c r="C18" s="155" t="s">
        <v>58</v>
      </c>
      <c r="D18" s="155"/>
      <c r="E18" s="463"/>
      <c r="F18" s="132"/>
      <c r="G18" s="130">
        <f>'Capex Category Summary (Comb)'!AD69</f>
        <v>0</v>
      </c>
      <c r="H18" s="50">
        <f>'Capex Category Summary (Comb)'!AE69</f>
        <v>0</v>
      </c>
      <c r="I18" s="50">
        <f>'Capex Category Summary (Comb)'!AF69</f>
        <v>0</v>
      </c>
      <c r="J18" s="50">
        <f>'Capex Category Summary (Comb)'!AG69</f>
        <v>0</v>
      </c>
      <c r="K18" s="131">
        <f>'Capex Category Summary (Comb)'!AH69</f>
        <v>0</v>
      </c>
      <c r="L18" s="132"/>
      <c r="M18" s="520"/>
      <c r="N18" s="469"/>
      <c r="O18" s="611"/>
      <c r="P18" s="611"/>
      <c r="Q18" s="611"/>
      <c r="R18" s="611"/>
      <c r="S18" s="611"/>
      <c r="T18" s="611"/>
      <c r="U18" s="469"/>
      <c r="V18" s="469"/>
      <c r="W18" s="469"/>
      <c r="X18" s="469"/>
      <c r="Y18" s="221"/>
      <c r="Z18" s="469"/>
    </row>
    <row r="19" spans="1:26" ht="18" customHeight="1" x14ac:dyDescent="0.2">
      <c r="A19" s="32"/>
      <c r="B19" s="456" t="s">
        <v>96</v>
      </c>
      <c r="C19" s="45"/>
      <c r="D19" s="455" t="s">
        <v>96</v>
      </c>
      <c r="E19" s="466"/>
      <c r="F19" s="54"/>
      <c r="G19" s="141">
        <f>('Capex Category Summary (Comb)'!AD63+'Capex Category Summary (Comb)'!AD65+'Capex Category Summary (Comb)'!AD66)</f>
        <v>4.7219912832000004</v>
      </c>
      <c r="H19" s="142">
        <f>('Capex Category Summary (Comb)'!AE63+'Capex Category Summary (Comb)'!AE65+'Capex Category Summary (Comb)'!AE66)</f>
        <v>6.4558714134000006</v>
      </c>
      <c r="I19" s="142">
        <f>('Capex Category Summary (Comb)'!AF63+'Capex Category Summary (Comb)'!AF65+'Capex Category Summary (Comb)'!AF66)</f>
        <v>11.4824726688</v>
      </c>
      <c r="J19" s="142">
        <f>('Capex Category Summary (Comb)'!AG63+'Capex Category Summary (Comb)'!AG65+'Capex Category Summary (Comb)'!AG66)</f>
        <v>8.1238228680000013</v>
      </c>
      <c r="K19" s="143">
        <f>('Capex Category Summary (Comb)'!AH63+'Capex Category Summary (Comb)'!AH65+'Capex Category Summary (Comb)'!AH66)</f>
        <v>4.0034916587999998</v>
      </c>
      <c r="L19" s="52">
        <f t="shared" ref="L19" si="2">SUM(G19:K19)</f>
        <v>34.787649892200001</v>
      </c>
      <c r="M19" s="520"/>
      <c r="N19" s="469"/>
      <c r="O19" s="611"/>
      <c r="P19" s="611"/>
      <c r="Q19" s="611"/>
      <c r="R19" s="611"/>
      <c r="S19" s="611"/>
      <c r="T19" s="611"/>
      <c r="U19" s="469"/>
      <c r="V19" s="469"/>
      <c r="W19" s="469"/>
      <c r="X19" s="469"/>
      <c r="Y19" s="221"/>
      <c r="Z19" s="469"/>
    </row>
    <row r="20" spans="1:26" ht="18" customHeight="1" thickBot="1" x14ac:dyDescent="0.25">
      <c r="A20" s="32"/>
      <c r="B20" s="149" t="s">
        <v>45</v>
      </c>
      <c r="C20" s="150"/>
      <c r="D20" s="150"/>
      <c r="E20" s="518"/>
      <c r="F20" s="99"/>
      <c r="G20" s="144">
        <f t="shared" ref="G20:K20" si="3">SUM(G8:G13,G19:G19)</f>
        <v>103.2749274398863</v>
      </c>
      <c r="H20" s="145">
        <f t="shared" si="3"/>
        <v>120.76237917182071</v>
      </c>
      <c r="I20" s="145">
        <f t="shared" si="3"/>
        <v>113.45238740569286</v>
      </c>
      <c r="J20" s="145">
        <f t="shared" si="3"/>
        <v>90.812295666812545</v>
      </c>
      <c r="K20" s="145">
        <f t="shared" si="3"/>
        <v>61.810029180365206</v>
      </c>
      <c r="L20" s="100">
        <f>SUM(G20:K20)</f>
        <v>490.11201886457764</v>
      </c>
      <c r="M20" s="520"/>
      <c r="N20" s="469"/>
      <c r="O20" s="611"/>
      <c r="P20" s="611"/>
      <c r="Q20" s="611"/>
      <c r="R20" s="611"/>
      <c r="S20" s="611"/>
      <c r="T20" s="611"/>
      <c r="U20" s="469"/>
      <c r="V20" s="469"/>
      <c r="W20" s="469"/>
      <c r="X20" s="469"/>
      <c r="Y20" s="221"/>
      <c r="Z20" s="469"/>
    </row>
    <row r="21" spans="1:26" x14ac:dyDescent="0.2">
      <c r="A21" s="32"/>
      <c r="B21" s="32"/>
      <c r="C21" s="66"/>
      <c r="D21" s="66"/>
      <c r="E21" s="66"/>
      <c r="F21" s="488"/>
      <c r="G21" s="514"/>
      <c r="H21" s="514"/>
      <c r="I21" s="514"/>
      <c r="J21" s="514"/>
      <c r="K21" s="514"/>
      <c r="L21" s="514"/>
      <c r="M21" s="520"/>
      <c r="N21" s="469"/>
      <c r="O21" s="611"/>
      <c r="P21" s="611"/>
      <c r="Q21" s="611"/>
      <c r="R21" s="611"/>
      <c r="S21" s="611"/>
      <c r="T21" s="611"/>
      <c r="U21" s="469"/>
      <c r="V21" s="469"/>
      <c r="W21" s="469"/>
      <c r="X21" s="469"/>
      <c r="Z21" s="469"/>
    </row>
    <row r="22" spans="1:26" ht="24" customHeight="1" x14ac:dyDescent="0.2">
      <c r="A22" s="32"/>
      <c r="B22" s="354" t="s">
        <v>189</v>
      </c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520"/>
      <c r="N22" s="469"/>
      <c r="O22" s="611"/>
      <c r="P22" s="611"/>
      <c r="Q22" s="611"/>
      <c r="R22" s="611"/>
      <c r="S22" s="611"/>
      <c r="T22" s="611"/>
      <c r="U22" s="469"/>
      <c r="V22" s="469"/>
      <c r="W22" s="469"/>
      <c r="X22" s="469"/>
      <c r="Z22" s="469"/>
    </row>
    <row r="23" spans="1:26" x14ac:dyDescent="0.2">
      <c r="A23" s="32"/>
      <c r="B23" s="32"/>
      <c r="C23" s="12"/>
      <c r="D23" s="12"/>
      <c r="E23" s="55"/>
      <c r="F23" s="54"/>
      <c r="G23" s="55"/>
      <c r="H23" s="54"/>
      <c r="I23" s="54"/>
      <c r="J23" s="54"/>
      <c r="K23" s="95"/>
      <c r="L23" s="54"/>
      <c r="M23" s="520"/>
      <c r="N23" s="469"/>
      <c r="O23" s="611"/>
      <c r="P23" s="611"/>
      <c r="Q23" s="611"/>
      <c r="R23" s="611"/>
      <c r="S23" s="611"/>
      <c r="T23" s="611"/>
      <c r="U23" s="469"/>
      <c r="V23" s="469"/>
      <c r="W23" s="469"/>
      <c r="X23" s="469"/>
      <c r="Z23" s="469"/>
    </row>
    <row r="24" spans="1:26" ht="18" customHeight="1" x14ac:dyDescent="0.2">
      <c r="A24" s="32"/>
      <c r="B24" s="77" t="s">
        <v>48</v>
      </c>
      <c r="C24" s="45"/>
      <c r="D24" s="452" t="s">
        <v>102</v>
      </c>
      <c r="E24" s="55"/>
      <c r="F24" s="52"/>
      <c r="G24" s="55">
        <f>('Capex Category Summary (Comb)'!AO25+'Capex Category Summary (Comb)'!AO31)</f>
        <v>34.02075825665176</v>
      </c>
      <c r="H24" s="54">
        <f>('Capex Category Summary (Comb)'!AP25+'Capex Category Summary (Comb)'!AP31)</f>
        <v>36.206224228268304</v>
      </c>
      <c r="I24" s="54">
        <f>('Capex Category Summary (Comb)'!AQ25+'Capex Category Summary (Comb)'!AQ31)</f>
        <v>36.461942312168993</v>
      </c>
      <c r="J24" s="54">
        <f>('Capex Category Summary (Comb)'!AR25+'Capex Category Summary (Comb)'!AR31)</f>
        <v>34.378661370049144</v>
      </c>
      <c r="K24" s="95">
        <f>('Capex Category Summary (Comb)'!AS25+'Capex Category Summary (Comb)'!AS31)</f>
        <v>8.9032543132727699</v>
      </c>
      <c r="L24" s="52">
        <f>SUM(G24:K24)</f>
        <v>149.97084048041097</v>
      </c>
      <c r="M24" s="520"/>
      <c r="N24" s="469"/>
      <c r="O24" s="611"/>
      <c r="P24" s="611"/>
      <c r="Q24" s="611"/>
      <c r="R24" s="611"/>
      <c r="S24" s="611"/>
      <c r="T24" s="611"/>
      <c r="U24" s="469"/>
      <c r="V24" s="469"/>
      <c r="W24" s="469"/>
      <c r="X24" s="469"/>
      <c r="Z24" s="469"/>
    </row>
    <row r="25" spans="1:26" ht="18" customHeight="1" x14ac:dyDescent="0.2">
      <c r="A25" s="32"/>
      <c r="B25" s="456" t="s">
        <v>49</v>
      </c>
      <c r="C25" s="45"/>
      <c r="D25" s="453" t="s">
        <v>70</v>
      </c>
      <c r="E25" s="535"/>
      <c r="F25" s="52"/>
      <c r="G25" s="55">
        <f>'Capex Category Summary (Comb)'!AO12</f>
        <v>7.5119769045898774</v>
      </c>
      <c r="H25" s="54">
        <f>'Capex Category Summary (Comb)'!AP12</f>
        <v>7.5081678331933537</v>
      </c>
      <c r="I25" s="54">
        <f>'Capex Category Summary (Comb)'!AQ12</f>
        <v>7.52576170897302</v>
      </c>
      <c r="J25" s="54">
        <f>'Capex Category Summary (Comb)'!AR12</f>
        <v>5.1868381425676606</v>
      </c>
      <c r="K25" s="95">
        <f>'Capex Category Summary (Comb)'!AS12</f>
        <v>5.2372166339642376</v>
      </c>
      <c r="L25" s="52">
        <f>SUM(G25:K25)</f>
        <v>32.969961223288145</v>
      </c>
      <c r="M25" s="520"/>
      <c r="N25" s="469"/>
      <c r="O25" s="611"/>
      <c r="P25" s="611"/>
      <c r="Q25" s="611"/>
      <c r="R25" s="611"/>
      <c r="S25" s="611"/>
      <c r="T25" s="611"/>
      <c r="U25" s="469"/>
      <c r="V25" s="469"/>
      <c r="W25" s="469"/>
      <c r="X25" s="469"/>
      <c r="Z25" s="469"/>
    </row>
    <row r="26" spans="1:26" ht="18" customHeight="1" x14ac:dyDescent="0.2">
      <c r="A26" s="32"/>
      <c r="B26" s="456" t="s">
        <v>50</v>
      </c>
      <c r="C26" s="45"/>
      <c r="D26" s="452" t="s">
        <v>102</v>
      </c>
      <c r="E26" s="55"/>
      <c r="F26" s="52"/>
      <c r="G26" s="55">
        <f>'Capex Category Summary (Comb)'!AO68</f>
        <v>9.3308609330177124</v>
      </c>
      <c r="H26" s="54">
        <f>'Capex Category Summary (Comb)'!AP68</f>
        <v>12.116153979344128</v>
      </c>
      <c r="I26" s="54">
        <f>'Capex Category Summary (Comb)'!AQ68</f>
        <v>7.5253865081961555</v>
      </c>
      <c r="J26" s="54">
        <f>'Capex Category Summary (Comb)'!AR68</f>
        <v>3.5510389397553648</v>
      </c>
      <c r="K26" s="95">
        <f>'Capex Category Summary (Comb)'!AS68</f>
        <v>2.2220330760153524</v>
      </c>
      <c r="L26" s="52">
        <f t="shared" ref="L26:L29" si="4">SUM(G26:K26)</f>
        <v>34.745473436328709</v>
      </c>
      <c r="M26" s="520"/>
      <c r="N26" s="469"/>
      <c r="O26" s="611"/>
      <c r="P26" s="611"/>
      <c r="Q26" s="611"/>
      <c r="R26" s="611"/>
      <c r="S26" s="611"/>
      <c r="T26" s="611"/>
      <c r="U26" s="469"/>
      <c r="V26" s="469"/>
      <c r="W26" s="469"/>
      <c r="X26" s="469"/>
      <c r="Z26" s="469"/>
    </row>
    <row r="27" spans="1:26" ht="18" customHeight="1" x14ac:dyDescent="0.2">
      <c r="A27" s="32"/>
      <c r="B27" s="456" t="s">
        <v>1</v>
      </c>
      <c r="C27" s="45"/>
      <c r="D27" s="452" t="s">
        <v>1</v>
      </c>
      <c r="E27" s="55"/>
      <c r="F27" s="52"/>
      <c r="G27" s="55">
        <f>'Capex Category Summary (Comb)'!AO62</f>
        <v>0.27376168479028706</v>
      </c>
      <c r="H27" s="54">
        <f>'Capex Category Summary (Comb)'!AP62</f>
        <v>0.26335372559447401</v>
      </c>
      <c r="I27" s="54">
        <f>'Capex Category Summary (Comb)'!AQ62</f>
        <v>0.25843881914708228</v>
      </c>
      <c r="J27" s="54">
        <f>'Capex Category Summary (Comb)'!AR62</f>
        <v>0.26221282516469341</v>
      </c>
      <c r="K27" s="95">
        <f>'Capex Category Summary (Comb)'!AS62</f>
        <v>0.14714749764942067</v>
      </c>
      <c r="L27" s="52">
        <f t="shared" si="4"/>
        <v>1.2049145523459575</v>
      </c>
      <c r="M27" s="520"/>
      <c r="N27" s="469"/>
      <c r="O27" s="611"/>
      <c r="P27" s="611"/>
      <c r="Q27" s="611"/>
      <c r="R27" s="611"/>
      <c r="S27" s="611"/>
      <c r="T27" s="611"/>
      <c r="U27" s="469"/>
      <c r="V27" s="469"/>
      <c r="W27" s="469"/>
      <c r="X27" s="469"/>
      <c r="Z27" s="469"/>
    </row>
    <row r="28" spans="1:26" ht="18" customHeight="1" x14ac:dyDescent="0.2">
      <c r="A28" s="32"/>
      <c r="B28" s="456" t="s">
        <v>52</v>
      </c>
      <c r="C28" s="45"/>
      <c r="D28" s="452" t="s">
        <v>2</v>
      </c>
      <c r="E28" s="55"/>
      <c r="F28" s="52"/>
      <c r="G28" s="55">
        <f>'Capex Category Summary (Comb)'!AO64</f>
        <v>11.602640948473281</v>
      </c>
      <c r="H28" s="54">
        <f>'Capex Category Summary (Comb)'!AP64</f>
        <v>24.504109938301152</v>
      </c>
      <c r="I28" s="54">
        <f>'Capex Category Summary (Comb)'!AQ64</f>
        <v>16.779841458037851</v>
      </c>
      <c r="J28" s="54">
        <f>'Capex Category Summary (Comb)'!AR64</f>
        <v>5.3850584852882815</v>
      </c>
      <c r="K28" s="95">
        <f>'Capex Category Summary (Comb)'!AS64</f>
        <v>6.3450021596877226</v>
      </c>
      <c r="L28" s="52">
        <f t="shared" si="4"/>
        <v>64.616652989788292</v>
      </c>
      <c r="M28" s="520"/>
      <c r="N28" s="469"/>
      <c r="O28" s="611"/>
      <c r="P28" s="611"/>
      <c r="Q28" s="611"/>
      <c r="R28" s="611"/>
      <c r="S28" s="611"/>
      <c r="T28" s="611"/>
      <c r="U28" s="469"/>
      <c r="V28" s="469"/>
      <c r="W28" s="469"/>
      <c r="X28" s="469"/>
      <c r="Z28" s="469"/>
    </row>
    <row r="29" spans="1:26" ht="18" customHeight="1" x14ac:dyDescent="0.2">
      <c r="A29" s="32"/>
      <c r="B29" s="457" t="s">
        <v>53</v>
      </c>
      <c r="C29" s="45"/>
      <c r="D29" s="452"/>
      <c r="E29" s="55"/>
      <c r="F29" s="52"/>
      <c r="G29" s="55">
        <f>SUM(G30:G34)</f>
        <v>36.416401864882374</v>
      </c>
      <c r="H29" s="54">
        <f t="shared" ref="H29:K29" si="5">SUM(H30:H34)</f>
        <v>34.995961052456678</v>
      </c>
      <c r="I29" s="54">
        <f t="shared" si="5"/>
        <v>35.218973697737553</v>
      </c>
      <c r="J29" s="54">
        <f t="shared" si="5"/>
        <v>36.279583361112422</v>
      </c>
      <c r="K29" s="95">
        <f t="shared" si="5"/>
        <v>37.175631760808962</v>
      </c>
      <c r="L29" s="52">
        <f t="shared" si="4"/>
        <v>180.08655173699799</v>
      </c>
      <c r="M29" s="520"/>
      <c r="N29" s="469"/>
      <c r="O29" s="611"/>
      <c r="P29" s="611"/>
      <c r="Q29" s="611"/>
      <c r="R29" s="611"/>
      <c r="S29" s="611"/>
      <c r="T29" s="611"/>
      <c r="U29" s="469"/>
      <c r="V29" s="469"/>
      <c r="W29" s="469"/>
      <c r="X29" s="469"/>
      <c r="Z29" s="469"/>
    </row>
    <row r="30" spans="1:26" ht="18" customHeight="1" x14ac:dyDescent="0.2">
      <c r="A30" s="32"/>
      <c r="B30" s="458"/>
      <c r="C30" s="152" t="s">
        <v>54</v>
      </c>
      <c r="D30" s="454" t="s">
        <v>102</v>
      </c>
      <c r="E30" s="199"/>
      <c r="F30" s="126"/>
      <c r="G30" s="127">
        <f>'Capex Category Summary (Comb)'!AO39</f>
        <v>10.10836571888149</v>
      </c>
      <c r="H30" s="128">
        <f>'Capex Category Summary (Comb)'!AP39</f>
        <v>9.7519397769413168</v>
      </c>
      <c r="I30" s="128">
        <f>'Capex Category Summary (Comb)'!AQ39</f>
        <v>9.825218511520422</v>
      </c>
      <c r="J30" s="128">
        <f>'Capex Category Summary (Comb)'!AR39</f>
        <v>10.089824763653924</v>
      </c>
      <c r="K30" s="129">
        <f>'Capex Category Summary (Comb)'!AS39</f>
        <v>10.334398680446993</v>
      </c>
      <c r="L30" s="126"/>
      <c r="M30" s="520"/>
      <c r="N30" s="469"/>
      <c r="O30" s="611"/>
      <c r="P30" s="611"/>
      <c r="Q30" s="611"/>
      <c r="R30" s="611"/>
      <c r="S30" s="611"/>
      <c r="T30" s="611"/>
      <c r="U30" s="469"/>
      <c r="V30" s="469"/>
      <c r="W30" s="469"/>
      <c r="X30" s="469"/>
      <c r="Z30" s="469"/>
    </row>
    <row r="31" spans="1:26" ht="18" customHeight="1" x14ac:dyDescent="0.2">
      <c r="A31" s="32"/>
      <c r="B31" s="458"/>
      <c r="C31" s="153" t="s">
        <v>55</v>
      </c>
      <c r="D31" s="455" t="s">
        <v>102</v>
      </c>
      <c r="E31" s="55"/>
      <c r="F31" s="54"/>
      <c r="G31" s="130">
        <f>'Capex Category Summary (Comb)'!AO55</f>
        <v>19.770465806089838</v>
      </c>
      <c r="H31" s="50">
        <f>'Capex Category Summary (Comb)'!AP55</f>
        <v>18.902099291969698</v>
      </c>
      <c r="I31" s="50">
        <f>'Capex Category Summary (Comb)'!AQ55</f>
        <v>19.022134176203036</v>
      </c>
      <c r="J31" s="50">
        <f>'Capex Category Summary (Comb)'!AR55</f>
        <v>19.578009868116915</v>
      </c>
      <c r="K31" s="131">
        <f>'Capex Category Summary (Comb)'!AS55</f>
        <v>20.082715619974664</v>
      </c>
      <c r="L31" s="54"/>
      <c r="M31" s="520"/>
      <c r="N31" s="469"/>
      <c r="O31" s="611"/>
      <c r="P31" s="611"/>
      <c r="Q31" s="611"/>
      <c r="R31" s="611"/>
      <c r="S31" s="611"/>
      <c r="T31" s="611"/>
      <c r="U31" s="469"/>
      <c r="V31" s="469"/>
      <c r="W31" s="469"/>
      <c r="X31" s="469"/>
      <c r="Z31" s="469"/>
    </row>
    <row r="32" spans="1:26" ht="18" customHeight="1" x14ac:dyDescent="0.2">
      <c r="A32" s="32"/>
      <c r="B32" s="458"/>
      <c r="C32" s="153" t="s">
        <v>56</v>
      </c>
      <c r="D32" s="455" t="s">
        <v>70</v>
      </c>
      <c r="E32" s="55"/>
      <c r="F32" s="54"/>
      <c r="G32" s="130">
        <f>'Capex Category Summary (Comb)'!AO46</f>
        <v>6.5375703399110421</v>
      </c>
      <c r="H32" s="50">
        <f>'Capex Category Summary (Comb)'!AP46</f>
        <v>6.3419219835456673</v>
      </c>
      <c r="I32" s="50">
        <f>'Capex Category Summary (Comb)'!AQ46</f>
        <v>6.3716210100140955</v>
      </c>
      <c r="J32" s="50">
        <f>'Capex Category Summary (Comb)'!AR46</f>
        <v>6.6117487293415849</v>
      </c>
      <c r="K32" s="131">
        <f>'Capex Category Summary (Comb)'!AS46</f>
        <v>6.7585174603873011</v>
      </c>
      <c r="L32" s="54"/>
      <c r="M32" s="520"/>
      <c r="N32" s="469"/>
      <c r="O32" s="611"/>
      <c r="P32" s="611"/>
      <c r="Q32" s="611"/>
      <c r="R32" s="611"/>
      <c r="S32" s="611"/>
      <c r="T32" s="611"/>
      <c r="U32" s="469"/>
      <c r="V32" s="469"/>
      <c r="W32" s="469"/>
      <c r="X32" s="469"/>
      <c r="Z32" s="469"/>
    </row>
    <row r="33" spans="1:26" ht="18" customHeight="1" x14ac:dyDescent="0.2">
      <c r="A33" s="32"/>
      <c r="B33" s="458"/>
      <c r="C33" s="153" t="s">
        <v>57</v>
      </c>
      <c r="D33" s="153"/>
      <c r="E33" s="55"/>
      <c r="F33" s="54"/>
      <c r="G33" s="130">
        <f>'Capex Category Summary (Comb)'!AO67</f>
        <v>0</v>
      </c>
      <c r="H33" s="50">
        <f>'Capex Category Summary (Comb)'!AP67</f>
        <v>0</v>
      </c>
      <c r="I33" s="50">
        <f>'Capex Category Summary (Comb)'!AQ67</f>
        <v>0</v>
      </c>
      <c r="J33" s="50">
        <f>'Capex Category Summary (Comb)'!AR67</f>
        <v>0</v>
      </c>
      <c r="K33" s="131">
        <f>'Capex Category Summary (Comb)'!AS67</f>
        <v>0</v>
      </c>
      <c r="L33" s="54"/>
      <c r="M33" s="520"/>
      <c r="N33" s="469"/>
      <c r="O33" s="611"/>
      <c r="P33" s="611"/>
      <c r="Q33" s="611"/>
      <c r="R33" s="611"/>
      <c r="S33" s="611"/>
      <c r="T33" s="611"/>
      <c r="U33" s="469"/>
      <c r="V33" s="469"/>
      <c r="W33" s="469"/>
      <c r="X33" s="469"/>
      <c r="Z33" s="469"/>
    </row>
    <row r="34" spans="1:26" ht="18" customHeight="1" x14ac:dyDescent="0.2">
      <c r="A34" s="32"/>
      <c r="B34" s="459"/>
      <c r="C34" s="155" t="s">
        <v>58</v>
      </c>
      <c r="D34" s="155"/>
      <c r="E34" s="133"/>
      <c r="F34" s="132"/>
      <c r="G34" s="130">
        <f>'Capex Category Summary (Comb)'!AO69</f>
        <v>0</v>
      </c>
      <c r="H34" s="50">
        <f>'Capex Category Summary (Comb)'!AP69</f>
        <v>0</v>
      </c>
      <c r="I34" s="50">
        <f>'Capex Category Summary (Comb)'!AQ69</f>
        <v>0</v>
      </c>
      <c r="J34" s="50">
        <f>'Capex Category Summary (Comb)'!AR69</f>
        <v>0</v>
      </c>
      <c r="K34" s="131">
        <f>'Capex Category Summary (Comb)'!AS69</f>
        <v>0</v>
      </c>
      <c r="L34" s="132"/>
      <c r="M34" s="520"/>
      <c r="N34" s="469"/>
      <c r="O34" s="611"/>
      <c r="P34" s="611"/>
      <c r="Q34" s="611"/>
      <c r="R34" s="611"/>
      <c r="S34" s="611"/>
      <c r="T34" s="611"/>
      <c r="U34" s="469"/>
      <c r="V34" s="469"/>
      <c r="W34" s="469"/>
      <c r="X34" s="469"/>
      <c r="Z34" s="469"/>
    </row>
    <row r="35" spans="1:26" ht="18" customHeight="1" x14ac:dyDescent="0.2">
      <c r="A35" s="32"/>
      <c r="B35" s="456" t="s">
        <v>96</v>
      </c>
      <c r="C35" s="45"/>
      <c r="D35" s="455" t="s">
        <v>96</v>
      </c>
      <c r="E35" s="55"/>
      <c r="F35" s="52"/>
      <c r="G35" s="141">
        <f>('Capex Category Summary (Comb)'!AO65+'Capex Category Summary (Comb)'!AO66+'Capex Category Summary (Comb)'!AO63)</f>
        <v>4.7537793543322833</v>
      </c>
      <c r="H35" s="142">
        <f>('Capex Category Summary (Comb)'!AP65+'Capex Category Summary (Comb)'!AP66+'Capex Category Summary (Comb)'!AP63)</f>
        <v>6.5364798048283621</v>
      </c>
      <c r="I35" s="142">
        <f>('Capex Category Summary (Comb)'!AQ65+'Capex Category Summary (Comb)'!AQ66+'Capex Category Summary (Comb)'!AQ63)</f>
        <v>11.707954752730537</v>
      </c>
      <c r="J35" s="142">
        <f>('Capex Category Summary (Comb)'!AR65+'Capex Category Summary (Comb)'!AR66+'Capex Category Summary (Comb)'!AR63)</f>
        <v>8.3551846883605716</v>
      </c>
      <c r="K35" s="143">
        <f>('Capex Category Summary (Comb)'!AS65+'Capex Category Summary (Comb)'!AS66+'Capex Category Summary (Comb)'!AS63)</f>
        <v>4.1575011641263666</v>
      </c>
      <c r="L35" s="52">
        <f t="shared" ref="L35" si="6">SUM(G35:K35)</f>
        <v>35.510899764378117</v>
      </c>
      <c r="M35" s="520"/>
      <c r="N35" s="469"/>
      <c r="O35" s="611"/>
      <c r="P35" s="611"/>
      <c r="Q35" s="611"/>
      <c r="R35" s="611"/>
      <c r="S35" s="611"/>
      <c r="T35" s="611"/>
      <c r="U35" s="469"/>
      <c r="V35" s="469"/>
      <c r="W35" s="469"/>
      <c r="X35" s="469"/>
      <c r="Z35" s="469"/>
    </row>
    <row r="36" spans="1:26" ht="18" customHeight="1" thickBot="1" x14ac:dyDescent="0.25">
      <c r="A36" s="32"/>
      <c r="B36" s="149" t="s">
        <v>45</v>
      </c>
      <c r="C36" s="150"/>
      <c r="D36" s="150"/>
      <c r="E36" s="100"/>
      <c r="F36" s="99"/>
      <c r="G36" s="144">
        <f t="shared" ref="G36:K36" si="7">SUM(G24:G29,G35:G35)</f>
        <v>103.91017994673757</v>
      </c>
      <c r="H36" s="145">
        <f t="shared" si="7"/>
        <v>122.13045056198645</v>
      </c>
      <c r="I36" s="145">
        <f t="shared" si="7"/>
        <v>115.47829925699119</v>
      </c>
      <c r="J36" s="145">
        <f t="shared" si="7"/>
        <v>93.398577812298129</v>
      </c>
      <c r="K36" s="145">
        <f t="shared" si="7"/>
        <v>64.187786605524835</v>
      </c>
      <c r="L36" s="100">
        <f>SUM(G36:K36)</f>
        <v>499.10529418353815</v>
      </c>
      <c r="M36" s="520"/>
      <c r="N36" s="469"/>
      <c r="O36" s="611"/>
      <c r="P36" s="611"/>
      <c r="Q36" s="611"/>
      <c r="R36" s="611"/>
      <c r="S36" s="611"/>
      <c r="T36" s="611"/>
      <c r="U36" s="469"/>
      <c r="V36" s="469"/>
      <c r="W36" s="469"/>
      <c r="X36" s="469"/>
      <c r="Z36" s="469"/>
    </row>
    <row r="37" spans="1:26" x14ac:dyDescent="0.2">
      <c r="A37" s="32"/>
      <c r="B37" s="32"/>
      <c r="C37" s="66"/>
      <c r="D37" s="66"/>
      <c r="E37" s="66"/>
      <c r="F37" s="488"/>
      <c r="G37" s="514">
        <f>G36-G20</f>
        <v>0.63525250685127332</v>
      </c>
      <c r="H37" s="514">
        <f t="shared" ref="H37:L37" si="8">H36-H20</f>
        <v>1.3680713901657384</v>
      </c>
      <c r="I37" s="514">
        <f t="shared" si="8"/>
        <v>2.0259118512983321</v>
      </c>
      <c r="J37" s="514">
        <f t="shared" si="8"/>
        <v>2.5862821454855833</v>
      </c>
      <c r="K37" s="514">
        <f t="shared" si="8"/>
        <v>2.3777574251596292</v>
      </c>
      <c r="L37" s="514">
        <f t="shared" si="8"/>
        <v>8.9932753189605137</v>
      </c>
      <c r="M37" s="520"/>
      <c r="N37" s="469"/>
      <c r="O37" s="611"/>
      <c r="P37" s="611"/>
      <c r="Q37" s="611"/>
      <c r="R37" s="611"/>
      <c r="S37" s="611"/>
      <c r="T37" s="611"/>
      <c r="U37" s="469"/>
      <c r="V37" s="469"/>
      <c r="W37" s="469"/>
      <c r="X37" s="469"/>
      <c r="Z37" s="469"/>
    </row>
    <row r="38" spans="1:26" ht="24" customHeight="1" x14ac:dyDescent="0.2">
      <c r="A38" s="69"/>
      <c r="B38" s="354" t="s">
        <v>190</v>
      </c>
      <c r="C38" s="354"/>
      <c r="D38" s="354"/>
      <c r="E38" s="354"/>
      <c r="F38" s="354"/>
      <c r="G38" s="579"/>
      <c r="H38" s="579"/>
      <c r="I38" s="579"/>
      <c r="J38" s="579"/>
      <c r="K38" s="579"/>
      <c r="L38" s="579"/>
      <c r="M38" s="521"/>
      <c r="N38" s="603"/>
      <c r="O38" s="612"/>
      <c r="P38" s="612"/>
      <c r="Q38" s="612"/>
      <c r="R38" s="612"/>
      <c r="S38" s="612"/>
      <c r="T38" s="611"/>
      <c r="U38" s="469"/>
      <c r="V38" s="469"/>
      <c r="W38" s="469"/>
      <c r="X38" s="469"/>
      <c r="Z38" s="469"/>
    </row>
    <row r="39" spans="1:26" x14ac:dyDescent="0.2">
      <c r="A39" s="32"/>
      <c r="B39" s="32"/>
      <c r="C39" s="12"/>
      <c r="D39" s="12"/>
      <c r="E39" s="55"/>
      <c r="F39" s="54"/>
      <c r="G39" s="55"/>
      <c r="H39" s="54"/>
      <c r="I39" s="54"/>
      <c r="J39" s="54"/>
      <c r="K39" s="95"/>
      <c r="L39" s="54"/>
      <c r="M39" s="522"/>
      <c r="N39" s="604"/>
      <c r="O39" s="613"/>
      <c r="P39" s="613"/>
      <c r="Q39" s="613"/>
      <c r="R39" s="613"/>
      <c r="S39" s="613"/>
      <c r="T39" s="611"/>
      <c r="U39" s="469"/>
      <c r="V39" s="469"/>
      <c r="W39" s="469"/>
      <c r="X39" s="469"/>
      <c r="Z39" s="469"/>
    </row>
    <row r="40" spans="1:26" ht="18" customHeight="1" x14ac:dyDescent="0.2">
      <c r="A40" s="32"/>
      <c r="B40" s="77" t="s">
        <v>48</v>
      </c>
      <c r="C40" s="45"/>
      <c r="D40" s="452" t="s">
        <v>102</v>
      </c>
      <c r="E40" s="55"/>
      <c r="F40" s="52"/>
      <c r="G40" s="55">
        <f>SUM('Overheads (Comb)'!F12:F20)</f>
        <v>37.803500081057152</v>
      </c>
      <c r="H40" s="54">
        <f>SUM('Overheads (Comb)'!G12:G20)</f>
        <v>39.739113243464402</v>
      </c>
      <c r="I40" s="54">
        <f>SUM('Overheads (Comb)'!H12:H20)</f>
        <v>40.182874751678007</v>
      </c>
      <c r="J40" s="54">
        <f>SUM('Overheads (Comb)'!I12:I20)</f>
        <v>38.55410383690684</v>
      </c>
      <c r="K40" s="95">
        <f>SUM('Overheads (Comb)'!J12:J20)</f>
        <v>10.395667305791291</v>
      </c>
      <c r="L40" s="136">
        <f>SUM(G40:K40)</f>
        <v>166.67525921889768</v>
      </c>
      <c r="M40" s="522"/>
      <c r="N40" s="604"/>
      <c r="O40" s="618"/>
      <c r="P40" s="618"/>
      <c r="Q40" s="618"/>
      <c r="R40" s="618"/>
      <c r="S40" s="618"/>
      <c r="T40" s="618"/>
      <c r="U40" s="469"/>
      <c r="V40" s="469"/>
      <c r="W40" s="469"/>
      <c r="X40" s="469"/>
      <c r="Z40" s="469"/>
    </row>
    <row r="41" spans="1:26" ht="18" customHeight="1" x14ac:dyDescent="0.2">
      <c r="A41" s="32"/>
      <c r="B41" s="456" t="s">
        <v>49</v>
      </c>
      <c r="C41" s="45"/>
      <c r="D41" s="453" t="s">
        <v>70</v>
      </c>
      <c r="E41" s="466"/>
      <c r="F41" s="52"/>
      <c r="G41" s="55">
        <f>SUM('Overheads (Comb)'!F10:F11)</f>
        <v>8.3472278124794332</v>
      </c>
      <c r="H41" s="54">
        <f>SUM('Overheads (Comb)'!G10:G11)</f>
        <v>8.2407911383715717</v>
      </c>
      <c r="I41" s="54">
        <f>SUM('Overheads (Comb)'!H10:H11)</f>
        <v>8.2937638805300384</v>
      </c>
      <c r="J41" s="54">
        <f>SUM('Overheads (Comb)'!I10:I11)</f>
        <v>5.8168028761003718</v>
      </c>
      <c r="K41" s="95">
        <f>SUM('Overheads (Comb)'!J10:J11)</f>
        <v>6.115108006505432</v>
      </c>
      <c r="L41" s="136">
        <f>SUM(G41:K41)</f>
        <v>36.813693713986851</v>
      </c>
      <c r="M41" s="522"/>
      <c r="N41" s="604"/>
      <c r="O41" s="618"/>
      <c r="P41" s="618"/>
      <c r="Q41" s="618"/>
      <c r="R41" s="618"/>
      <c r="S41" s="618"/>
      <c r="T41" s="618"/>
      <c r="U41" s="469"/>
      <c r="V41" s="469"/>
      <c r="W41" s="469"/>
      <c r="X41" s="469"/>
      <c r="Z41" s="469"/>
    </row>
    <row r="42" spans="1:26" ht="18" customHeight="1" x14ac:dyDescent="0.2">
      <c r="A42" s="32"/>
      <c r="B42" s="456" t="s">
        <v>50</v>
      </c>
      <c r="C42" s="45"/>
      <c r="D42" s="452" t="s">
        <v>102</v>
      </c>
      <c r="E42" s="55"/>
      <c r="F42" s="52"/>
      <c r="G42" s="55">
        <f>'Overheads (Comb)'!F39</f>
        <v>10.368352150666727</v>
      </c>
      <c r="H42" s="54">
        <f>'Overheads (Comb)'!G39</f>
        <v>13.298410019912676</v>
      </c>
      <c r="I42" s="54">
        <f>'Overheads (Comb)'!H39</f>
        <v>8.293350390604175</v>
      </c>
      <c r="J42" s="54">
        <f>'Overheads (Comb)'!I39</f>
        <v>3.9823285304384206</v>
      </c>
      <c r="K42" s="95">
        <f>'Overheads (Comb)'!J39</f>
        <v>2.5945026153283539</v>
      </c>
      <c r="L42" s="136">
        <f t="shared" ref="L42:L51" si="9">SUM(G42:K42)</f>
        <v>38.536943706950353</v>
      </c>
      <c r="M42" s="522"/>
      <c r="N42" s="604"/>
      <c r="O42" s="618"/>
      <c r="P42" s="618"/>
      <c r="Q42" s="618"/>
      <c r="R42" s="618"/>
      <c r="S42" s="618"/>
      <c r="T42" s="618"/>
      <c r="U42" s="469"/>
      <c r="V42" s="469"/>
      <c r="W42" s="469"/>
      <c r="X42" s="469"/>
      <c r="Z42" s="469"/>
    </row>
    <row r="43" spans="1:26" ht="18" customHeight="1" x14ac:dyDescent="0.2">
      <c r="A43" s="32"/>
      <c r="B43" s="456" t="s">
        <v>1</v>
      </c>
      <c r="C43" s="45"/>
      <c r="D43" s="452" t="s">
        <v>1</v>
      </c>
      <c r="E43" s="55"/>
      <c r="F43" s="52"/>
      <c r="G43" s="55">
        <f>'Overheads (Comb)'!F33</f>
        <v>0.30420103500004991</v>
      </c>
      <c r="H43" s="54">
        <f>'Overheads (Comb)'!G33</f>
        <v>0.28905095042515028</v>
      </c>
      <c r="I43" s="54">
        <f>'Overheads (Comb)'!H33</f>
        <v>0.28481243845566862</v>
      </c>
      <c r="J43" s="54">
        <f>'Overheads (Comb)'!I33</f>
        <v>0.29405974770081161</v>
      </c>
      <c r="K43" s="95">
        <f>'Overheads (Comb)'!J33</f>
        <v>0.17181317938572713</v>
      </c>
      <c r="L43" s="136">
        <f t="shared" si="9"/>
        <v>1.3439373509674075</v>
      </c>
      <c r="M43" s="522"/>
      <c r="N43" s="604"/>
      <c r="O43" s="618"/>
      <c r="P43" s="618"/>
      <c r="Q43" s="618"/>
      <c r="R43" s="618"/>
      <c r="S43" s="618"/>
      <c r="T43" s="618"/>
      <c r="U43" s="469"/>
      <c r="V43" s="469"/>
      <c r="W43" s="469"/>
      <c r="X43" s="469"/>
      <c r="Z43" s="469"/>
    </row>
    <row r="44" spans="1:26" ht="18" customHeight="1" x14ac:dyDescent="0.2">
      <c r="A44" s="32"/>
      <c r="B44" s="456" t="s">
        <v>52</v>
      </c>
      <c r="C44" s="45"/>
      <c r="D44" s="452" t="s">
        <v>2</v>
      </c>
      <c r="E44" s="55"/>
      <c r="F44" s="52"/>
      <c r="G44" s="55">
        <f>'Overheads (Comb)'!F35</f>
        <v>12.892729630749114</v>
      </c>
      <c r="H44" s="54">
        <f>'Overheads (Comb)'!G35</f>
        <v>26.895143598215117</v>
      </c>
      <c r="I44" s="54">
        <f>'Overheads (Comb)'!H35</f>
        <v>18.492220241276542</v>
      </c>
      <c r="J44" s="54">
        <f>'Overheads (Comb)'!I35</f>
        <v>6.0390979676275824</v>
      </c>
      <c r="K44" s="95">
        <f>'Overheads (Comb)'!J35</f>
        <v>7.4085867016410294</v>
      </c>
      <c r="L44" s="136">
        <f t="shared" si="9"/>
        <v>71.727778139509383</v>
      </c>
      <c r="M44" s="522"/>
      <c r="N44" s="604"/>
      <c r="O44" s="618"/>
      <c r="P44" s="618"/>
      <c r="Q44" s="618"/>
      <c r="R44" s="618"/>
      <c r="S44" s="618"/>
      <c r="T44" s="618"/>
      <c r="U44" s="469"/>
      <c r="V44" s="469"/>
      <c r="W44" s="469"/>
      <c r="X44" s="469"/>
      <c r="Z44" s="469"/>
    </row>
    <row r="45" spans="1:26" ht="18" customHeight="1" x14ac:dyDescent="0.2">
      <c r="A45" s="32"/>
      <c r="B45" s="457" t="s">
        <v>53</v>
      </c>
      <c r="C45" s="45"/>
      <c r="D45" s="452"/>
      <c r="E45" s="55"/>
      <c r="F45" s="52"/>
      <c r="G45" s="55">
        <f>SUM(G46:G50)</f>
        <v>40.465513451091979</v>
      </c>
      <c r="H45" s="54">
        <f t="shared" ref="H45:K45" si="10">SUM(H46:H50)</f>
        <v>38.410756409160143</v>
      </c>
      <c r="I45" s="54">
        <f t="shared" si="10"/>
        <v>38.813061489226101</v>
      </c>
      <c r="J45" s="54">
        <f t="shared" si="10"/>
        <v>40.685901321411656</v>
      </c>
      <c r="K45" s="95">
        <f t="shared" si="10"/>
        <v>43.407217863230521</v>
      </c>
      <c r="L45" s="136">
        <f t="shared" si="9"/>
        <v>201.78245053412041</v>
      </c>
      <c r="M45" s="522"/>
      <c r="N45" s="604"/>
      <c r="O45" s="618"/>
      <c r="P45" s="618"/>
      <c r="Q45" s="618"/>
      <c r="R45" s="618"/>
      <c r="S45" s="618"/>
      <c r="T45" s="618"/>
      <c r="U45" s="469"/>
      <c r="V45" s="469"/>
      <c r="W45" s="469"/>
      <c r="X45" s="469"/>
      <c r="Z45" s="469"/>
    </row>
    <row r="46" spans="1:26" ht="18" customHeight="1" x14ac:dyDescent="0.2">
      <c r="A46" s="32"/>
      <c r="B46" s="458"/>
      <c r="C46" s="152" t="s">
        <v>54</v>
      </c>
      <c r="D46" s="454" t="s">
        <v>102</v>
      </c>
      <c r="E46" s="199"/>
      <c r="F46" s="126"/>
      <c r="G46" s="127">
        <f>('Overheads (Comb)'!F21+'Overheads (Comb)'!F22+'Overheads (Comb)'!F23)</f>
        <v>11.232307092931332</v>
      </c>
      <c r="H46" s="128">
        <f>('Overheads (Comb)'!G21+'Overheads (Comb)'!G22+'Overheads (Comb)'!G23)</f>
        <v>10.703503262202808</v>
      </c>
      <c r="I46" s="128">
        <f>('Overheads (Comb)'!H21+'Overheads (Comb)'!H22+'Overheads (Comb)'!H23)</f>
        <v>10.827879696483667</v>
      </c>
      <c r="J46" s="128">
        <f>('Overheads (Comb)'!I21+'Overheads (Comb)'!I22+'Overheads (Comb)'!I23)</f>
        <v>11.315279191557172</v>
      </c>
      <c r="K46" s="129">
        <f>('Overheads (Comb)'!J21+'Overheads (Comb)'!J22+'Overheads (Comb)'!J23)</f>
        <v>12.066708049345149</v>
      </c>
      <c r="L46" s="137"/>
      <c r="M46" s="522"/>
      <c r="N46" s="604"/>
      <c r="O46" s="618"/>
      <c r="P46" s="618"/>
      <c r="Q46" s="618"/>
      <c r="R46" s="618"/>
      <c r="S46" s="618"/>
      <c r="T46" s="618"/>
      <c r="U46" s="469"/>
      <c r="V46" s="469"/>
      <c r="W46" s="469"/>
      <c r="X46" s="469"/>
      <c r="Z46" s="469"/>
    </row>
    <row r="47" spans="1:26" ht="18" customHeight="1" x14ac:dyDescent="0.2">
      <c r="A47" s="32"/>
      <c r="B47" s="458"/>
      <c r="C47" s="153" t="s">
        <v>55</v>
      </c>
      <c r="D47" s="455" t="s">
        <v>102</v>
      </c>
      <c r="E47" s="55"/>
      <c r="F47" s="54"/>
      <c r="G47" s="130">
        <f>('Overheads (Comb)'!F26+'Overheads (Comb)'!F27+'Overheads (Comb)'!F28+'Overheads (Comb)'!F29)</f>
        <v>21.968728623411089</v>
      </c>
      <c r="H47" s="50">
        <f>('Overheads (Comb)'!G26+'Overheads (Comb)'!G27+'Overheads (Comb)'!G28+'Overheads (Comb)'!G29)</f>
        <v>20.746506445052717</v>
      </c>
      <c r="I47" s="50">
        <f>('Overheads (Comb)'!H26+'Overheads (Comb)'!H27+'Overheads (Comb)'!H28+'Overheads (Comb)'!H29)</f>
        <v>20.963338391791527</v>
      </c>
      <c r="J47" s="50">
        <f>('Overheads (Comb)'!I26+'Overheads (Comb)'!I27+'Overheads (Comb)'!I28+'Overheads (Comb)'!I29)</f>
        <v>21.955846891495398</v>
      </c>
      <c r="K47" s="131">
        <f>('Overheads (Comb)'!J26+'Overheads (Comb)'!J27+'Overheads (Comb)'!J28+'Overheads (Comb)'!J29)</f>
        <v>23.449092077583391</v>
      </c>
      <c r="L47" s="135"/>
      <c r="M47" s="522"/>
      <c r="N47" s="604"/>
      <c r="O47" s="618"/>
      <c r="P47" s="618"/>
      <c r="Q47" s="618"/>
      <c r="R47" s="618"/>
      <c r="S47" s="618"/>
      <c r="T47" s="618"/>
      <c r="U47" s="469"/>
      <c r="V47" s="469"/>
      <c r="W47" s="469"/>
      <c r="X47" s="469"/>
      <c r="Z47" s="469"/>
    </row>
    <row r="48" spans="1:26" ht="18" customHeight="1" x14ac:dyDescent="0.2">
      <c r="A48" s="32"/>
      <c r="B48" s="458"/>
      <c r="C48" s="153" t="s">
        <v>56</v>
      </c>
      <c r="D48" s="455" t="s">
        <v>70</v>
      </c>
      <c r="E48" s="55"/>
      <c r="F48" s="54"/>
      <c r="G48" s="130">
        <f>('Overheads (Comb)'!F24+'Overheads (Comb)'!F25)</f>
        <v>7.2644777347495584</v>
      </c>
      <c r="H48" s="50">
        <f>('Overheads (Comb)'!G24+'Overheads (Comb)'!G25)</f>
        <v>6.9607467019046201</v>
      </c>
      <c r="I48" s="50">
        <f>('Overheads (Comb)'!H24+'Overheads (Comb)'!H25)</f>
        <v>7.0218434009509076</v>
      </c>
      <c r="J48" s="50">
        <f>('Overheads (Comb)'!I24+'Overheads (Comb)'!I25)</f>
        <v>7.4147752383590824</v>
      </c>
      <c r="K48" s="131">
        <f>('Overheads (Comb)'!J24+'Overheads (Comb)'!J25)</f>
        <v>7.8914177363019808</v>
      </c>
      <c r="L48" s="135"/>
      <c r="M48" s="522"/>
      <c r="N48" s="604"/>
      <c r="O48" s="618"/>
      <c r="P48" s="618"/>
      <c r="Q48" s="618"/>
      <c r="R48" s="618"/>
      <c r="S48" s="618"/>
      <c r="T48" s="618"/>
      <c r="U48" s="469"/>
      <c r="V48" s="469"/>
      <c r="W48" s="469"/>
      <c r="X48" s="469"/>
      <c r="Z48" s="469"/>
    </row>
    <row r="49" spans="1:26" ht="18" customHeight="1" x14ac:dyDescent="0.2">
      <c r="A49" s="32"/>
      <c r="B49" s="458"/>
      <c r="C49" s="153" t="s">
        <v>57</v>
      </c>
      <c r="D49" s="153"/>
      <c r="E49" s="55"/>
      <c r="F49" s="54"/>
      <c r="G49" s="130">
        <f>'Overheads (Comb)'!F38</f>
        <v>0</v>
      </c>
      <c r="H49" s="50">
        <f>'Overheads (Comb)'!G38</f>
        <v>0</v>
      </c>
      <c r="I49" s="50">
        <f>'Overheads (Comb)'!H38</f>
        <v>0</v>
      </c>
      <c r="J49" s="50">
        <f>'Overheads (Comb)'!I38</f>
        <v>0</v>
      </c>
      <c r="K49" s="131">
        <f>'Overheads (Comb)'!J38</f>
        <v>0</v>
      </c>
      <c r="L49" s="135"/>
      <c r="M49" s="522"/>
      <c r="N49" s="604"/>
      <c r="O49" s="618"/>
      <c r="P49" s="618"/>
      <c r="Q49" s="618"/>
      <c r="R49" s="618"/>
      <c r="S49" s="618"/>
      <c r="T49" s="618"/>
      <c r="U49" s="469"/>
      <c r="V49" s="469"/>
      <c r="W49" s="469"/>
      <c r="X49" s="469"/>
      <c r="Z49" s="469"/>
    </row>
    <row r="50" spans="1:26" ht="18" customHeight="1" x14ac:dyDescent="0.2">
      <c r="A50" s="32"/>
      <c r="B50" s="459"/>
      <c r="C50" s="155" t="s">
        <v>58</v>
      </c>
      <c r="D50" s="155"/>
      <c r="E50" s="133"/>
      <c r="F50" s="132"/>
      <c r="G50" s="130">
        <f>'Overheads (Comb)'!F40</f>
        <v>0</v>
      </c>
      <c r="H50" s="50">
        <f>'Overheads (Comb)'!G40</f>
        <v>0</v>
      </c>
      <c r="I50" s="50">
        <f>'Overheads (Comb)'!H40</f>
        <v>0</v>
      </c>
      <c r="J50" s="50">
        <f>'Overheads (Comb)'!I40</f>
        <v>0</v>
      </c>
      <c r="K50" s="131">
        <f>'Overheads (Comb)'!J40</f>
        <v>0</v>
      </c>
      <c r="L50" s="138"/>
      <c r="M50" s="522"/>
      <c r="N50" s="604"/>
      <c r="O50" s="618"/>
      <c r="P50" s="618"/>
      <c r="Q50" s="618"/>
      <c r="R50" s="618"/>
      <c r="S50" s="618"/>
      <c r="T50" s="618"/>
      <c r="U50" s="469"/>
      <c r="V50" s="469"/>
      <c r="W50" s="469"/>
      <c r="X50" s="469"/>
      <c r="Z50" s="469"/>
    </row>
    <row r="51" spans="1:26" ht="18" customHeight="1" x14ac:dyDescent="0.2">
      <c r="A51" s="32"/>
      <c r="B51" s="456" t="s">
        <v>96</v>
      </c>
      <c r="C51" s="45"/>
      <c r="D51" s="455" t="s">
        <v>96</v>
      </c>
      <c r="E51" s="55"/>
      <c r="F51" s="52"/>
      <c r="G51" s="199">
        <f>('Overheads (Comb)'!F34+'Overheads (Comb)'!F36+'Overheads (Comb)'!F37)</f>
        <v>5.2823484077310763</v>
      </c>
      <c r="H51" s="126">
        <f>('Overheads (Comb)'!G34+'Overheads (Comb)'!G36+'Overheads (Comb)'!G37)</f>
        <v>7.1742888609436246</v>
      </c>
      <c r="I51" s="126">
        <f>('Overheads (Comb)'!H34+'Overheads (Comb)'!H36+'Overheads (Comb)'!H37)</f>
        <v>12.902748718086556</v>
      </c>
      <c r="J51" s="126">
        <f>('Overheads (Comb)'!I34+'Overheads (Comb)'!I36+'Overheads (Comb)'!I37)</f>
        <v>9.3699593065664235</v>
      </c>
      <c r="K51" s="608">
        <f>('Overheads (Comb)'!J34+'Overheads (Comb)'!J36+'Overheads (Comb)'!J37)</f>
        <v>4.8544046261001785</v>
      </c>
      <c r="L51" s="136">
        <f t="shared" si="9"/>
        <v>39.583749919427859</v>
      </c>
      <c r="M51" s="522"/>
      <c r="N51" s="604"/>
      <c r="O51" s="618"/>
      <c r="P51" s="618"/>
      <c r="Q51" s="618"/>
      <c r="R51" s="618"/>
      <c r="S51" s="618"/>
      <c r="T51" s="618"/>
      <c r="U51" s="469"/>
      <c r="V51" s="469"/>
      <c r="W51" s="469"/>
      <c r="X51" s="469"/>
      <c r="Z51" s="469"/>
    </row>
    <row r="52" spans="1:26" ht="18" customHeight="1" thickBot="1" x14ac:dyDescent="0.25">
      <c r="A52" s="32"/>
      <c r="B52" s="149" t="s">
        <v>45</v>
      </c>
      <c r="C52" s="150"/>
      <c r="D52" s="150"/>
      <c r="E52" s="100"/>
      <c r="F52" s="99"/>
      <c r="G52" s="100">
        <f>SUM(G40:G45,G51:G51)</f>
        <v>115.46387256877553</v>
      </c>
      <c r="H52" s="99">
        <f t="shared" ref="H52:K52" si="11">SUM(H40:H45,H51:H51)</f>
        <v>134.04755422049269</v>
      </c>
      <c r="I52" s="99">
        <f t="shared" si="11"/>
        <v>127.26283190985708</v>
      </c>
      <c r="J52" s="99">
        <f t="shared" si="11"/>
        <v>104.74225358675211</v>
      </c>
      <c r="K52" s="101">
        <f t="shared" si="11"/>
        <v>74.947300297982537</v>
      </c>
      <c r="L52" s="99">
        <f>SUM(G52:K52)</f>
        <v>556.46381258385998</v>
      </c>
      <c r="M52" s="523"/>
      <c r="N52" s="605"/>
      <c r="O52" s="611"/>
      <c r="P52" s="611"/>
      <c r="Q52" s="611"/>
      <c r="R52" s="611"/>
      <c r="S52" s="611"/>
      <c r="T52" s="611"/>
      <c r="U52" s="469"/>
      <c r="V52" s="469"/>
      <c r="W52" s="469"/>
      <c r="X52" s="469"/>
      <c r="Z52" s="469"/>
    </row>
    <row r="53" spans="1:26" s="67" customFormat="1" ht="11.25" x14ac:dyDescent="0.2">
      <c r="A53" s="66"/>
      <c r="B53" s="419"/>
      <c r="C53" s="419"/>
      <c r="D53" s="419"/>
      <c r="E53" s="57"/>
      <c r="F53" s="50"/>
      <c r="G53" s="50">
        <f>G52-'Overheads (Comb)'!F43</f>
        <v>0</v>
      </c>
      <c r="H53" s="50">
        <f>H52-'Overheads (Comb)'!G43</f>
        <v>0</v>
      </c>
      <c r="I53" s="50">
        <f>I52-'Overheads (Comb)'!H43</f>
        <v>0</v>
      </c>
      <c r="J53" s="50">
        <f>J52-'Overheads (Comb)'!I43</f>
        <v>0</v>
      </c>
      <c r="K53" s="50">
        <f>K52-'Overheads (Comb)'!J43</f>
        <v>0</v>
      </c>
      <c r="L53" s="50">
        <f>L52-'Overheads (Comb)'!K43</f>
        <v>0</v>
      </c>
      <c r="M53" s="184"/>
      <c r="N53" s="606"/>
      <c r="O53" s="614"/>
      <c r="P53" s="614"/>
      <c r="Q53" s="614"/>
      <c r="R53" s="614"/>
      <c r="S53" s="614"/>
      <c r="T53" s="615"/>
    </row>
    <row r="54" spans="1:26" ht="15" x14ac:dyDescent="0.25">
      <c r="A54" s="32"/>
      <c r="B54" s="105"/>
      <c r="C54" s="105"/>
      <c r="D54" s="105"/>
      <c r="E54" s="139"/>
      <c r="F54" s="49"/>
      <c r="G54" s="339">
        <f>G52-G36</f>
        <v>11.553692622037957</v>
      </c>
      <c r="H54" s="339">
        <f t="shared" ref="H54:L54" si="12">H52-H36</f>
        <v>11.917103658506235</v>
      </c>
      <c r="I54" s="339">
        <f t="shared" si="12"/>
        <v>11.784532652865892</v>
      </c>
      <c r="J54" s="339">
        <f t="shared" si="12"/>
        <v>11.343675774453985</v>
      </c>
      <c r="K54" s="339">
        <f t="shared" si="12"/>
        <v>10.759513692457702</v>
      </c>
      <c r="L54" s="339">
        <f t="shared" si="12"/>
        <v>57.358518400321827</v>
      </c>
      <c r="M54" s="139"/>
      <c r="N54" s="607"/>
      <c r="O54" s="616"/>
      <c r="P54" s="616"/>
      <c r="Q54" s="616"/>
      <c r="R54" s="616"/>
      <c r="S54" s="616"/>
    </row>
    <row r="55" spans="1:26" ht="15" x14ac:dyDescent="0.25">
      <c r="B55" s="107"/>
      <c r="C55" s="107"/>
      <c r="D55" s="107"/>
      <c r="E55" s="108"/>
      <c r="F55" s="108"/>
      <c r="G55" s="108"/>
      <c r="H55" s="108"/>
      <c r="I55" s="108"/>
      <c r="J55" s="108"/>
      <c r="K55" s="108"/>
      <c r="L55" s="108"/>
      <c r="M55" s="109"/>
      <c r="N55" s="109"/>
      <c r="O55" s="616"/>
      <c r="P55" s="616"/>
      <c r="Q55" s="616"/>
      <c r="R55" s="616"/>
      <c r="S55" s="616"/>
      <c r="U55" s="534"/>
    </row>
    <row r="56" spans="1:26" ht="15" x14ac:dyDescent="0.25">
      <c r="B56" s="107"/>
      <c r="C56" s="107"/>
      <c r="D56" s="107"/>
      <c r="E56" s="108"/>
      <c r="F56" s="108"/>
      <c r="G56" s="108"/>
      <c r="H56" s="108"/>
      <c r="I56" s="108"/>
      <c r="J56" s="108"/>
      <c r="K56" s="108"/>
      <c r="L56" s="108"/>
      <c r="M56" s="109"/>
      <c r="N56" s="109"/>
      <c r="O56" s="616"/>
      <c r="P56" s="616"/>
      <c r="Q56" s="616"/>
      <c r="R56" s="616"/>
      <c r="S56" s="616"/>
    </row>
    <row r="57" spans="1:26" ht="15" x14ac:dyDescent="0.25">
      <c r="B57" s="107"/>
      <c r="C57" s="107"/>
      <c r="D57" s="107"/>
      <c r="E57" s="108"/>
      <c r="F57" s="108"/>
      <c r="G57" s="108"/>
      <c r="H57" s="108"/>
      <c r="I57" s="108"/>
      <c r="J57" s="108"/>
      <c r="K57" s="108"/>
      <c r="L57" s="108"/>
      <c r="M57" s="109"/>
      <c r="N57" s="109"/>
      <c r="O57" s="616"/>
      <c r="P57" s="616"/>
      <c r="Q57" s="616"/>
      <c r="R57" s="616"/>
      <c r="S57" s="616"/>
    </row>
    <row r="58" spans="1:26" ht="15" x14ac:dyDescent="0.25">
      <c r="B58" s="107"/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9"/>
      <c r="N58" s="109"/>
      <c r="O58" s="616"/>
      <c r="P58" s="616"/>
      <c r="Q58" s="616"/>
      <c r="R58" s="616"/>
      <c r="S58" s="616"/>
    </row>
    <row r="59" spans="1:26" ht="15" x14ac:dyDescent="0.25">
      <c r="B59" s="107"/>
      <c r="C59" s="107"/>
      <c r="D59" s="107"/>
      <c r="E59" s="108"/>
      <c r="F59" s="108"/>
      <c r="G59" s="108"/>
      <c r="H59" s="108"/>
      <c r="I59" s="108"/>
      <c r="J59" s="108"/>
      <c r="K59" s="108"/>
      <c r="L59" s="108"/>
      <c r="M59" s="109"/>
      <c r="N59" s="109"/>
      <c r="O59" s="616"/>
      <c r="P59" s="616"/>
      <c r="Q59" s="616"/>
      <c r="R59" s="616"/>
      <c r="S59" s="616"/>
    </row>
    <row r="60" spans="1:26" ht="15" x14ac:dyDescent="0.25">
      <c r="B60" s="107"/>
      <c r="C60" s="107"/>
      <c r="D60" s="107"/>
      <c r="E60" s="108"/>
      <c r="F60" s="108"/>
      <c r="G60" s="108"/>
      <c r="H60" s="108"/>
      <c r="I60" s="108"/>
      <c r="J60" s="108"/>
      <c r="K60" s="108"/>
      <c r="L60" s="108"/>
      <c r="M60" s="109"/>
      <c r="N60" s="109"/>
      <c r="O60" s="616"/>
      <c r="P60" s="616"/>
      <c r="Q60" s="616"/>
      <c r="R60" s="616"/>
      <c r="S60" s="616"/>
    </row>
    <row r="61" spans="1:26" ht="15" x14ac:dyDescent="0.25">
      <c r="B61" s="107"/>
      <c r="C61" s="107"/>
      <c r="D61" s="107"/>
      <c r="E61" s="108"/>
      <c r="F61" s="108"/>
      <c r="G61" s="108"/>
      <c r="H61" s="108"/>
      <c r="I61" s="108"/>
      <c r="J61" s="108"/>
      <c r="K61" s="108"/>
      <c r="L61" s="108"/>
      <c r="M61" s="109"/>
      <c r="N61" s="109"/>
      <c r="O61" s="616"/>
      <c r="P61" s="616"/>
      <c r="Q61" s="616"/>
      <c r="R61" s="616"/>
      <c r="S61" s="616"/>
    </row>
    <row r="62" spans="1:26" ht="15" x14ac:dyDescent="0.25">
      <c r="B62" s="107"/>
      <c r="C62" s="107"/>
      <c r="D62" s="107"/>
      <c r="E62" s="108"/>
      <c r="F62" s="108"/>
      <c r="G62" s="108"/>
      <c r="H62" s="108"/>
      <c r="I62" s="108"/>
      <c r="J62" s="108"/>
      <c r="K62" s="108"/>
      <c r="L62" s="108"/>
      <c r="M62" s="109"/>
      <c r="N62" s="109"/>
      <c r="O62" s="616"/>
      <c r="P62" s="616"/>
      <c r="Q62" s="616"/>
      <c r="R62" s="616"/>
      <c r="S62" s="616"/>
    </row>
    <row r="63" spans="1:26" ht="15" x14ac:dyDescent="0.25">
      <c r="B63" s="107"/>
      <c r="C63" s="107"/>
      <c r="D63" s="107"/>
      <c r="E63" s="108"/>
      <c r="F63" s="108"/>
      <c r="G63" s="108"/>
      <c r="H63" s="108"/>
      <c r="I63" s="108"/>
      <c r="J63" s="108"/>
      <c r="K63" s="108"/>
      <c r="L63" s="108"/>
      <c r="M63" s="109"/>
      <c r="N63" s="109"/>
      <c r="O63" s="616"/>
      <c r="P63" s="616"/>
      <c r="Q63" s="616"/>
      <c r="R63" s="616"/>
      <c r="S63" s="616"/>
    </row>
    <row r="64" spans="1:26" ht="15" x14ac:dyDescent="0.25">
      <c r="B64" s="107"/>
      <c r="C64" s="107"/>
      <c r="D64" s="107"/>
      <c r="E64" s="108"/>
      <c r="F64" s="108"/>
      <c r="G64" s="108"/>
      <c r="H64" s="108"/>
      <c r="I64" s="108"/>
      <c r="J64" s="108"/>
      <c r="K64" s="108"/>
      <c r="L64" s="108"/>
      <c r="M64" s="109"/>
      <c r="N64" s="109"/>
      <c r="O64" s="616"/>
      <c r="P64" s="616"/>
      <c r="Q64" s="616"/>
      <c r="R64" s="616"/>
      <c r="S64" s="616"/>
    </row>
    <row r="65" spans="2:19" ht="15" x14ac:dyDescent="0.25">
      <c r="B65" s="107"/>
      <c r="C65" s="107"/>
      <c r="D65" s="107"/>
      <c r="E65" s="108"/>
      <c r="F65" s="108"/>
      <c r="G65" s="108"/>
      <c r="H65" s="108"/>
      <c r="I65" s="108"/>
      <c r="J65" s="108"/>
      <c r="K65" s="108"/>
      <c r="L65" s="108"/>
      <c r="M65" s="109"/>
      <c r="N65" s="109"/>
      <c r="O65" s="616"/>
      <c r="P65" s="616"/>
      <c r="Q65" s="616"/>
      <c r="R65" s="616"/>
      <c r="S65" s="616"/>
    </row>
    <row r="66" spans="2:19" ht="15" x14ac:dyDescent="0.25">
      <c r="B66" s="107"/>
      <c r="C66" s="107"/>
      <c r="D66" s="107"/>
      <c r="E66" s="108"/>
      <c r="F66" s="108"/>
      <c r="G66" s="108"/>
      <c r="H66" s="108"/>
      <c r="I66" s="108"/>
      <c r="J66" s="108"/>
      <c r="K66" s="108"/>
      <c r="L66" s="108"/>
      <c r="M66" s="109"/>
      <c r="N66" s="109"/>
      <c r="O66" s="616"/>
      <c r="P66" s="616"/>
      <c r="Q66" s="616"/>
      <c r="R66" s="616"/>
      <c r="S66" s="616"/>
    </row>
    <row r="67" spans="2:19" ht="15" x14ac:dyDescent="0.25">
      <c r="B67" s="107"/>
      <c r="C67" s="107"/>
      <c r="D67" s="107"/>
      <c r="E67" s="108"/>
      <c r="F67" s="108"/>
      <c r="G67" s="108"/>
      <c r="H67" s="108"/>
      <c r="I67" s="108"/>
      <c r="J67" s="108"/>
      <c r="K67" s="108"/>
      <c r="L67" s="108"/>
      <c r="M67" s="109"/>
      <c r="N67" s="109"/>
      <c r="O67" s="616"/>
      <c r="P67" s="616"/>
      <c r="Q67" s="616"/>
      <c r="R67" s="616"/>
      <c r="S67" s="616"/>
    </row>
    <row r="68" spans="2:19" ht="15" x14ac:dyDescent="0.25">
      <c r="B68" s="107"/>
      <c r="C68" s="107"/>
      <c r="D68" s="107"/>
      <c r="E68" s="108"/>
      <c r="F68" s="108"/>
      <c r="G68" s="108"/>
      <c r="H68" s="108"/>
      <c r="I68" s="108"/>
      <c r="J68" s="108"/>
      <c r="K68" s="108"/>
      <c r="L68" s="108"/>
      <c r="M68" s="109"/>
      <c r="N68" s="109"/>
      <c r="O68" s="616"/>
      <c r="P68" s="616"/>
      <c r="Q68" s="616"/>
      <c r="R68" s="616"/>
      <c r="S68" s="616"/>
    </row>
    <row r="69" spans="2:19" ht="15" x14ac:dyDescent="0.25">
      <c r="B69" s="107"/>
      <c r="C69" s="107"/>
      <c r="D69" s="107"/>
      <c r="E69" s="108"/>
      <c r="F69" s="108"/>
      <c r="G69" s="108"/>
      <c r="H69" s="108"/>
      <c r="I69" s="108"/>
      <c r="J69" s="108"/>
      <c r="K69" s="108"/>
      <c r="L69" s="108"/>
      <c r="M69" s="109"/>
      <c r="N69" s="109"/>
      <c r="O69" s="616"/>
      <c r="P69" s="616"/>
      <c r="Q69" s="616"/>
      <c r="R69" s="616"/>
      <c r="S69" s="616"/>
    </row>
    <row r="70" spans="2:19" ht="15" x14ac:dyDescent="0.25">
      <c r="B70" s="107"/>
      <c r="C70" s="107"/>
      <c r="D70" s="107"/>
      <c r="E70" s="108"/>
      <c r="F70" s="108"/>
      <c r="G70" s="108"/>
      <c r="H70" s="108"/>
      <c r="I70" s="108"/>
      <c r="J70" s="108"/>
      <c r="K70" s="108"/>
      <c r="L70" s="108"/>
      <c r="M70" s="109"/>
      <c r="N70" s="109"/>
      <c r="O70" s="616"/>
      <c r="P70" s="616"/>
      <c r="Q70" s="616"/>
      <c r="R70" s="616"/>
      <c r="S70" s="616"/>
    </row>
    <row r="71" spans="2:19" ht="15" x14ac:dyDescent="0.25">
      <c r="B71" s="107"/>
      <c r="C71" s="107"/>
      <c r="D71" s="107"/>
      <c r="E71" s="108"/>
      <c r="F71" s="108"/>
      <c r="G71" s="108"/>
      <c r="H71" s="108"/>
      <c r="I71" s="108"/>
      <c r="J71" s="108"/>
      <c r="K71" s="108"/>
      <c r="L71" s="108"/>
      <c r="M71" s="109"/>
      <c r="N71" s="109"/>
      <c r="O71" s="616"/>
      <c r="P71" s="616"/>
      <c r="Q71" s="616"/>
      <c r="R71" s="616"/>
      <c r="S71" s="616"/>
    </row>
    <row r="72" spans="2:19" ht="15" x14ac:dyDescent="0.25">
      <c r="B72" s="107"/>
      <c r="C72" s="107"/>
      <c r="D72" s="107"/>
      <c r="E72" s="108"/>
      <c r="F72" s="108"/>
      <c r="G72" s="108"/>
      <c r="H72" s="108"/>
      <c r="I72" s="108"/>
      <c r="J72" s="108"/>
      <c r="K72" s="108"/>
      <c r="L72" s="108"/>
      <c r="M72" s="109"/>
      <c r="N72" s="109"/>
      <c r="O72" s="616"/>
      <c r="P72" s="616"/>
      <c r="Q72" s="616"/>
      <c r="R72" s="616"/>
      <c r="S72" s="616"/>
    </row>
    <row r="73" spans="2:19" ht="15" x14ac:dyDescent="0.25">
      <c r="B73" s="107"/>
      <c r="C73" s="107"/>
      <c r="D73" s="107"/>
      <c r="E73" s="108"/>
      <c r="F73" s="108"/>
      <c r="G73" s="108"/>
      <c r="H73" s="108"/>
      <c r="I73" s="108"/>
      <c r="J73" s="108"/>
      <c r="K73" s="108"/>
      <c r="L73" s="108"/>
      <c r="M73" s="109"/>
      <c r="N73" s="109"/>
      <c r="O73" s="616"/>
      <c r="P73" s="616"/>
      <c r="Q73" s="616"/>
      <c r="R73" s="616"/>
      <c r="S73" s="616"/>
    </row>
    <row r="74" spans="2:19" ht="15" x14ac:dyDescent="0.25">
      <c r="B74" s="107"/>
      <c r="C74" s="107"/>
      <c r="D74" s="107"/>
      <c r="E74" s="108"/>
      <c r="F74" s="108"/>
      <c r="G74" s="108"/>
      <c r="H74" s="108"/>
      <c r="I74" s="108"/>
      <c r="J74" s="108"/>
      <c r="K74" s="108"/>
      <c r="L74" s="108"/>
      <c r="M74" s="109"/>
      <c r="N74" s="109"/>
      <c r="O74" s="616"/>
      <c r="P74" s="616"/>
      <c r="Q74" s="616"/>
      <c r="R74" s="616"/>
      <c r="S74" s="616"/>
    </row>
    <row r="75" spans="2:19" x14ac:dyDescent="0.2">
      <c r="B75" s="110"/>
      <c r="C75" s="110"/>
      <c r="D75" s="110"/>
      <c r="E75" s="111"/>
      <c r="F75" s="111"/>
      <c r="G75" s="112"/>
      <c r="H75" s="112"/>
      <c r="I75" s="112"/>
      <c r="J75" s="112"/>
      <c r="K75" s="112"/>
      <c r="L75" s="111"/>
      <c r="M75" s="113"/>
      <c r="N75" s="113"/>
      <c r="O75" s="617"/>
      <c r="P75" s="617"/>
      <c r="Q75" s="617"/>
      <c r="R75" s="617"/>
      <c r="S75" s="617"/>
    </row>
    <row r="77" spans="2:19" x14ac:dyDescent="0.2">
      <c r="C77" s="110"/>
      <c r="D77" s="110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19"/>
  <sheetViews>
    <sheetView zoomScale="90" zoomScaleNormal="90" workbookViewId="0">
      <selection activeCell="M16" sqref="M16"/>
    </sheetView>
  </sheetViews>
  <sheetFormatPr defaultRowHeight="14.25" x14ac:dyDescent="0.2"/>
  <cols>
    <col min="1" max="1" width="2.85546875" style="44" customWidth="1"/>
    <col min="2" max="2" width="3.85546875" style="44" customWidth="1"/>
    <col min="3" max="3" width="32.5703125" style="44" customWidth="1"/>
    <col min="4" max="5" width="9.140625" style="44"/>
    <col min="6" max="9" width="9.85546875" style="44" bestFit="1" customWidth="1"/>
    <col min="10" max="10" width="9.28515625" style="44" bestFit="1" customWidth="1"/>
    <col min="11" max="11" width="11.7109375" style="44" customWidth="1"/>
    <col min="12" max="12" width="2.7109375" style="44" customWidth="1"/>
    <col min="13" max="21" width="9.140625" style="44"/>
    <col min="22" max="22" width="10.85546875" style="44" customWidth="1"/>
    <col min="23" max="23" width="3.140625" style="44" customWidth="1"/>
    <col min="24" max="27" width="9.140625" style="44"/>
    <col min="28" max="33" width="10.85546875" style="44" bestFit="1" customWidth="1"/>
    <col min="34" max="34" width="4" style="44" customWidth="1"/>
    <col min="35" max="16384" width="9.140625" style="44"/>
  </cols>
  <sheetData>
    <row r="1" spans="1:34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24" customHeight="1" x14ac:dyDescent="0.25">
      <c r="A2" s="63"/>
      <c r="B2" s="340" t="s">
        <v>443</v>
      </c>
      <c r="C2" s="353"/>
      <c r="D2" s="353"/>
      <c r="E2" s="341"/>
      <c r="F2" s="341"/>
      <c r="G2" s="341"/>
      <c r="H2" s="341"/>
      <c r="I2" s="341"/>
      <c r="J2" s="341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2"/>
    </row>
    <row r="3" spans="1:34" x14ac:dyDescent="0.2">
      <c r="A3" s="32"/>
      <c r="B3" s="46" t="s">
        <v>17</v>
      </c>
      <c r="C3" s="4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4" x14ac:dyDescent="0.2">
      <c r="A4" s="32"/>
      <c r="B4" s="32"/>
      <c r="C4" s="46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24" customHeight="1" x14ac:dyDescent="0.2">
      <c r="A5" s="32"/>
      <c r="B5" s="390" t="s">
        <v>260</v>
      </c>
      <c r="C5" s="390"/>
      <c r="D5" s="390"/>
      <c r="E5" s="390"/>
      <c r="F5" s="390"/>
      <c r="G5" s="390"/>
      <c r="H5" s="390"/>
      <c r="I5" s="390"/>
      <c r="J5" s="390"/>
      <c r="K5" s="390"/>
      <c r="L5" s="32"/>
      <c r="M5" s="390" t="s">
        <v>261</v>
      </c>
      <c r="N5" s="390"/>
      <c r="O5" s="390"/>
      <c r="P5" s="390"/>
      <c r="Q5" s="390"/>
      <c r="R5" s="390"/>
      <c r="S5" s="390"/>
      <c r="T5" s="390"/>
      <c r="U5" s="390"/>
      <c r="V5" s="390"/>
      <c r="W5" s="32"/>
      <c r="X5" s="390" t="s">
        <v>92</v>
      </c>
      <c r="Y5" s="390"/>
      <c r="Z5" s="390"/>
      <c r="AA5" s="390"/>
      <c r="AB5" s="390"/>
      <c r="AC5" s="390"/>
      <c r="AD5" s="390"/>
      <c r="AE5" s="390"/>
      <c r="AF5" s="390"/>
      <c r="AG5" s="390"/>
      <c r="AH5" s="32"/>
    </row>
    <row r="6" spans="1:34" x14ac:dyDescent="0.2">
      <c r="A6" s="32"/>
      <c r="B6" s="32"/>
      <c r="C6" s="46"/>
      <c r="D6" s="32"/>
      <c r="E6" s="32"/>
      <c r="F6" s="32"/>
      <c r="G6" s="32"/>
      <c r="H6" s="32"/>
      <c r="I6" s="32"/>
      <c r="J6" s="32"/>
      <c r="K6" s="32"/>
      <c r="L6" s="32"/>
      <c r="M6" s="32"/>
      <c r="N6" s="46"/>
      <c r="O6" s="32"/>
      <c r="P6" s="32"/>
      <c r="Q6" s="32"/>
      <c r="R6" s="32"/>
      <c r="S6" s="32"/>
      <c r="T6" s="32"/>
      <c r="U6" s="32"/>
      <c r="V6" s="32"/>
      <c r="W6" s="32"/>
      <c r="X6" s="32"/>
      <c r="Y6" s="46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4" customHeight="1" x14ac:dyDescent="0.2">
      <c r="A7" s="599"/>
      <c r="B7" s="354" t="s">
        <v>444</v>
      </c>
      <c r="C7" s="354"/>
      <c r="D7" s="354"/>
      <c r="E7" s="354"/>
      <c r="F7" s="354"/>
      <c r="G7" s="354"/>
      <c r="H7" s="354"/>
      <c r="I7" s="354"/>
      <c r="J7" s="354"/>
      <c r="K7" s="354"/>
      <c r="L7" s="599"/>
      <c r="M7" s="354" t="s">
        <v>444</v>
      </c>
      <c r="N7" s="354"/>
      <c r="O7" s="354"/>
      <c r="P7" s="354"/>
      <c r="Q7" s="354"/>
      <c r="R7" s="354"/>
      <c r="S7" s="354"/>
      <c r="T7" s="354"/>
      <c r="U7" s="354"/>
      <c r="V7" s="354"/>
      <c r="W7" s="32"/>
      <c r="X7" s="354" t="s">
        <v>444</v>
      </c>
      <c r="Y7" s="354"/>
      <c r="Z7" s="354"/>
      <c r="AA7" s="354"/>
      <c r="AB7" s="354"/>
      <c r="AC7" s="354"/>
      <c r="AD7" s="354"/>
      <c r="AE7" s="354"/>
      <c r="AF7" s="354"/>
      <c r="AG7" s="354"/>
      <c r="AH7" s="32"/>
    </row>
    <row r="8" spans="1:34" x14ac:dyDescent="0.2">
      <c r="A8" s="32"/>
      <c r="B8" s="32"/>
      <c r="C8" s="12"/>
      <c r="D8" s="12"/>
      <c r="E8" s="12"/>
      <c r="F8" s="12"/>
      <c r="G8" s="12"/>
      <c r="H8" s="12"/>
      <c r="I8" s="12"/>
      <c r="J8" s="12"/>
      <c r="K8" s="12"/>
      <c r="L8" s="1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12"/>
      <c r="Z8" s="52"/>
      <c r="AA8" s="52"/>
      <c r="AB8" s="52"/>
      <c r="AC8" s="52"/>
      <c r="AD8" s="52"/>
      <c r="AE8" s="52"/>
      <c r="AF8" s="52"/>
      <c r="AG8" s="52"/>
      <c r="AH8" s="32"/>
    </row>
    <row r="9" spans="1:34" ht="22.5" x14ac:dyDescent="0.2">
      <c r="A9" s="32"/>
      <c r="B9" s="299"/>
      <c r="C9" s="298"/>
      <c r="D9" s="4"/>
      <c r="E9" s="4"/>
      <c r="F9" s="5">
        <v>2018</v>
      </c>
      <c r="G9" s="4">
        <v>2019</v>
      </c>
      <c r="H9" s="4">
        <v>2020</v>
      </c>
      <c r="I9" s="4">
        <v>2021</v>
      </c>
      <c r="J9" s="6">
        <v>2022</v>
      </c>
      <c r="K9" s="3" t="s">
        <v>73</v>
      </c>
      <c r="L9" s="45"/>
      <c r="M9" s="299"/>
      <c r="N9" s="298"/>
      <c r="O9" s="4"/>
      <c r="P9" s="4"/>
      <c r="Q9" s="5">
        <v>2018</v>
      </c>
      <c r="R9" s="4">
        <v>2019</v>
      </c>
      <c r="S9" s="4">
        <v>2020</v>
      </c>
      <c r="T9" s="4">
        <v>2021</v>
      </c>
      <c r="U9" s="6">
        <v>2022</v>
      </c>
      <c r="V9" s="3" t="s">
        <v>73</v>
      </c>
      <c r="W9" s="32"/>
      <c r="X9" s="299"/>
      <c r="Y9" s="298"/>
      <c r="Z9" s="4"/>
      <c r="AA9" s="4"/>
      <c r="AB9" s="5">
        <v>2018</v>
      </c>
      <c r="AC9" s="4">
        <v>2019</v>
      </c>
      <c r="AD9" s="4">
        <v>2020</v>
      </c>
      <c r="AE9" s="4">
        <v>2021</v>
      </c>
      <c r="AF9" s="6">
        <v>2022</v>
      </c>
      <c r="AG9" s="3" t="s">
        <v>73</v>
      </c>
      <c r="AH9" s="32"/>
    </row>
    <row r="10" spans="1:34" ht="20.100000000000001" customHeight="1" x14ac:dyDescent="0.2">
      <c r="A10" s="32"/>
      <c r="B10" s="12" t="s">
        <v>102</v>
      </c>
      <c r="C10" s="45"/>
      <c r="D10" s="360"/>
      <c r="E10" s="360"/>
      <c r="F10" s="55">
        <f>'Consolidated Summary (Vic)'!G40+'Consolidated Summary (Vic)'!G42+'Consolidated Summary (Vic)'!G46+'Consolidated Summary (Vic)'!G47</f>
        <v>80.241860382866207</v>
      </c>
      <c r="G10" s="54">
        <f>'Consolidated Summary (Vic)'!H40+'Consolidated Summary (Vic)'!H42+'Consolidated Summary (Vic)'!H46+'Consolidated Summary (Vic)'!H47</f>
        <v>83.344391639879419</v>
      </c>
      <c r="H10" s="54">
        <f>'Consolidated Summary (Vic)'!I40+'Consolidated Summary (Vic)'!I42+'Consolidated Summary (Vic)'!I46+'Consolidated Summary (Vic)'!I47</f>
        <v>79.087759967829143</v>
      </c>
      <c r="I10" s="54">
        <f>'Consolidated Summary (Vic)'!J40+'Consolidated Summary (Vic)'!J42+'Consolidated Summary (Vic)'!J46+'Consolidated Summary (Vic)'!J47</f>
        <v>74.592369976625847</v>
      </c>
      <c r="J10" s="95">
        <f>'Consolidated Summary (Vic)'!K40+'Consolidated Summary (Vic)'!K42+'Consolidated Summary (Vic)'!K46+'Consolidated Summary (Vic)'!K47</f>
        <v>47.246288779481084</v>
      </c>
      <c r="K10" s="52">
        <f>SUM(F10:J10)</f>
        <v>364.51267074668164</v>
      </c>
      <c r="L10" s="45"/>
      <c r="M10" s="12" t="s">
        <v>102</v>
      </c>
      <c r="N10" s="45"/>
      <c r="O10" s="52"/>
      <c r="P10" s="52"/>
      <c r="Q10" s="55">
        <f>'Consolidated Summary (Alb)'!G40+'Consolidated Summary (Alb)'!G42+'Consolidated Summary (Alb)'!G46+'Consolidated Summary (Alb)'!G47</f>
        <v>1.1556310676101909</v>
      </c>
      <c r="R10" s="54">
        <f>'Consolidated Summary (Alb)'!H40+'Consolidated Summary (Alb)'!H42+'Consolidated Summary (Alb)'!H46+'Consolidated Summary (Alb)'!H47</f>
        <v>1.1710206945072503</v>
      </c>
      <c r="S10" s="54">
        <f>'Consolidated Summary (Alb)'!I40+'Consolidated Summary (Alb)'!I42+'Consolidated Summary (Alb)'!I46+'Consolidated Summary (Alb)'!I47</f>
        <v>1.1999883123451476</v>
      </c>
      <c r="T10" s="54">
        <f>'Consolidated Summary (Alb)'!J40+'Consolidated Summary (Alb)'!J42+'Consolidated Summary (Alb)'!J46+'Consolidated Summary (Alb)'!J47</f>
        <v>1.2358647757290686</v>
      </c>
      <c r="U10" s="95">
        <f>'Consolidated Summary (Alb)'!K40+'Consolidated Summary (Alb)'!K42+'Consolidated Summary (Alb)'!K46+'Consolidated Summary (Alb)'!K47</f>
        <v>1.2685615505409602</v>
      </c>
      <c r="V10" s="52">
        <f>SUM(Q10:U10)</f>
        <v>6.0310664007326178</v>
      </c>
      <c r="W10" s="32"/>
      <c r="X10" s="12" t="s">
        <v>102</v>
      </c>
      <c r="Y10" s="45"/>
      <c r="Z10" s="52"/>
      <c r="AA10" s="52"/>
      <c r="AB10" s="55">
        <f>F10+Q10</f>
        <v>81.397491450476394</v>
      </c>
      <c r="AC10" s="54">
        <f t="shared" ref="AC10:AC14" si="0">G10+R10</f>
        <v>84.515412334386667</v>
      </c>
      <c r="AD10" s="54">
        <f t="shared" ref="AD10:AD14" si="1">H10+S10</f>
        <v>80.287748280174284</v>
      </c>
      <c r="AE10" s="54">
        <f t="shared" ref="AE10:AE14" si="2">I10+T10</f>
        <v>75.828234752354916</v>
      </c>
      <c r="AF10" s="95">
        <f t="shared" ref="AF10:AF14" si="3">J10+U10</f>
        <v>48.514850330022043</v>
      </c>
      <c r="AG10" s="52">
        <f>SUM(AB10:AF10)</f>
        <v>370.54373714741433</v>
      </c>
      <c r="AH10" s="32"/>
    </row>
    <row r="11" spans="1:34" ht="20.100000000000001" customHeight="1" x14ac:dyDescent="0.2">
      <c r="A11" s="32"/>
      <c r="B11" s="147" t="s">
        <v>70</v>
      </c>
      <c r="C11" s="45"/>
      <c r="D11" s="600"/>
      <c r="E11" s="360"/>
      <c r="F11" s="55">
        <f>'Consolidated Summary (Vic)'!G41+'Consolidated Summary (Vic)'!G48</f>
        <v>14.925489117028256</v>
      </c>
      <c r="G11" s="54">
        <f>'Consolidated Summary (Vic)'!H41+'Consolidated Summary (Vic)'!H48</f>
        <v>14.518854232516695</v>
      </c>
      <c r="H11" s="54">
        <f>'Consolidated Summary (Vic)'!I41+'Consolidated Summary (Vic)'!I48</f>
        <v>14.624519919302809</v>
      </c>
      <c r="I11" s="54">
        <f>'Consolidated Summary (Vic)'!J41+'Consolidated Summary (Vic)'!J48</f>
        <v>12.652417385449624</v>
      </c>
      <c r="J11" s="95">
        <f>'Consolidated Summary (Vic)'!K41+'Consolidated Summary (Vic)'!K48</f>
        <v>13.415745671518723</v>
      </c>
      <c r="K11" s="52">
        <f>SUM(F11:J11)</f>
        <v>70.137026325816109</v>
      </c>
      <c r="L11" s="45"/>
      <c r="M11" s="147" t="s">
        <v>70</v>
      </c>
      <c r="N11" s="45"/>
      <c r="O11" s="600"/>
      <c r="P11" s="52"/>
      <c r="Q11" s="55">
        <f>'Consolidated Summary (Alb)'!G41+'Consolidated Summary (Alb)'!G48</f>
        <v>0.66779360213113148</v>
      </c>
      <c r="R11" s="54">
        <f>'Consolidated Summary (Alb)'!H41+'Consolidated Summary (Alb)'!H48</f>
        <v>0.66665155143130739</v>
      </c>
      <c r="S11" s="54">
        <f>'Consolidated Summary (Alb)'!I41+'Consolidated Summary (Alb)'!I48</f>
        <v>0.67387805052284455</v>
      </c>
      <c r="T11" s="54">
        <f>'Consolidated Summary (Alb)'!J41+'Consolidated Summary (Alb)'!J48</f>
        <v>0.56217043453839999</v>
      </c>
      <c r="U11" s="95">
        <f>'Consolidated Summary (Alb)'!K41+'Consolidated Summary (Alb)'!K48</f>
        <v>0.57217879704522623</v>
      </c>
      <c r="V11" s="52">
        <f>SUM(Q11:U11)</f>
        <v>3.14267243566891</v>
      </c>
      <c r="W11" s="32"/>
      <c r="X11" s="147" t="s">
        <v>70</v>
      </c>
      <c r="Y11" s="45"/>
      <c r="Z11" s="600"/>
      <c r="AA11" s="52"/>
      <c r="AB11" s="55">
        <f t="shared" ref="AB11:AB14" si="4">F11+Q11</f>
        <v>15.593282719159388</v>
      </c>
      <c r="AC11" s="54">
        <f t="shared" si="0"/>
        <v>15.185505783948003</v>
      </c>
      <c r="AD11" s="54">
        <f t="shared" si="1"/>
        <v>15.298397969825654</v>
      </c>
      <c r="AE11" s="54">
        <f t="shared" si="2"/>
        <v>13.214587819988024</v>
      </c>
      <c r="AF11" s="95">
        <f t="shared" si="3"/>
        <v>13.987924468563948</v>
      </c>
      <c r="AG11" s="52">
        <f>SUM(AB11:AF11)</f>
        <v>73.279698761485022</v>
      </c>
      <c r="AH11" s="32"/>
    </row>
    <row r="12" spans="1:34" ht="20.100000000000001" customHeight="1" x14ac:dyDescent="0.2">
      <c r="A12" s="32"/>
      <c r="B12" s="147" t="s">
        <v>1</v>
      </c>
      <c r="C12" s="45"/>
      <c r="D12" s="360"/>
      <c r="E12" s="360"/>
      <c r="F12" s="55">
        <f>'Consolidated Summary (Vic)'!G43</f>
        <v>0.30451714574997218</v>
      </c>
      <c r="G12" s="54">
        <f>'Consolidated Summary (Vic)'!H43</f>
        <v>0.28933127682913617</v>
      </c>
      <c r="H12" s="54">
        <f>'Consolidated Summary (Vic)'!I43</f>
        <v>0.28508626241141982</v>
      </c>
      <c r="I12" s="54">
        <f>'Consolidated Summary (Vic)'!J43</f>
        <v>0.19082882634983295</v>
      </c>
      <c r="J12" s="95">
        <f>'Consolidated Summary (Vic)'!K43</f>
        <v>0.17230659808500184</v>
      </c>
      <c r="K12" s="52">
        <f t="shared" ref="K12:K14" si="5">SUM(F12:J12)</f>
        <v>1.242070109425363</v>
      </c>
      <c r="L12" s="45"/>
      <c r="M12" s="147" t="s">
        <v>1</v>
      </c>
      <c r="N12" s="45"/>
      <c r="O12" s="52"/>
      <c r="P12" s="52"/>
      <c r="Q12" s="55">
        <f>'Consolidated Summary (Alb)'!G43</f>
        <v>0</v>
      </c>
      <c r="R12" s="54">
        <f>'Consolidated Summary (Alb)'!H43</f>
        <v>0</v>
      </c>
      <c r="S12" s="54">
        <f>'Consolidated Summary (Alb)'!I43</f>
        <v>0</v>
      </c>
      <c r="T12" s="54">
        <f>'Consolidated Summary (Alb)'!J43</f>
        <v>9.7782400693119761E-2</v>
      </c>
      <c r="U12" s="95">
        <f>'Consolidated Summary (Alb)'!K43</f>
        <v>0</v>
      </c>
      <c r="V12" s="52">
        <f t="shared" ref="V12:V14" si="6">SUM(Q12:U12)</f>
        <v>9.7782400693119761E-2</v>
      </c>
      <c r="W12" s="32"/>
      <c r="X12" s="147" t="s">
        <v>1</v>
      </c>
      <c r="Y12" s="45"/>
      <c r="Z12" s="52"/>
      <c r="AA12" s="52"/>
      <c r="AB12" s="55">
        <f t="shared" si="4"/>
        <v>0.30451714574997218</v>
      </c>
      <c r="AC12" s="54">
        <f t="shared" si="0"/>
        <v>0.28933127682913617</v>
      </c>
      <c r="AD12" s="54">
        <f t="shared" si="1"/>
        <v>0.28508626241141982</v>
      </c>
      <c r="AE12" s="54">
        <f t="shared" si="2"/>
        <v>0.28861122704295272</v>
      </c>
      <c r="AF12" s="95">
        <f t="shared" si="3"/>
        <v>0.17230659808500184</v>
      </c>
      <c r="AG12" s="52">
        <f t="shared" ref="AG12:AG14" si="7">SUM(AB12:AF12)</f>
        <v>1.3398525101184826</v>
      </c>
      <c r="AH12" s="32"/>
    </row>
    <row r="13" spans="1:34" ht="20.100000000000001" customHeight="1" x14ac:dyDescent="0.2">
      <c r="A13" s="32"/>
      <c r="B13" s="147" t="s">
        <v>2</v>
      </c>
      <c r="C13" s="45"/>
      <c r="D13" s="360"/>
      <c r="E13" s="360"/>
      <c r="F13" s="55">
        <f>'Consolidated Summary (Vic)'!G44</f>
        <v>12.47138930501788</v>
      </c>
      <c r="G13" s="54">
        <f>'Consolidated Summary (Vic)'!H44</f>
        <v>26.014396012558972</v>
      </c>
      <c r="H13" s="54">
        <f>'Consolidated Summary (Vic)'!I44</f>
        <v>17.886496967997672</v>
      </c>
      <c r="I13" s="54">
        <f>'Consolidated Summary (Vic)'!J44</f>
        <v>5.8429214602968482</v>
      </c>
      <c r="J13" s="95">
        <f>'Consolidated Summary (Vic)'!K44</f>
        <v>7.1795909124785995</v>
      </c>
      <c r="K13" s="52">
        <f t="shared" si="5"/>
        <v>69.39479465834998</v>
      </c>
      <c r="L13" s="45"/>
      <c r="M13" s="147" t="s">
        <v>2</v>
      </c>
      <c r="N13" s="45"/>
      <c r="O13" s="52"/>
      <c r="P13" s="52"/>
      <c r="Q13" s="55">
        <f>'Consolidated Summary (Alb)'!G44</f>
        <v>0.41329565834654802</v>
      </c>
      <c r="R13" s="54">
        <f>'Consolidated Summary (Alb)'!H44</f>
        <v>0.86681595539580147</v>
      </c>
      <c r="S13" s="54">
        <f>'Consolidated Summary (Alb)'!I44</f>
        <v>0.59529208157622093</v>
      </c>
      <c r="T13" s="54">
        <f>'Consolidated Summary (Alb)'!J44</f>
        <v>0.19224705280688581</v>
      </c>
      <c r="U13" s="95">
        <f>'Consolidated Summary (Alb)'!K44</f>
        <v>0.22694029091887807</v>
      </c>
      <c r="V13" s="52">
        <f t="shared" si="6"/>
        <v>2.2945910390443345</v>
      </c>
      <c r="W13" s="32"/>
      <c r="X13" s="147" t="s">
        <v>2</v>
      </c>
      <c r="Y13" s="45"/>
      <c r="Z13" s="52"/>
      <c r="AA13" s="52"/>
      <c r="AB13" s="55">
        <f t="shared" si="4"/>
        <v>12.884684963364428</v>
      </c>
      <c r="AC13" s="54">
        <f t="shared" si="0"/>
        <v>26.881211967954773</v>
      </c>
      <c r="AD13" s="54">
        <f t="shared" si="1"/>
        <v>18.481789049573894</v>
      </c>
      <c r="AE13" s="54">
        <f t="shared" si="2"/>
        <v>6.0351685131037343</v>
      </c>
      <c r="AF13" s="95">
        <f t="shared" si="3"/>
        <v>7.4065312033974777</v>
      </c>
      <c r="AG13" s="52">
        <f t="shared" si="7"/>
        <v>71.689385697394314</v>
      </c>
      <c r="AH13" s="32"/>
    </row>
    <row r="14" spans="1:34" ht="20.100000000000001" customHeight="1" x14ac:dyDescent="0.2">
      <c r="A14" s="32"/>
      <c r="B14" s="147" t="s">
        <v>96</v>
      </c>
      <c r="C14" s="45"/>
      <c r="D14" s="360"/>
      <c r="E14" s="360"/>
      <c r="F14" s="55">
        <f>'Consolidated Summary (Vic)'!G51</f>
        <v>5.2079285830722792</v>
      </c>
      <c r="G14" s="54">
        <f>'Consolidated Summary (Vic)'!H51</f>
        <v>7.0644509135178613</v>
      </c>
      <c r="H14" s="54">
        <f>'Consolidated Summary (Vic)'!I51</f>
        <v>12.797054716629237</v>
      </c>
      <c r="I14" s="54">
        <f>'Consolidated Summary (Vic)'!J51</f>
        <v>9.2756465462808837</v>
      </c>
      <c r="J14" s="95">
        <f>'Consolidated Summary (Vic)'!K51</f>
        <v>4.8398345001184797</v>
      </c>
      <c r="K14" s="52">
        <f t="shared" si="5"/>
        <v>39.184915259618741</v>
      </c>
      <c r="L14" s="45"/>
      <c r="M14" s="147" t="s">
        <v>96</v>
      </c>
      <c r="N14" s="45"/>
      <c r="O14" s="52"/>
      <c r="P14" s="52"/>
      <c r="Q14" s="55">
        <f>'Consolidated Summary (Alb)'!G51</f>
        <v>7.5967706953070924E-2</v>
      </c>
      <c r="R14" s="54">
        <f>'Consolidated Summary (Alb)'!H51</f>
        <v>0.11164194385624915</v>
      </c>
      <c r="S14" s="54">
        <f>'Consolidated Summary (Alb)'!I51</f>
        <v>0.11275563124259702</v>
      </c>
      <c r="T14" s="54">
        <f>'Consolidated Summary (Alb)'!J51</f>
        <v>0.10000472798159976</v>
      </c>
      <c r="U14" s="95">
        <f>'Consolidated Summary (Alb)'!K51</f>
        <v>2.5853197795585287E-2</v>
      </c>
      <c r="V14" s="52">
        <f t="shared" si="6"/>
        <v>0.42622320782910217</v>
      </c>
      <c r="W14" s="32"/>
      <c r="X14" s="147" t="s">
        <v>96</v>
      </c>
      <c r="Y14" s="45"/>
      <c r="Z14" s="52"/>
      <c r="AA14" s="52"/>
      <c r="AB14" s="133">
        <f t="shared" si="4"/>
        <v>5.2838962900253499</v>
      </c>
      <c r="AC14" s="132">
        <f t="shared" si="0"/>
        <v>7.1760928573741101</v>
      </c>
      <c r="AD14" s="132">
        <f t="shared" si="1"/>
        <v>12.909810347871835</v>
      </c>
      <c r="AE14" s="132">
        <f t="shared" si="2"/>
        <v>9.3756512742624842</v>
      </c>
      <c r="AF14" s="134">
        <f t="shared" si="3"/>
        <v>4.8656876979140646</v>
      </c>
      <c r="AG14" s="52">
        <f t="shared" si="7"/>
        <v>39.611138467447837</v>
      </c>
      <c r="AH14" s="32"/>
    </row>
    <row r="15" spans="1:34" s="602" customFormat="1" ht="20.100000000000001" customHeight="1" thickBot="1" x14ac:dyDescent="0.25">
      <c r="A15" s="374"/>
      <c r="B15" s="149" t="s">
        <v>45</v>
      </c>
      <c r="C15" s="533"/>
      <c r="D15" s="601"/>
      <c r="E15" s="601"/>
      <c r="F15" s="100">
        <f t="shared" ref="F15:J15" si="8">SUM(F10:F14)</f>
        <v>113.15118453373459</v>
      </c>
      <c r="G15" s="99">
        <f t="shared" si="8"/>
        <v>131.23142407530207</v>
      </c>
      <c r="H15" s="99">
        <f t="shared" si="8"/>
        <v>124.68091783417029</v>
      </c>
      <c r="I15" s="99">
        <f t="shared" si="8"/>
        <v>102.55418419500303</v>
      </c>
      <c r="J15" s="101">
        <f t="shared" si="8"/>
        <v>72.853766461681886</v>
      </c>
      <c r="K15" s="100">
        <f>SUM(F15:J15)</f>
        <v>544.47147709989179</v>
      </c>
      <c r="L15" s="102"/>
      <c r="M15" s="149" t="s">
        <v>45</v>
      </c>
      <c r="N15" s="533"/>
      <c r="O15" s="99"/>
      <c r="P15" s="99"/>
      <c r="Q15" s="100">
        <f t="shared" ref="Q15:U15" si="9">SUM(Q10:Q14)</f>
        <v>2.3126880350409413</v>
      </c>
      <c r="R15" s="99">
        <f t="shared" si="9"/>
        <v>2.8161301451906087</v>
      </c>
      <c r="S15" s="99">
        <f t="shared" si="9"/>
        <v>2.58191407568681</v>
      </c>
      <c r="T15" s="99">
        <f t="shared" si="9"/>
        <v>2.1880693917490737</v>
      </c>
      <c r="U15" s="101">
        <f t="shared" si="9"/>
        <v>2.0935338363006499</v>
      </c>
      <c r="V15" s="100">
        <f>SUM(Q15:U15)</f>
        <v>11.992335483968084</v>
      </c>
      <c r="W15" s="32"/>
      <c r="X15" s="149" t="s">
        <v>45</v>
      </c>
      <c r="Y15" s="533"/>
      <c r="Z15" s="99"/>
      <c r="AA15" s="99"/>
      <c r="AB15" s="144">
        <f t="shared" ref="AB15:AF15" si="10">SUM(AB10:AB14)</f>
        <v>115.46387256877554</v>
      </c>
      <c r="AC15" s="145">
        <f t="shared" si="10"/>
        <v>134.04755422049269</v>
      </c>
      <c r="AD15" s="145">
        <f t="shared" si="10"/>
        <v>127.2628319098571</v>
      </c>
      <c r="AE15" s="145">
        <f t="shared" si="10"/>
        <v>104.7422535867521</v>
      </c>
      <c r="AF15" s="300">
        <f t="shared" si="10"/>
        <v>74.947300297982537</v>
      </c>
      <c r="AG15" s="100">
        <f>SUM(AB15:AF15)</f>
        <v>556.46381258385998</v>
      </c>
      <c r="AH15" s="32"/>
    </row>
    <row r="16" spans="1:34" ht="20.100000000000001" customHeight="1" x14ac:dyDescent="0.25">
      <c r="A16" s="32"/>
      <c r="B16" s="50" t="s">
        <v>11</v>
      </c>
      <c r="C16" s="105"/>
      <c r="D16" s="139"/>
      <c r="E16" s="50"/>
      <c r="F16" s="50">
        <f>F15-'Consolidated Summary (Vic)'!G52</f>
        <v>0</v>
      </c>
      <c r="G16" s="50">
        <f>G15-'Consolidated Summary (Vic)'!H52</f>
        <v>0</v>
      </c>
      <c r="H16" s="50">
        <f>H15-'Consolidated Summary (Vic)'!I52</f>
        <v>0</v>
      </c>
      <c r="I16" s="50">
        <f>I15-'Consolidated Summary (Vic)'!J52</f>
        <v>0</v>
      </c>
      <c r="J16" s="50">
        <f>J15-'Consolidated Summary (Vic)'!K52</f>
        <v>0</v>
      </c>
      <c r="K16" s="50">
        <f>K15-'Consolidated Summary (Vic)'!L52</f>
        <v>0</v>
      </c>
      <c r="L16" s="106"/>
      <c r="M16" s="50" t="s">
        <v>11</v>
      </c>
      <c r="N16" s="105"/>
      <c r="O16" s="139"/>
      <c r="P16" s="50"/>
      <c r="Q16" s="50">
        <f>Q15-'Consolidated Summary (Alb)'!G52</f>
        <v>0</v>
      </c>
      <c r="R16" s="50">
        <f>R15-'Consolidated Summary (Alb)'!H52</f>
        <v>0</v>
      </c>
      <c r="S16" s="50">
        <f>S15-'Consolidated Summary (Alb)'!I52</f>
        <v>0</v>
      </c>
      <c r="T16" s="50">
        <f>T15-'Consolidated Summary (Alb)'!J52</f>
        <v>0</v>
      </c>
      <c r="U16" s="50">
        <f>U15-'Consolidated Summary (Alb)'!K52</f>
        <v>0</v>
      </c>
      <c r="V16" s="50">
        <f>V15-'Consolidated Summary (Alb)'!L52</f>
        <v>0</v>
      </c>
      <c r="W16" s="32"/>
      <c r="X16" s="50" t="s">
        <v>11</v>
      </c>
      <c r="Y16" s="105"/>
      <c r="Z16" s="57"/>
      <c r="AA16" s="50"/>
      <c r="AB16" s="50">
        <f>AB15-'Consolidated Summary (Comb) $17'!G52</f>
        <v>0</v>
      </c>
      <c r="AC16" s="50">
        <f>AC15-'Consolidated Summary (Comb) $17'!H52</f>
        <v>0</v>
      </c>
      <c r="AD16" s="50">
        <f>AD15-'Consolidated Summary (Comb) $17'!I52</f>
        <v>0</v>
      </c>
      <c r="AE16" s="50">
        <f>AE15-'Consolidated Summary (Comb) $17'!J52</f>
        <v>0</v>
      </c>
      <c r="AF16" s="50">
        <f>AF15-'Consolidated Summary (Comb) $17'!K52</f>
        <v>0</v>
      </c>
      <c r="AG16" s="50">
        <f>AG15-'Consolidated Summary (Comb) $17'!L52</f>
        <v>0</v>
      </c>
      <c r="AH16" s="32"/>
    </row>
    <row r="17" spans="1:34" ht="20.100000000000001" customHeight="1" x14ac:dyDescent="0.2">
      <c r="A17" s="32"/>
      <c r="B17" s="32"/>
      <c r="C17" s="46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46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46"/>
      <c r="Z17" s="32"/>
      <c r="AA17" s="32"/>
      <c r="AB17" s="32"/>
      <c r="AC17" s="32"/>
      <c r="AD17" s="32"/>
      <c r="AE17" s="32"/>
      <c r="AF17" s="32"/>
      <c r="AG17" s="32"/>
      <c r="AH17" s="32"/>
    </row>
    <row r="19" spans="1:34" ht="20.100000000000001" customHeight="1" x14ac:dyDescent="0.2"/>
  </sheetData>
  <hyperlinks>
    <hyperlink ref="B3" location="Contents!A1" display="Contents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="80" zoomScaleNormal="80" workbookViewId="0">
      <selection activeCell="D2" sqref="D2"/>
    </sheetView>
  </sheetViews>
  <sheetFormatPr defaultRowHeight="14.25" x14ac:dyDescent="0.2"/>
  <cols>
    <col min="1" max="1" width="2.28515625" style="33" customWidth="1"/>
    <col min="2" max="2" width="24.7109375" style="33" customWidth="1"/>
    <col min="3" max="3" width="12.42578125" style="33" bestFit="1" customWidth="1"/>
    <col min="4" max="4" width="86.7109375" style="33" bestFit="1" customWidth="1"/>
    <col min="5" max="5" width="39.28515625" style="33" bestFit="1" customWidth="1"/>
    <col min="6" max="6" width="2.42578125" style="33" customWidth="1"/>
    <col min="7" max="16384" width="9.140625" style="33"/>
  </cols>
  <sheetData>
    <row r="1" spans="1:6" x14ac:dyDescent="0.2">
      <c r="A1" s="32"/>
      <c r="B1" s="32"/>
      <c r="C1" s="32"/>
      <c r="D1" s="32"/>
      <c r="E1" s="32"/>
      <c r="F1" s="32"/>
    </row>
    <row r="2" spans="1:6" ht="69" customHeight="1" x14ac:dyDescent="0.2">
      <c r="A2" s="32"/>
      <c r="B2" s="351"/>
      <c r="C2" s="351"/>
      <c r="D2" s="352" t="s">
        <v>264</v>
      </c>
      <c r="E2" s="352"/>
      <c r="F2" s="32"/>
    </row>
    <row r="3" spans="1:6" x14ac:dyDescent="0.2">
      <c r="A3" s="32"/>
      <c r="B3" s="32"/>
      <c r="C3" s="32"/>
      <c r="D3" s="32"/>
      <c r="E3" s="32"/>
      <c r="F3" s="32"/>
    </row>
    <row r="4" spans="1:6" ht="28.5" customHeight="1" x14ac:dyDescent="0.2">
      <c r="A4" s="32"/>
      <c r="B4" s="407" t="s">
        <v>12</v>
      </c>
      <c r="C4" s="408"/>
      <c r="D4" s="646" t="s">
        <v>263</v>
      </c>
      <c r="E4" s="647"/>
      <c r="F4" s="32"/>
    </row>
    <row r="5" spans="1:6" ht="15" x14ac:dyDescent="0.25">
      <c r="A5" s="32"/>
      <c r="B5" s="35"/>
      <c r="C5" s="35"/>
      <c r="D5" s="32"/>
      <c r="E5" s="32"/>
      <c r="F5" s="32"/>
    </row>
    <row r="6" spans="1:6" ht="21.75" customHeight="1" x14ac:dyDescent="0.2">
      <c r="A6" s="32"/>
      <c r="B6" s="367" t="s">
        <v>13</v>
      </c>
      <c r="C6" s="367"/>
      <c r="D6" s="368" t="s">
        <v>14</v>
      </c>
      <c r="E6" s="384" t="s">
        <v>20</v>
      </c>
      <c r="F6" s="32"/>
    </row>
    <row r="7" spans="1:6" ht="21.75" customHeight="1" x14ac:dyDescent="0.2">
      <c r="A7" s="32"/>
      <c r="B7" s="32"/>
      <c r="C7" s="32"/>
      <c r="D7" s="32"/>
      <c r="E7" s="32"/>
      <c r="F7" s="32"/>
    </row>
    <row r="8" spans="1:6" ht="21.75" customHeight="1" x14ac:dyDescent="0.2">
      <c r="A8" s="32"/>
      <c r="B8" s="648" t="s">
        <v>285</v>
      </c>
      <c r="C8" s="648"/>
      <c r="D8" s="648"/>
      <c r="E8" s="648"/>
      <c r="F8" s="32"/>
    </row>
    <row r="9" spans="1:6" ht="21.95" customHeight="1" x14ac:dyDescent="0.2">
      <c r="A9" s="32"/>
      <c r="B9" s="370" t="s">
        <v>286</v>
      </c>
      <c r="C9" s="370"/>
      <c r="D9" s="365" t="s">
        <v>343</v>
      </c>
      <c r="E9" s="385" t="s">
        <v>108</v>
      </c>
      <c r="F9" s="32"/>
    </row>
    <row r="10" spans="1:6" ht="21.95" customHeight="1" x14ac:dyDescent="0.2">
      <c r="A10" s="32"/>
      <c r="B10" s="381" t="s">
        <v>400</v>
      </c>
      <c r="C10" s="381"/>
      <c r="D10" s="382" t="s">
        <v>401</v>
      </c>
      <c r="E10" s="386" t="s">
        <v>344</v>
      </c>
      <c r="F10" s="32"/>
    </row>
    <row r="11" spans="1:6" ht="21.95" customHeight="1" x14ac:dyDescent="0.2">
      <c r="A11" s="32"/>
      <c r="B11" s="378" t="s">
        <v>284</v>
      </c>
      <c r="C11" s="378"/>
      <c r="D11" s="369" t="s">
        <v>342</v>
      </c>
      <c r="E11" s="497" t="s">
        <v>345</v>
      </c>
      <c r="F11" s="32"/>
    </row>
    <row r="12" spans="1:6" ht="21.75" customHeight="1" x14ac:dyDescent="0.2">
      <c r="A12" s="32"/>
      <c r="B12" s="32"/>
      <c r="C12" s="32"/>
      <c r="D12" s="32"/>
      <c r="E12" s="32"/>
      <c r="F12" s="32"/>
    </row>
    <row r="13" spans="1:6" ht="21.75" customHeight="1" x14ac:dyDescent="0.2">
      <c r="A13" s="32"/>
      <c r="B13" s="649" t="s">
        <v>287</v>
      </c>
      <c r="C13" s="649"/>
      <c r="D13" s="649"/>
      <c r="E13" s="649"/>
      <c r="F13" s="32"/>
    </row>
    <row r="14" spans="1:6" ht="21.95" customHeight="1" x14ac:dyDescent="0.2">
      <c r="A14" s="32"/>
      <c r="B14" s="370" t="s">
        <v>288</v>
      </c>
      <c r="C14" s="370"/>
      <c r="D14" s="365" t="s">
        <v>341</v>
      </c>
      <c r="E14" s="498" t="s">
        <v>346</v>
      </c>
      <c r="F14" s="32"/>
    </row>
    <row r="15" spans="1:6" ht="21.95" customHeight="1" x14ac:dyDescent="0.2">
      <c r="A15" s="32"/>
      <c r="B15" s="381" t="s">
        <v>338</v>
      </c>
      <c r="C15" s="381"/>
      <c r="D15" s="382" t="s">
        <v>340</v>
      </c>
      <c r="E15" s="386" t="s">
        <v>347</v>
      </c>
      <c r="F15" s="32"/>
    </row>
    <row r="16" spans="1:6" ht="21.95" customHeight="1" x14ac:dyDescent="0.2">
      <c r="A16" s="32"/>
      <c r="B16" s="370" t="s">
        <v>289</v>
      </c>
      <c r="C16" s="370"/>
      <c r="D16" s="365" t="s">
        <v>339</v>
      </c>
      <c r="E16" s="387" t="s">
        <v>348</v>
      </c>
      <c r="F16" s="32"/>
    </row>
    <row r="17" spans="1:6" ht="21.95" customHeight="1" x14ac:dyDescent="0.2">
      <c r="A17" s="32"/>
      <c r="B17" s="381" t="s">
        <v>40</v>
      </c>
      <c r="C17" s="381"/>
      <c r="D17" s="382" t="s">
        <v>402</v>
      </c>
      <c r="E17" s="386" t="s">
        <v>47</v>
      </c>
      <c r="F17" s="32"/>
    </row>
    <row r="18" spans="1:6" ht="21.95" customHeight="1" x14ac:dyDescent="0.2">
      <c r="A18" s="32"/>
      <c r="B18" s="381" t="s">
        <v>61</v>
      </c>
      <c r="C18" s="499"/>
      <c r="D18" s="382" t="s">
        <v>350</v>
      </c>
      <c r="E18" s="386" t="s">
        <v>349</v>
      </c>
      <c r="F18" s="32"/>
    </row>
    <row r="19" spans="1:6" ht="18" customHeight="1" x14ac:dyDescent="0.2">
      <c r="A19" s="32"/>
      <c r="B19" s="32"/>
      <c r="C19" s="32"/>
      <c r="D19" s="32"/>
      <c r="E19" s="32"/>
      <c r="F19" s="32"/>
    </row>
    <row r="20" spans="1:6" ht="24.75" customHeight="1" x14ac:dyDescent="0.2">
      <c r="A20" s="32"/>
      <c r="B20" s="649" t="s">
        <v>290</v>
      </c>
      <c r="C20" s="649"/>
      <c r="D20" s="649"/>
      <c r="E20" s="649"/>
      <c r="F20" s="32"/>
    </row>
    <row r="21" spans="1:6" ht="21.95" customHeight="1" x14ac:dyDescent="0.2">
      <c r="A21" s="32"/>
      <c r="B21" s="650" t="s">
        <v>296</v>
      </c>
      <c r="C21" s="379" t="s">
        <v>260</v>
      </c>
      <c r="D21" s="652" t="s">
        <v>353</v>
      </c>
      <c r="E21" s="387" t="s">
        <v>357</v>
      </c>
      <c r="F21" s="32"/>
    </row>
    <row r="22" spans="1:6" ht="21.95" customHeight="1" x14ac:dyDescent="0.2">
      <c r="A22" s="32"/>
      <c r="B22" s="650"/>
      <c r="C22" s="379" t="s">
        <v>261</v>
      </c>
      <c r="D22" s="652"/>
      <c r="E22" s="387" t="s">
        <v>358</v>
      </c>
      <c r="F22" s="32"/>
    </row>
    <row r="23" spans="1:6" ht="21.95" customHeight="1" x14ac:dyDescent="0.2">
      <c r="A23" s="32"/>
      <c r="B23" s="651"/>
      <c r="C23" s="380" t="s">
        <v>297</v>
      </c>
      <c r="D23" s="653"/>
      <c r="E23" s="388" t="s">
        <v>359</v>
      </c>
      <c r="F23" s="32"/>
    </row>
    <row r="24" spans="1:6" ht="21.95" customHeight="1" x14ac:dyDescent="0.2">
      <c r="A24" s="32"/>
      <c r="B24" s="650" t="s">
        <v>61</v>
      </c>
      <c r="C24" s="379" t="s">
        <v>260</v>
      </c>
      <c r="D24" s="654" t="s">
        <v>354</v>
      </c>
      <c r="E24" s="387" t="s">
        <v>360</v>
      </c>
      <c r="F24" s="32"/>
    </row>
    <row r="25" spans="1:6" ht="21.95" customHeight="1" x14ac:dyDescent="0.2">
      <c r="A25" s="32"/>
      <c r="B25" s="650"/>
      <c r="C25" s="379" t="s">
        <v>261</v>
      </c>
      <c r="D25" s="654"/>
      <c r="E25" s="387" t="s">
        <v>361</v>
      </c>
      <c r="F25" s="32"/>
    </row>
    <row r="26" spans="1:6" ht="21.95" customHeight="1" x14ac:dyDescent="0.2">
      <c r="A26" s="32"/>
      <c r="B26" s="651"/>
      <c r="C26" s="380" t="s">
        <v>297</v>
      </c>
      <c r="D26" s="655"/>
      <c r="E26" s="388" t="s">
        <v>362</v>
      </c>
      <c r="F26" s="32"/>
    </row>
    <row r="27" spans="1:6" ht="21.95" customHeight="1" x14ac:dyDescent="0.2">
      <c r="A27" s="32"/>
      <c r="B27" s="650" t="s">
        <v>355</v>
      </c>
      <c r="C27" s="379" t="s">
        <v>260</v>
      </c>
      <c r="D27" s="652" t="s">
        <v>356</v>
      </c>
      <c r="E27" s="387" t="s">
        <v>363</v>
      </c>
      <c r="F27" s="32"/>
    </row>
    <row r="28" spans="1:6" ht="21.95" customHeight="1" x14ac:dyDescent="0.2">
      <c r="A28" s="32"/>
      <c r="B28" s="650"/>
      <c r="C28" s="379" t="s">
        <v>261</v>
      </c>
      <c r="D28" s="652"/>
      <c r="E28" s="387" t="s">
        <v>364</v>
      </c>
      <c r="F28" s="32"/>
    </row>
    <row r="29" spans="1:6" ht="21.95" customHeight="1" x14ac:dyDescent="0.2">
      <c r="A29" s="32"/>
      <c r="B29" s="651"/>
      <c r="C29" s="380" t="s">
        <v>297</v>
      </c>
      <c r="D29" s="653"/>
      <c r="E29" s="388" t="s">
        <v>365</v>
      </c>
      <c r="F29" s="32"/>
    </row>
    <row r="30" spans="1:6" ht="18" customHeight="1" x14ac:dyDescent="0.2">
      <c r="A30" s="32"/>
      <c r="B30" s="32"/>
      <c r="C30" s="379"/>
      <c r="D30" s="365"/>
      <c r="E30" s="366"/>
      <c r="F30" s="32"/>
    </row>
    <row r="31" spans="1:6" ht="22.5" customHeight="1" x14ac:dyDescent="0.2">
      <c r="A31" s="32"/>
      <c r="B31" s="649" t="s">
        <v>295</v>
      </c>
      <c r="C31" s="649"/>
      <c r="D31" s="649"/>
      <c r="E31" s="649"/>
      <c r="F31" s="32"/>
    </row>
    <row r="32" spans="1:6" ht="21.95" customHeight="1" x14ac:dyDescent="0.2">
      <c r="A32" s="32"/>
      <c r="B32" s="378" t="s">
        <v>71</v>
      </c>
      <c r="C32" s="378"/>
      <c r="D32" s="383" t="s">
        <v>403</v>
      </c>
      <c r="E32" s="389" t="s">
        <v>72</v>
      </c>
      <c r="F32" s="32"/>
    </row>
    <row r="33" spans="1:10" ht="18" customHeight="1" x14ac:dyDescent="0.25">
      <c r="A33" s="32"/>
      <c r="B33" s="35"/>
      <c r="C33" s="35"/>
      <c r="D33" s="32"/>
      <c r="E33" s="32"/>
      <c r="F33" s="32"/>
    </row>
    <row r="34" spans="1:10" ht="15" x14ac:dyDescent="0.25">
      <c r="B34" s="39"/>
      <c r="C34" s="39"/>
      <c r="D34" s="39"/>
      <c r="E34" s="39"/>
      <c r="F34" s="40"/>
      <c r="H34" s="40"/>
      <c r="I34" s="40"/>
      <c r="J34" s="40"/>
    </row>
  </sheetData>
  <mergeCells count="11">
    <mergeCell ref="D4:E4"/>
    <mergeCell ref="B8:E8"/>
    <mergeCell ref="B13:E13"/>
    <mergeCell ref="B20:E20"/>
    <mergeCell ref="B31:E31"/>
    <mergeCell ref="B21:B23"/>
    <mergeCell ref="B24:B26"/>
    <mergeCell ref="D21:D23"/>
    <mergeCell ref="D24:D26"/>
    <mergeCell ref="B27:B29"/>
    <mergeCell ref="D27:D29"/>
  </mergeCells>
  <hyperlinks>
    <hyperlink ref="E17" location="'Real Cost Escalation'!A1" display="'Real Cost Escalation'!A1"/>
    <hyperlink ref="E32" location="'PTRM Input'!A1" display="'PTRM Input'!A1"/>
    <hyperlink ref="E10" location="'Capex Model Category Index'!A1" display="'Capex Model Category Index'!A1"/>
    <hyperlink ref="E11" location="Mapping!A1" display="Mapping!A1"/>
    <hyperlink ref="E14" location="CPI!A1" display="CPI!A1"/>
    <hyperlink ref="E15" location="'Growth Capex Volumes'!A1" display="'Growth Capex Volumes'!A1"/>
    <hyperlink ref="E16" location="'Business Cases'!A1" display="'Business Cases'!A1"/>
    <hyperlink ref="E18" location="Overheads!A1" display="Overheads!A1"/>
    <hyperlink ref="E21" location="'Capex Category Summary (Vic)'!A1" display="'Capex Category Summary (Vic)'!A1"/>
    <hyperlink ref="E22" location="'Capex Category Summary (Alb)'!A1" display="'Capex Category Summary (Alb)'!A1"/>
    <hyperlink ref="E23" location="'Capex Category Summary (Comb)'!A1" display="'Capex Category Summary (Comb)'!A1"/>
    <hyperlink ref="E24" location="'Overheads (Vic)'!A1" display="'Overheads (Vic)'!A1"/>
    <hyperlink ref="E25" location="'Overheads (Alb)'!A1" display="'Overheads (Alb)'!A1"/>
    <hyperlink ref="E26" location="'Overheads (Comb)'!A1" display="'Overheads (Comb)'!A1"/>
    <hyperlink ref="E27" location="'Consolidated Summary (Vic)'!A1" display="'Consolidated Summary (Vic)'!A1"/>
    <hyperlink ref="E28" location="'Consolidated Summary (Alb)'!A1" display="'Consolidated Summary (Alb)'!A1"/>
    <hyperlink ref="E29" location="'Consolidated Summary (Comb)'!A1" display="'Consolidated Summary (Comb)'!A1"/>
  </hyperlinks>
  <pageMargins left="0.7" right="0.7" top="0.75" bottom="0.75" header="0.3" footer="0.3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Normal="100" workbookViewId="0">
      <selection activeCell="F36" sqref="F36"/>
    </sheetView>
  </sheetViews>
  <sheetFormatPr defaultRowHeight="14.25" x14ac:dyDescent="0.2"/>
  <cols>
    <col min="1" max="1" width="2.28515625" style="33" customWidth="1"/>
    <col min="2" max="2" width="10.28515625" style="33" customWidth="1"/>
    <col min="3" max="3" width="49.5703125" style="33" customWidth="1"/>
    <col min="4" max="4" width="3.7109375" style="33" customWidth="1"/>
    <col min="5" max="16384" width="9.140625" style="33"/>
  </cols>
  <sheetData>
    <row r="1" spans="1:4" x14ac:dyDescent="0.2">
      <c r="A1" s="32"/>
      <c r="B1" s="32"/>
      <c r="C1" s="32"/>
      <c r="D1" s="32"/>
    </row>
    <row r="2" spans="1:4" ht="30" customHeight="1" x14ac:dyDescent="0.2">
      <c r="A2" s="32"/>
      <c r="B2" s="340" t="s">
        <v>291</v>
      </c>
      <c r="C2" s="352"/>
      <c r="D2" s="32"/>
    </row>
    <row r="3" spans="1:4" ht="15" customHeight="1" x14ac:dyDescent="0.2">
      <c r="A3" s="32"/>
      <c r="B3" s="46" t="s">
        <v>17</v>
      </c>
      <c r="C3" s="506"/>
      <c r="D3" s="32"/>
    </row>
    <row r="4" spans="1:4" x14ac:dyDescent="0.2">
      <c r="A4" s="32"/>
      <c r="B4" s="32"/>
      <c r="C4" s="32"/>
      <c r="D4" s="32"/>
    </row>
    <row r="5" spans="1:4" ht="21.75" customHeight="1" x14ac:dyDescent="0.2">
      <c r="A5" s="32"/>
      <c r="B5" s="373" t="s">
        <v>294</v>
      </c>
      <c r="C5" s="373"/>
      <c r="D5" s="32"/>
    </row>
    <row r="6" spans="1:4" x14ac:dyDescent="0.2">
      <c r="A6" s="32"/>
      <c r="B6" s="374"/>
      <c r="C6" s="374"/>
      <c r="D6" s="32"/>
    </row>
    <row r="7" spans="1:4" x14ac:dyDescent="0.2">
      <c r="A7" s="32"/>
      <c r="B7" s="375" t="s">
        <v>292</v>
      </c>
      <c r="C7" s="75" t="s">
        <v>293</v>
      </c>
      <c r="D7" s="32"/>
    </row>
    <row r="8" spans="1:4" x14ac:dyDescent="0.2">
      <c r="A8" s="32"/>
      <c r="B8" s="371" t="s">
        <v>21</v>
      </c>
      <c r="C8" s="88" t="s">
        <v>404</v>
      </c>
      <c r="D8" s="32"/>
    </row>
    <row r="9" spans="1:4" x14ac:dyDescent="0.2">
      <c r="A9" s="32"/>
      <c r="B9" s="371" t="s">
        <v>22</v>
      </c>
      <c r="C9" s="88" t="s">
        <v>405</v>
      </c>
      <c r="D9" s="32"/>
    </row>
    <row r="10" spans="1:4" x14ac:dyDescent="0.2">
      <c r="A10" s="32"/>
      <c r="B10" s="371" t="s">
        <v>23</v>
      </c>
      <c r="C10" s="88" t="s">
        <v>277</v>
      </c>
      <c r="D10" s="32"/>
    </row>
    <row r="11" spans="1:4" x14ac:dyDescent="0.2">
      <c r="A11" s="32"/>
      <c r="B11" s="371" t="s">
        <v>24</v>
      </c>
      <c r="C11" s="88" t="s">
        <v>278</v>
      </c>
      <c r="D11" s="32"/>
    </row>
    <row r="12" spans="1:4" x14ac:dyDescent="0.2">
      <c r="A12" s="32"/>
      <c r="B12" s="371" t="s">
        <v>25</v>
      </c>
      <c r="C12" s="88" t="s">
        <v>283</v>
      </c>
      <c r="D12" s="32"/>
    </row>
    <row r="13" spans="1:4" x14ac:dyDescent="0.2">
      <c r="A13" s="32"/>
      <c r="B13" s="371" t="s">
        <v>26</v>
      </c>
      <c r="C13" s="88" t="s">
        <v>282</v>
      </c>
      <c r="D13" s="32"/>
    </row>
    <row r="14" spans="1:4" x14ac:dyDescent="0.2">
      <c r="A14" s="32"/>
      <c r="B14" s="371" t="s">
        <v>27</v>
      </c>
      <c r="C14" s="88" t="s">
        <v>370</v>
      </c>
      <c r="D14" s="32"/>
    </row>
    <row r="15" spans="1:4" x14ac:dyDescent="0.2">
      <c r="A15" s="32"/>
      <c r="B15" s="371" t="s">
        <v>28</v>
      </c>
      <c r="C15" s="88" t="s">
        <v>371</v>
      </c>
      <c r="D15" s="32"/>
    </row>
    <row r="16" spans="1:4" x14ac:dyDescent="0.2">
      <c r="A16" s="32"/>
      <c r="B16" s="371" t="s">
        <v>29</v>
      </c>
      <c r="C16" s="88" t="s">
        <v>279</v>
      </c>
      <c r="D16" s="32"/>
    </row>
    <row r="17" spans="1:4" x14ac:dyDescent="0.2">
      <c r="A17" s="32"/>
      <c r="B17" s="371" t="s">
        <v>30</v>
      </c>
      <c r="C17" s="88" t="s">
        <v>321</v>
      </c>
      <c r="D17" s="32"/>
    </row>
    <row r="18" spans="1:4" x14ac:dyDescent="0.2">
      <c r="A18" s="32"/>
      <c r="B18" s="371" t="s">
        <v>31</v>
      </c>
      <c r="C18" s="88" t="s">
        <v>15</v>
      </c>
      <c r="D18" s="32"/>
    </row>
    <row r="19" spans="1:4" x14ac:dyDescent="0.2">
      <c r="A19" s="32"/>
      <c r="B19" s="371" t="s">
        <v>32</v>
      </c>
      <c r="C19" s="88" t="s">
        <v>5</v>
      </c>
      <c r="D19" s="32"/>
    </row>
    <row r="20" spans="1:4" x14ac:dyDescent="0.2">
      <c r="A20" s="32"/>
      <c r="B20" s="371" t="s">
        <v>33</v>
      </c>
      <c r="C20" s="88" t="s">
        <v>6</v>
      </c>
      <c r="D20" s="32"/>
    </row>
    <row r="21" spans="1:4" x14ac:dyDescent="0.2">
      <c r="A21" s="32"/>
      <c r="B21" s="371" t="s">
        <v>34</v>
      </c>
      <c r="C21" s="88" t="s">
        <v>16</v>
      </c>
      <c r="D21" s="32"/>
    </row>
    <row r="22" spans="1:4" x14ac:dyDescent="0.2">
      <c r="A22" s="32"/>
      <c r="B22" s="371" t="s">
        <v>35</v>
      </c>
      <c r="C22" s="88" t="s">
        <v>280</v>
      </c>
      <c r="D22" s="32"/>
    </row>
    <row r="23" spans="1:4" x14ac:dyDescent="0.2">
      <c r="A23" s="32"/>
      <c r="B23" s="371" t="s">
        <v>36</v>
      </c>
      <c r="C23" s="88" t="s">
        <v>281</v>
      </c>
      <c r="D23" s="32"/>
    </row>
    <row r="24" spans="1:4" x14ac:dyDescent="0.2">
      <c r="A24" s="32"/>
      <c r="B24" s="371" t="s">
        <v>37</v>
      </c>
      <c r="C24" s="88" t="s">
        <v>7</v>
      </c>
      <c r="D24" s="32"/>
    </row>
    <row r="25" spans="1:4" x14ac:dyDescent="0.2">
      <c r="A25" s="32"/>
      <c r="B25" s="371" t="s">
        <v>38</v>
      </c>
      <c r="C25" s="88" t="s">
        <v>8</v>
      </c>
      <c r="D25" s="32"/>
    </row>
    <row r="26" spans="1:4" x14ac:dyDescent="0.2">
      <c r="A26" s="32"/>
      <c r="B26" s="371" t="s">
        <v>39</v>
      </c>
      <c r="C26" s="88" t="s">
        <v>9</v>
      </c>
      <c r="D26" s="32"/>
    </row>
    <row r="27" spans="1:4" x14ac:dyDescent="0.2">
      <c r="A27" s="32"/>
      <c r="B27" s="372" t="s">
        <v>372</v>
      </c>
      <c r="C27" s="89" t="s">
        <v>10</v>
      </c>
      <c r="D27" s="32"/>
    </row>
    <row r="28" spans="1:4" ht="18" customHeight="1" x14ac:dyDescent="0.2">
      <c r="A28" s="32"/>
      <c r="B28" s="36"/>
      <c r="C28" s="36"/>
      <c r="D28" s="32"/>
    </row>
    <row r="29" spans="1:4" ht="21" customHeight="1" x14ac:dyDescent="0.2">
      <c r="A29" s="32"/>
      <c r="B29" s="373" t="s">
        <v>233</v>
      </c>
      <c r="C29" s="373"/>
      <c r="D29" s="32"/>
    </row>
    <row r="30" spans="1:4" x14ac:dyDescent="0.2">
      <c r="A30" s="32"/>
      <c r="B30" s="374"/>
      <c r="C30" s="374"/>
      <c r="D30" s="32"/>
    </row>
    <row r="31" spans="1:4" x14ac:dyDescent="0.2">
      <c r="A31" s="32"/>
      <c r="B31" s="375" t="s">
        <v>292</v>
      </c>
      <c r="C31" s="75" t="s">
        <v>293</v>
      </c>
      <c r="D31" s="32"/>
    </row>
    <row r="32" spans="1:4" x14ac:dyDescent="0.2">
      <c r="A32" s="32"/>
      <c r="B32" s="371">
        <v>21</v>
      </c>
      <c r="C32" s="88" t="s">
        <v>1</v>
      </c>
      <c r="D32" s="32"/>
    </row>
    <row r="33" spans="1:8" x14ac:dyDescent="0.2">
      <c r="A33" s="32"/>
      <c r="B33" s="371">
        <v>22</v>
      </c>
      <c r="C33" s="88" t="s">
        <v>51</v>
      </c>
      <c r="D33" s="32"/>
    </row>
    <row r="34" spans="1:8" x14ac:dyDescent="0.2">
      <c r="A34" s="32"/>
      <c r="B34" s="371">
        <v>23</v>
      </c>
      <c r="C34" s="88" t="s">
        <v>2</v>
      </c>
      <c r="D34" s="32"/>
    </row>
    <row r="35" spans="1:8" x14ac:dyDescent="0.2">
      <c r="A35" s="32"/>
      <c r="B35" s="371">
        <v>24</v>
      </c>
      <c r="C35" s="88" t="s">
        <v>59</v>
      </c>
      <c r="D35" s="32"/>
    </row>
    <row r="36" spans="1:8" x14ac:dyDescent="0.2">
      <c r="A36" s="32"/>
      <c r="B36" s="371">
        <v>25</v>
      </c>
      <c r="C36" s="376" t="s">
        <v>60</v>
      </c>
      <c r="D36" s="32"/>
    </row>
    <row r="37" spans="1:8" x14ac:dyDescent="0.2">
      <c r="A37" s="32"/>
      <c r="B37" s="371">
        <v>26</v>
      </c>
      <c r="C37" s="376" t="s">
        <v>3</v>
      </c>
      <c r="D37" s="32"/>
    </row>
    <row r="38" spans="1:8" x14ac:dyDescent="0.2">
      <c r="A38" s="32"/>
      <c r="B38" s="371">
        <v>27</v>
      </c>
      <c r="C38" s="376" t="s">
        <v>0</v>
      </c>
      <c r="D38" s="32"/>
    </row>
    <row r="39" spans="1:8" x14ac:dyDescent="0.2">
      <c r="A39" s="32"/>
      <c r="B39" s="372">
        <v>28</v>
      </c>
      <c r="C39" s="377" t="s">
        <v>4</v>
      </c>
      <c r="D39" s="32"/>
    </row>
    <row r="40" spans="1:8" ht="18" customHeight="1" x14ac:dyDescent="0.25">
      <c r="A40" s="32"/>
      <c r="B40" s="35"/>
      <c r="C40" s="32"/>
      <c r="D40" s="32"/>
    </row>
    <row r="41" spans="1:8" ht="15" x14ac:dyDescent="0.25">
      <c r="B41" s="39"/>
      <c r="C41" s="39"/>
      <c r="D41" s="40"/>
      <c r="F41" s="40"/>
      <c r="G41" s="40"/>
      <c r="H41" s="40"/>
    </row>
  </sheetData>
  <hyperlinks>
    <hyperlink ref="B3" location="Contents!A1" display="Contents!A1"/>
  </hyperlinks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F35" sqref="F35"/>
    </sheetView>
  </sheetViews>
  <sheetFormatPr defaultRowHeight="14.25" x14ac:dyDescent="0.2"/>
  <cols>
    <col min="1" max="1" width="2.28515625" style="44" customWidth="1"/>
    <col min="2" max="2" width="20" style="44" customWidth="1"/>
    <col min="3" max="3" width="33.5703125" style="44" customWidth="1"/>
    <col min="4" max="4" width="3.7109375" style="44" customWidth="1"/>
    <col min="5" max="5" width="41" style="44" customWidth="1"/>
    <col min="6" max="6" width="4" style="44" customWidth="1"/>
    <col min="7" max="11" width="10.7109375" style="44" customWidth="1"/>
    <col min="12" max="16384" width="9.140625" style="44"/>
  </cols>
  <sheetData>
    <row r="1" spans="1:12" x14ac:dyDescent="0.2">
      <c r="A1" s="32"/>
      <c r="B1" s="32"/>
      <c r="C1" s="32"/>
      <c r="D1" s="32"/>
      <c r="E1" s="32"/>
      <c r="F1" s="32"/>
    </row>
    <row r="2" spans="1:12" ht="27.95" customHeight="1" x14ac:dyDescent="0.25">
      <c r="A2" s="63"/>
      <c r="B2" s="340" t="s">
        <v>298</v>
      </c>
      <c r="C2" s="340"/>
      <c r="D2" s="341"/>
      <c r="E2" s="341"/>
      <c r="F2" s="32"/>
    </row>
    <row r="3" spans="1:12" s="67" customFormat="1" ht="17.25" customHeight="1" x14ac:dyDescent="0.2">
      <c r="A3" s="66"/>
      <c r="B3" s="46" t="s">
        <v>17</v>
      </c>
      <c r="C3" s="46"/>
      <c r="D3" s="66"/>
      <c r="E3" s="66"/>
      <c r="F3" s="32"/>
      <c r="G3" s="44"/>
      <c r="H3" s="44"/>
      <c r="I3" s="44"/>
      <c r="J3" s="44"/>
      <c r="K3" s="44"/>
      <c r="L3" s="44"/>
    </row>
    <row r="4" spans="1:12" s="67" customFormat="1" ht="18" customHeight="1" x14ac:dyDescent="0.2">
      <c r="A4" s="66"/>
      <c r="B4" s="46"/>
      <c r="C4" s="46"/>
      <c r="D4" s="66"/>
      <c r="E4" s="66"/>
      <c r="F4" s="32"/>
      <c r="G4" s="44"/>
      <c r="H4" s="44"/>
      <c r="I4" s="44"/>
      <c r="J4" s="44"/>
      <c r="K4" s="44"/>
      <c r="L4" s="44"/>
    </row>
    <row r="5" spans="1:12" s="83" customFormat="1" ht="21.75" customHeight="1" x14ac:dyDescent="0.2">
      <c r="A5" s="74"/>
      <c r="B5" s="417" t="s">
        <v>314</v>
      </c>
      <c r="C5" s="418" t="s">
        <v>315</v>
      </c>
      <c r="D5" s="656" t="s">
        <v>316</v>
      </c>
      <c r="E5" s="656"/>
      <c r="F5" s="74"/>
    </row>
    <row r="6" spans="1:12" s="67" customFormat="1" x14ac:dyDescent="0.2">
      <c r="A6" s="66"/>
      <c r="B6" s="84" t="s">
        <v>102</v>
      </c>
      <c r="C6" s="51" t="s">
        <v>48</v>
      </c>
      <c r="D6" s="491" t="str">
        <f>'Capex Model Category Index'!B10</f>
        <v>03</v>
      </c>
      <c r="E6" s="336" t="str">
        <f>'Capex Model Category Index'!C10</f>
        <v>Mains Replacement - General Trunk Replacement</v>
      </c>
      <c r="F6" s="32"/>
      <c r="G6" s="44"/>
      <c r="H6" s="44"/>
      <c r="I6" s="44"/>
      <c r="J6" s="44"/>
      <c r="K6" s="44"/>
      <c r="L6" s="44"/>
    </row>
    <row r="7" spans="1:12" s="67" customFormat="1" x14ac:dyDescent="0.2">
      <c r="A7" s="66"/>
      <c r="B7" s="84"/>
      <c r="C7" s="51"/>
      <c r="D7" s="491" t="str">
        <f>'Capex Model Category Index'!B11</f>
        <v>04</v>
      </c>
      <c r="E7" s="336" t="str">
        <f>'Capex Model Category Index'!C11</f>
        <v>Mains Replacement - Decommissioned Trunk Replacement</v>
      </c>
      <c r="F7" s="32"/>
      <c r="G7" s="44"/>
      <c r="H7" s="44"/>
      <c r="I7" s="44"/>
      <c r="J7" s="44"/>
      <c r="K7" s="44"/>
      <c r="L7" s="44"/>
    </row>
    <row r="8" spans="1:12" s="67" customFormat="1" x14ac:dyDescent="0.2">
      <c r="A8" s="66"/>
      <c r="B8" s="84"/>
      <c r="C8" s="51"/>
      <c r="D8" s="491" t="str">
        <f>'Capex Model Category Index'!B12</f>
        <v>05</v>
      </c>
      <c r="E8" s="336" t="str">
        <f>'Capex Model Category Index'!C12</f>
        <v>Mains Replacement - Piecemeal Replacement</v>
      </c>
      <c r="F8" s="32"/>
      <c r="G8" s="44"/>
      <c r="H8" s="44"/>
      <c r="I8" s="44"/>
      <c r="J8" s="44"/>
      <c r="K8" s="44"/>
      <c r="L8" s="44"/>
    </row>
    <row r="9" spans="1:12" s="67" customFormat="1" x14ac:dyDescent="0.2">
      <c r="A9" s="66"/>
      <c r="B9" s="84"/>
      <c r="C9" s="51"/>
      <c r="D9" s="491" t="str">
        <f>'Capex Model Category Index'!B13</f>
        <v>06</v>
      </c>
      <c r="E9" s="336" t="str">
        <f>'Capex Model Category Index'!C13</f>
        <v>Mains Replacement - HDPE Replacement</v>
      </c>
      <c r="F9" s="32"/>
      <c r="G9" s="44"/>
      <c r="H9" s="44"/>
      <c r="I9" s="44"/>
      <c r="J9" s="44"/>
      <c r="K9" s="44"/>
      <c r="L9" s="44"/>
    </row>
    <row r="10" spans="1:12" s="67" customFormat="1" x14ac:dyDescent="0.2">
      <c r="A10" s="66"/>
      <c r="B10" s="84"/>
      <c r="C10" s="51"/>
      <c r="D10" s="491" t="str">
        <f>'Capex Model Category Index'!B14</f>
        <v>07</v>
      </c>
      <c r="E10" s="336" t="str">
        <f>'Capex Model Category Index'!C14</f>
        <v>Mains Replacement - HDICS Block Replacement</v>
      </c>
      <c r="F10" s="32"/>
      <c r="G10" s="44"/>
      <c r="H10" s="44"/>
      <c r="I10" s="44"/>
      <c r="J10" s="44"/>
      <c r="K10" s="44"/>
      <c r="L10" s="44"/>
    </row>
    <row r="11" spans="1:12" s="67" customFormat="1" x14ac:dyDescent="0.2">
      <c r="A11" s="66"/>
      <c r="B11" s="84"/>
      <c r="C11" s="51"/>
      <c r="D11" s="491" t="str">
        <f>'Capex Model Category Index'!B15</f>
        <v>08</v>
      </c>
      <c r="E11" s="336" t="str">
        <f>'Capex Model Category Index'!C15</f>
        <v>Mains Replacement - LDS Block Replacement</v>
      </c>
      <c r="F11" s="32"/>
      <c r="G11" s="44"/>
      <c r="H11" s="44"/>
      <c r="I11" s="44"/>
      <c r="J11" s="44"/>
      <c r="K11" s="44"/>
      <c r="L11" s="44"/>
    </row>
    <row r="12" spans="1:12" s="67" customFormat="1" x14ac:dyDescent="0.2">
      <c r="A12" s="66"/>
      <c r="B12" s="84"/>
      <c r="C12" s="51"/>
      <c r="D12" s="491" t="str">
        <f>'Capex Model Category Index'!B16</f>
        <v>09</v>
      </c>
      <c r="E12" s="336" t="str">
        <f>'Capex Model Category Index'!C16</f>
        <v>Mains Replacement - CBD Block Replacement</v>
      </c>
      <c r="F12" s="32"/>
      <c r="G12" s="44"/>
      <c r="H12" s="44"/>
      <c r="I12" s="44"/>
      <c r="J12" s="44"/>
      <c r="K12" s="44"/>
      <c r="L12" s="44"/>
    </row>
    <row r="13" spans="1:12" s="67" customFormat="1" x14ac:dyDescent="0.2">
      <c r="A13" s="66"/>
      <c r="B13" s="84"/>
      <c r="C13" s="51"/>
      <c r="D13" s="491" t="str">
        <f>'Capex Model Category Index'!B17</f>
        <v>10</v>
      </c>
      <c r="E13" s="336" t="str">
        <f>'Capex Model Category Index'!C17</f>
        <v>Mains Replacement - CBD Trunk Replacement</v>
      </c>
      <c r="F13" s="32"/>
      <c r="G13" s="44"/>
      <c r="H13" s="44"/>
      <c r="I13" s="44"/>
      <c r="J13" s="44"/>
      <c r="K13" s="44"/>
      <c r="L13" s="44"/>
    </row>
    <row r="14" spans="1:12" s="67" customFormat="1" x14ac:dyDescent="0.2">
      <c r="A14" s="66"/>
      <c r="B14" s="84"/>
      <c r="C14" s="51"/>
      <c r="D14" s="491" t="str">
        <f>'Capex Model Category Index'!B18</f>
        <v>11</v>
      </c>
      <c r="E14" s="336" t="str">
        <f>'Capex Model Category Index'!C18</f>
        <v>Service Renewal - Non AMRP</v>
      </c>
      <c r="F14" s="32"/>
      <c r="G14" s="44"/>
      <c r="H14" s="44"/>
      <c r="I14" s="44"/>
      <c r="J14" s="44"/>
      <c r="K14" s="44"/>
      <c r="L14" s="44"/>
    </row>
    <row r="15" spans="1:12" s="67" customFormat="1" x14ac:dyDescent="0.2">
      <c r="A15" s="66"/>
      <c r="B15" s="84"/>
      <c r="C15" s="86" t="s">
        <v>50</v>
      </c>
      <c r="D15" s="492">
        <f>'Capex Model Category Index'!B38</f>
        <v>27</v>
      </c>
      <c r="E15" s="413" t="str">
        <f>'Capex Model Category Index'!C38</f>
        <v>Mains Augmentation</v>
      </c>
      <c r="F15" s="32"/>
      <c r="G15" s="44"/>
      <c r="H15" s="44"/>
      <c r="I15" s="44"/>
      <c r="J15" s="44"/>
      <c r="K15" s="44"/>
      <c r="L15" s="44"/>
    </row>
    <row r="16" spans="1:12" s="67" customFormat="1" x14ac:dyDescent="0.2">
      <c r="A16" s="66"/>
      <c r="B16" s="84"/>
      <c r="C16" s="87" t="s">
        <v>106</v>
      </c>
      <c r="D16" s="491" t="str">
        <f>'Capex Model Category Index'!B19</f>
        <v>12</v>
      </c>
      <c r="E16" s="336" t="str">
        <f>'Capex Model Category Index'!C19</f>
        <v>New Main - Estate</v>
      </c>
      <c r="F16" s="32"/>
      <c r="G16" s="44"/>
      <c r="H16" s="44"/>
      <c r="I16" s="44"/>
      <c r="J16" s="44"/>
      <c r="K16" s="44"/>
      <c r="L16" s="44"/>
    </row>
    <row r="17" spans="1:12" s="67" customFormat="1" x14ac:dyDescent="0.2">
      <c r="A17" s="66"/>
      <c r="B17" s="84"/>
      <c r="C17" s="88"/>
      <c r="D17" s="491" t="str">
        <f>'Capex Model Category Index'!B20</f>
        <v>13</v>
      </c>
      <c r="E17" s="336" t="str">
        <f>'Capex Model Category Index'!C20</f>
        <v>New Main - Existing Domestic</v>
      </c>
      <c r="F17" s="32"/>
      <c r="G17" s="44"/>
      <c r="H17" s="44"/>
      <c r="I17" s="44"/>
      <c r="J17" s="44"/>
      <c r="K17" s="44"/>
      <c r="L17" s="44"/>
    </row>
    <row r="18" spans="1:12" s="67" customFormat="1" x14ac:dyDescent="0.2">
      <c r="A18" s="66"/>
      <c r="B18" s="84"/>
      <c r="C18" s="88"/>
      <c r="D18" s="491" t="str">
        <f>'Capex Model Category Index'!B21</f>
        <v>14</v>
      </c>
      <c r="E18" s="336" t="str">
        <f>'Capex Model Category Index'!C21</f>
        <v>New Main - I&amp;C&lt;10TJ</v>
      </c>
      <c r="F18" s="32"/>
      <c r="G18" s="44"/>
      <c r="H18" s="44"/>
      <c r="I18" s="44"/>
      <c r="J18" s="44"/>
      <c r="K18" s="44"/>
      <c r="L18" s="44"/>
    </row>
    <row r="19" spans="1:12" s="67" customFormat="1" x14ac:dyDescent="0.2">
      <c r="A19" s="66"/>
      <c r="B19" s="84"/>
      <c r="C19" s="88"/>
      <c r="D19" s="491" t="str">
        <f>'Capex Model Category Index'!B24</f>
        <v>17</v>
      </c>
      <c r="E19" s="336" t="str">
        <f>'Capex Model Category Index'!C24</f>
        <v>New Service - New Home</v>
      </c>
      <c r="F19" s="32"/>
      <c r="G19" s="44"/>
      <c r="H19" s="44"/>
      <c r="I19" s="44"/>
      <c r="J19" s="44"/>
      <c r="K19" s="44"/>
      <c r="L19" s="44"/>
    </row>
    <row r="20" spans="1:12" s="67" customFormat="1" x14ac:dyDescent="0.2">
      <c r="A20" s="66"/>
      <c r="B20" s="84"/>
      <c r="C20" s="88"/>
      <c r="D20" s="491" t="str">
        <f>'Capex Model Category Index'!B25</f>
        <v>18</v>
      </c>
      <c r="E20" s="336" t="str">
        <f>'Capex Model Category Index'!C25</f>
        <v>New Service - Exist Home</v>
      </c>
      <c r="F20" s="32"/>
      <c r="G20" s="44"/>
      <c r="H20" s="44"/>
      <c r="I20" s="44"/>
      <c r="J20" s="44"/>
      <c r="K20" s="44"/>
      <c r="L20" s="44"/>
    </row>
    <row r="21" spans="1:12" s="67" customFormat="1" x14ac:dyDescent="0.2">
      <c r="A21" s="66"/>
      <c r="B21" s="84"/>
      <c r="C21" s="88"/>
      <c r="D21" s="491" t="str">
        <f>'Capex Model Category Index'!B26</f>
        <v>19</v>
      </c>
      <c r="E21" s="336" t="str">
        <f>'Capex Model Category Index'!C26</f>
        <v>New Service - Multi User</v>
      </c>
      <c r="F21" s="32"/>
      <c r="G21" s="44"/>
      <c r="H21" s="44"/>
      <c r="I21" s="44"/>
      <c r="J21" s="44"/>
      <c r="K21" s="44"/>
      <c r="L21" s="44"/>
    </row>
    <row r="22" spans="1:12" s="67" customFormat="1" x14ac:dyDescent="0.2">
      <c r="A22" s="66"/>
      <c r="B22" s="84"/>
      <c r="C22" s="89"/>
      <c r="D22" s="493" t="str">
        <f>'Capex Model Category Index'!B27</f>
        <v>20</v>
      </c>
      <c r="E22" s="414" t="str">
        <f>'Capex Model Category Index'!C27</f>
        <v>New Service - I&amp;C &lt; 10 Tj</v>
      </c>
      <c r="F22" s="32"/>
      <c r="G22" s="44"/>
      <c r="H22" s="44"/>
      <c r="I22" s="44"/>
      <c r="J22" s="44"/>
      <c r="K22" s="44"/>
      <c r="L22" s="44"/>
    </row>
    <row r="23" spans="1:12" s="67" customFormat="1" x14ac:dyDescent="0.2">
      <c r="A23" s="66"/>
      <c r="B23" s="90" t="s">
        <v>70</v>
      </c>
      <c r="C23" s="88" t="s">
        <v>49</v>
      </c>
      <c r="D23" s="491" t="str">
        <f>'Capex Model Category Index'!B8</f>
        <v>01</v>
      </c>
      <c r="E23" s="336" t="str">
        <f>'Capex Model Category Index'!C8</f>
        <v>Meter Replacement - Meters &lt; 25m3</v>
      </c>
      <c r="F23" s="32"/>
      <c r="G23" s="44"/>
      <c r="H23" s="44"/>
      <c r="I23" s="44"/>
      <c r="J23" s="44"/>
      <c r="K23" s="44"/>
      <c r="L23" s="44"/>
    </row>
    <row r="24" spans="1:12" s="67" customFormat="1" x14ac:dyDescent="0.2">
      <c r="A24" s="66"/>
      <c r="B24" s="91"/>
      <c r="C24" s="89"/>
      <c r="D24" s="491" t="str">
        <f>'Capex Model Category Index'!B9</f>
        <v>02</v>
      </c>
      <c r="E24" s="336" t="str">
        <f>'Capex Model Category Index'!C9</f>
        <v>Meter Replacement - Meters &gt; 25m3</v>
      </c>
      <c r="F24" s="32"/>
      <c r="G24" s="44"/>
      <c r="H24" s="44"/>
      <c r="I24" s="44"/>
      <c r="J24" s="44"/>
      <c r="K24" s="44"/>
      <c r="L24" s="44"/>
    </row>
    <row r="25" spans="1:12" s="67" customFormat="1" x14ac:dyDescent="0.2">
      <c r="A25" s="66"/>
      <c r="B25" s="91"/>
      <c r="C25" s="88" t="s">
        <v>107</v>
      </c>
      <c r="D25" s="494" t="str">
        <f>'Capex Model Category Index'!B22</f>
        <v>15</v>
      </c>
      <c r="E25" s="415" t="str">
        <f>'Capex Model Category Index'!C22</f>
        <v>New Meter - Domestic</v>
      </c>
      <c r="F25" s="32"/>
      <c r="G25" s="44"/>
      <c r="H25" s="44"/>
      <c r="I25" s="44"/>
      <c r="J25" s="44"/>
      <c r="K25" s="44"/>
      <c r="L25" s="44"/>
    </row>
    <row r="26" spans="1:12" s="67" customFormat="1" x14ac:dyDescent="0.2">
      <c r="A26" s="66"/>
      <c r="B26" s="92"/>
      <c r="C26" s="89"/>
      <c r="D26" s="493" t="str">
        <f>'Capex Model Category Index'!B23</f>
        <v>16</v>
      </c>
      <c r="E26" s="414" t="str">
        <f>'Capex Model Category Index'!C23</f>
        <v>New Meter - I&amp;C&lt;10TJ</v>
      </c>
      <c r="F26" s="32"/>
      <c r="G26" s="44"/>
      <c r="H26" s="44"/>
      <c r="I26" s="44"/>
      <c r="J26" s="44"/>
      <c r="K26" s="44"/>
      <c r="L26" s="44"/>
    </row>
    <row r="27" spans="1:12" s="67" customFormat="1" x14ac:dyDescent="0.2">
      <c r="A27" s="66"/>
      <c r="B27" s="90" t="s">
        <v>1</v>
      </c>
      <c r="C27" s="87" t="s">
        <v>1</v>
      </c>
      <c r="D27" s="493">
        <f>'Capex Model Category Index'!B32</f>
        <v>21</v>
      </c>
      <c r="E27" s="414" t="str">
        <f>'Capex Model Category Index'!C32</f>
        <v>Telemetry</v>
      </c>
      <c r="F27" s="32"/>
      <c r="G27" s="44"/>
      <c r="H27" s="44"/>
      <c r="I27" s="44"/>
      <c r="J27" s="44"/>
      <c r="K27" s="44"/>
      <c r="L27" s="44"/>
    </row>
    <row r="28" spans="1:12" s="67" customFormat="1" x14ac:dyDescent="0.2">
      <c r="A28" s="66"/>
      <c r="B28" s="90" t="s">
        <v>2</v>
      </c>
      <c r="C28" s="87" t="s">
        <v>2</v>
      </c>
      <c r="D28" s="493">
        <f>'Capex Model Category Index'!B34</f>
        <v>23</v>
      </c>
      <c r="E28" s="414" t="str">
        <f>'Capex Model Category Index'!C34</f>
        <v>Information Technology</v>
      </c>
      <c r="F28" s="32"/>
      <c r="G28" s="44"/>
      <c r="H28" s="44"/>
      <c r="I28" s="44"/>
      <c r="J28" s="44"/>
      <c r="K28" s="44"/>
      <c r="L28" s="44"/>
    </row>
    <row r="29" spans="1:12" s="67" customFormat="1" x14ac:dyDescent="0.2">
      <c r="A29" s="66"/>
      <c r="B29" s="90" t="s">
        <v>96</v>
      </c>
      <c r="C29" s="87" t="s">
        <v>96</v>
      </c>
      <c r="D29" s="495">
        <f>'Capex Model Category Index'!B35</f>
        <v>24</v>
      </c>
      <c r="E29" s="416" t="str">
        <f>'Capex Model Category Index'!C35</f>
        <v>Other Distribution System</v>
      </c>
      <c r="F29" s="32"/>
      <c r="G29" s="44"/>
      <c r="H29" s="44"/>
      <c r="I29" s="44"/>
      <c r="J29" s="44"/>
      <c r="K29" s="44"/>
      <c r="L29" s="44"/>
    </row>
    <row r="30" spans="1:12" s="67" customFormat="1" x14ac:dyDescent="0.2">
      <c r="A30" s="66"/>
      <c r="B30" s="91"/>
      <c r="C30" s="88"/>
      <c r="D30" s="495">
        <f>'Capex Model Category Index'!B36</f>
        <v>25</v>
      </c>
      <c r="E30" s="416" t="str">
        <f>'Capex Model Category Index'!C36</f>
        <v>Other Non-Distribution System</v>
      </c>
      <c r="F30" s="32"/>
      <c r="G30" s="44"/>
      <c r="H30" s="44"/>
      <c r="I30" s="44"/>
      <c r="J30" s="44"/>
      <c r="K30" s="44"/>
      <c r="L30" s="44"/>
    </row>
    <row r="31" spans="1:12" s="67" customFormat="1" x14ac:dyDescent="0.2">
      <c r="A31" s="66"/>
      <c r="B31" s="92"/>
      <c r="C31" s="89"/>
      <c r="D31" s="493">
        <f>'Capex Model Category Index'!B33</f>
        <v>22</v>
      </c>
      <c r="E31" s="414" t="str">
        <f>'Capex Model Category Index'!C33</f>
        <v>Regulators</v>
      </c>
      <c r="F31" s="32"/>
      <c r="G31" s="44"/>
      <c r="H31" s="44"/>
      <c r="I31" s="44"/>
      <c r="J31" s="44"/>
      <c r="K31" s="44"/>
      <c r="L31" s="44"/>
    </row>
    <row r="32" spans="1:12" s="67" customFormat="1" x14ac:dyDescent="0.2">
      <c r="A32" s="66"/>
      <c r="B32" s="92" t="s">
        <v>104</v>
      </c>
      <c r="C32" s="89" t="s">
        <v>108</v>
      </c>
      <c r="D32" s="496" t="s">
        <v>108</v>
      </c>
      <c r="E32" s="89" t="s">
        <v>108</v>
      </c>
      <c r="F32" s="32"/>
      <c r="G32" s="44"/>
      <c r="H32" s="44"/>
      <c r="I32" s="44"/>
      <c r="J32" s="44"/>
      <c r="K32" s="44"/>
      <c r="L32" s="44"/>
    </row>
    <row r="33" spans="1:12" s="67" customFormat="1" x14ac:dyDescent="0.2">
      <c r="A33" s="66"/>
      <c r="B33" s="92" t="s">
        <v>105</v>
      </c>
      <c r="C33" s="89" t="s">
        <v>108</v>
      </c>
      <c r="D33" s="496" t="s">
        <v>108</v>
      </c>
      <c r="E33" s="89" t="s">
        <v>108</v>
      </c>
      <c r="F33" s="32"/>
      <c r="G33" s="44"/>
      <c r="H33" s="44"/>
      <c r="I33" s="44"/>
      <c r="J33" s="44"/>
      <c r="K33" s="44"/>
      <c r="L33" s="44"/>
    </row>
    <row r="34" spans="1:12" s="67" customFormat="1" x14ac:dyDescent="0.2">
      <c r="A34" s="66"/>
      <c r="B34" s="92" t="s">
        <v>103</v>
      </c>
      <c r="C34" s="89" t="s">
        <v>108</v>
      </c>
      <c r="D34" s="496" t="s">
        <v>108</v>
      </c>
      <c r="E34" s="89" t="s">
        <v>108</v>
      </c>
      <c r="F34" s="32"/>
      <c r="G34" s="44"/>
      <c r="H34" s="44"/>
      <c r="I34" s="44"/>
      <c r="J34" s="44"/>
      <c r="K34" s="44"/>
      <c r="L34" s="44"/>
    </row>
    <row r="35" spans="1:12" s="67" customFormat="1" x14ac:dyDescent="0.2">
      <c r="A35" s="66"/>
      <c r="B35" s="93"/>
      <c r="C35" s="46"/>
      <c r="D35" s="66"/>
      <c r="E35" s="66"/>
      <c r="F35" s="32"/>
      <c r="G35" s="44"/>
      <c r="H35" s="44"/>
      <c r="I35" s="44"/>
      <c r="J35" s="44"/>
      <c r="K35" s="44"/>
      <c r="L35" s="44"/>
    </row>
  </sheetData>
  <mergeCells count="1">
    <mergeCell ref="D5:E5"/>
  </mergeCells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B5" sqref="B5"/>
    </sheetView>
  </sheetViews>
  <sheetFormatPr defaultRowHeight="14.25" x14ac:dyDescent="0.2"/>
  <cols>
    <col min="1" max="1" width="2.28515625" style="115" customWidth="1"/>
    <col min="2" max="2" width="16" style="115" customWidth="1"/>
    <col min="3" max="3" width="20.5703125" style="115" customWidth="1"/>
    <col min="4" max="4" width="8.42578125" style="115" customWidth="1"/>
    <col min="5" max="5" width="12.42578125" style="115" customWidth="1"/>
    <col min="6" max="6" width="15.5703125" style="115" customWidth="1"/>
    <col min="7" max="7" width="5" style="115" customWidth="1"/>
    <col min="8" max="8" width="3.7109375" style="115" customWidth="1"/>
    <col min="9" max="12" width="9.140625" style="115"/>
    <col min="13" max="13" width="26.42578125" style="115" bestFit="1" customWidth="1"/>
    <col min="14" max="16384" width="9.140625" style="115"/>
  </cols>
  <sheetData>
    <row r="1" spans="1:22" x14ac:dyDescent="0.2">
      <c r="A1" s="32"/>
      <c r="B1" s="32"/>
      <c r="C1" s="32"/>
      <c r="D1" s="32"/>
      <c r="E1" s="32"/>
      <c r="F1" s="32"/>
      <c r="G1" s="32"/>
      <c r="H1" s="32"/>
    </row>
    <row r="2" spans="1:22" ht="23.25" customHeight="1" x14ac:dyDescent="0.25">
      <c r="A2" s="32"/>
      <c r="B2" s="340" t="s">
        <v>221</v>
      </c>
      <c r="C2" s="353"/>
      <c r="D2" s="353"/>
      <c r="E2" s="353"/>
      <c r="F2" s="341"/>
      <c r="G2" s="341"/>
      <c r="H2" s="32"/>
    </row>
    <row r="3" spans="1:22" x14ac:dyDescent="0.2">
      <c r="A3" s="32"/>
      <c r="B3" s="46" t="s">
        <v>17</v>
      </c>
      <c r="C3" s="66"/>
      <c r="D3" s="66"/>
      <c r="E3" s="66"/>
      <c r="F3" s="66"/>
      <c r="G3" s="66"/>
      <c r="H3" s="32"/>
    </row>
    <row r="4" spans="1:22" x14ac:dyDescent="0.2">
      <c r="A4" s="32"/>
      <c r="B4" s="68"/>
      <c r="C4" s="12"/>
      <c r="D4" s="12"/>
      <c r="E4" s="12"/>
      <c r="F4" s="12"/>
      <c r="G4" s="12"/>
      <c r="H4" s="32"/>
    </row>
    <row r="5" spans="1:22" ht="18" customHeight="1" x14ac:dyDescent="0.25">
      <c r="A5" s="32"/>
      <c r="B5" s="354" t="s">
        <v>204</v>
      </c>
      <c r="C5" s="354"/>
      <c r="D5" s="354"/>
      <c r="E5" s="354"/>
      <c r="F5" s="355"/>
      <c r="G5" s="355"/>
      <c r="H5" s="32"/>
      <c r="Q5" s="202"/>
      <c r="R5" s="202"/>
      <c r="S5" s="202"/>
      <c r="T5" s="202"/>
      <c r="U5" s="202"/>
      <c r="V5" s="202"/>
    </row>
    <row r="6" spans="1:22" ht="15" x14ac:dyDescent="0.25">
      <c r="A6" s="32"/>
      <c r="B6" s="270"/>
      <c r="C6" s="270"/>
      <c r="D6" s="270"/>
      <c r="E6" s="270"/>
      <c r="F6" s="271"/>
      <c r="G6" s="271"/>
      <c r="H6" s="32"/>
      <c r="M6" s="206"/>
      <c r="Q6" s="202"/>
      <c r="R6" s="202"/>
      <c r="S6" s="202"/>
      <c r="T6" s="202"/>
      <c r="U6" s="202"/>
      <c r="V6" s="202"/>
    </row>
    <row r="7" spans="1:22" ht="26.25" x14ac:dyDescent="0.25">
      <c r="A7" s="32"/>
      <c r="B7" s="286" t="s">
        <v>206</v>
      </c>
      <c r="C7" s="306" t="s">
        <v>231</v>
      </c>
      <c r="D7" s="284" t="s">
        <v>219</v>
      </c>
      <c r="E7" s="307" t="s">
        <v>218</v>
      </c>
      <c r="F7" s="308" t="s">
        <v>220</v>
      </c>
      <c r="G7" s="271"/>
      <c r="H7" s="32"/>
      <c r="M7" s="206"/>
      <c r="Q7" s="202"/>
      <c r="R7" s="202"/>
      <c r="S7" s="202"/>
      <c r="T7" s="202"/>
      <c r="U7" s="202"/>
      <c r="V7" s="202"/>
    </row>
    <row r="8" spans="1:22" ht="18" customHeight="1" x14ac:dyDescent="0.25">
      <c r="A8" s="32"/>
      <c r="B8" s="277">
        <v>2015</v>
      </c>
      <c r="C8" s="278" t="s">
        <v>205</v>
      </c>
      <c r="D8" s="205">
        <f>'[1]Inflation key'!$N$22</f>
        <v>108</v>
      </c>
      <c r="E8" s="281">
        <f>D8/D9-1</f>
        <v>1.5037593984962294E-2</v>
      </c>
      <c r="F8" s="272">
        <f>D$8/D9-1</f>
        <v>1.5037593984962294E-2</v>
      </c>
      <c r="G8" s="285"/>
      <c r="H8" s="32"/>
      <c r="M8" s="202"/>
      <c r="Q8" s="202"/>
      <c r="R8" s="202"/>
      <c r="S8" s="202"/>
      <c r="T8" s="202"/>
      <c r="U8" s="202"/>
      <c r="V8" s="202"/>
    </row>
    <row r="9" spans="1:22" ht="18" customHeight="1" x14ac:dyDescent="0.2">
      <c r="A9" s="32"/>
      <c r="B9" s="277">
        <v>2014</v>
      </c>
      <c r="C9" s="275" t="s">
        <v>207</v>
      </c>
      <c r="D9" s="205">
        <f>'[1]Inflation key'!$N$21</f>
        <v>106.4</v>
      </c>
      <c r="E9" s="282">
        <f t="shared" ref="E9:E19" si="0">D9/D10-1</f>
        <v>2.3076923076923217E-2</v>
      </c>
      <c r="F9" s="279">
        <f t="shared" ref="F9:F19" si="1">D$8/D10-1</f>
        <v>3.8461538461538547E-2</v>
      </c>
      <c r="G9" s="285"/>
      <c r="H9" s="32"/>
      <c r="N9" s="203"/>
      <c r="O9" s="204"/>
      <c r="T9" s="219"/>
      <c r="U9" s="219"/>
      <c r="V9" s="219"/>
    </row>
    <row r="10" spans="1:22" ht="18" customHeight="1" x14ac:dyDescent="0.2">
      <c r="A10" s="32"/>
      <c r="B10" s="277">
        <v>2013</v>
      </c>
      <c r="C10" s="280" t="s">
        <v>217</v>
      </c>
      <c r="D10" s="205">
        <f>'[1]Inflation key'!$N$20</f>
        <v>104</v>
      </c>
      <c r="E10" s="282">
        <f t="shared" si="0"/>
        <v>2.16110019646365E-2</v>
      </c>
      <c r="F10" s="279">
        <f t="shared" si="1"/>
        <v>6.0903732809430178E-2</v>
      </c>
      <c r="G10" s="285"/>
      <c r="H10" s="32"/>
      <c r="N10" s="203"/>
      <c r="O10" s="204"/>
      <c r="T10" s="219"/>
      <c r="U10" s="219"/>
      <c r="V10" s="219"/>
    </row>
    <row r="11" spans="1:22" ht="18" customHeight="1" x14ac:dyDescent="0.2">
      <c r="A11" s="32"/>
      <c r="B11" s="277">
        <v>2012</v>
      </c>
      <c r="C11" s="275" t="s">
        <v>208</v>
      </c>
      <c r="D11" s="205">
        <f>'[1]Inflation key'!$N$19</f>
        <v>101.8</v>
      </c>
      <c r="E11" s="282">
        <f t="shared" si="0"/>
        <v>2.0040080160320661E-2</v>
      </c>
      <c r="F11" s="279">
        <f t="shared" si="1"/>
        <v>8.21643286573146E-2</v>
      </c>
      <c r="G11" s="285"/>
      <c r="H11" s="32"/>
      <c r="N11" s="203"/>
      <c r="O11" s="204"/>
      <c r="T11" s="219"/>
      <c r="U11" s="219"/>
      <c r="V11" s="219"/>
    </row>
    <row r="12" spans="1:22" ht="18" customHeight="1" x14ac:dyDescent="0.2">
      <c r="A12" s="32"/>
      <c r="B12" s="277">
        <v>2011</v>
      </c>
      <c r="C12" s="280" t="s">
        <v>209</v>
      </c>
      <c r="D12" s="205">
        <f>'[1]Inflation key'!$N$18</f>
        <v>99.8</v>
      </c>
      <c r="E12" s="282">
        <f t="shared" si="0"/>
        <v>3.4196891191709877E-2</v>
      </c>
      <c r="F12" s="279">
        <f t="shared" si="1"/>
        <v>0.11917098445595853</v>
      </c>
      <c r="G12" s="285"/>
      <c r="H12" s="32"/>
      <c r="N12" s="203"/>
      <c r="O12" s="204"/>
      <c r="T12" s="219"/>
      <c r="U12" s="219"/>
      <c r="V12" s="219"/>
    </row>
    <row r="13" spans="1:22" ht="18" customHeight="1" x14ac:dyDescent="0.2">
      <c r="A13" s="32"/>
      <c r="B13" s="277">
        <v>2010</v>
      </c>
      <c r="C13" s="275" t="s">
        <v>210</v>
      </c>
      <c r="D13" s="205">
        <f>'[1]Inflation key'!$N$17</f>
        <v>96.5</v>
      </c>
      <c r="E13" s="282">
        <f t="shared" si="0"/>
        <v>2.8784648187633266E-2</v>
      </c>
      <c r="F13" s="279">
        <f t="shared" si="1"/>
        <v>0.15138592750533042</v>
      </c>
      <c r="G13" s="285"/>
      <c r="H13" s="32"/>
      <c r="N13" s="203"/>
      <c r="O13" s="204"/>
      <c r="T13" s="219"/>
      <c r="U13" s="219"/>
      <c r="V13" s="219"/>
    </row>
    <row r="14" spans="1:22" ht="18" customHeight="1" x14ac:dyDescent="0.2">
      <c r="A14" s="32"/>
      <c r="B14" s="277">
        <v>2009</v>
      </c>
      <c r="C14" s="280" t="s">
        <v>211</v>
      </c>
      <c r="D14" s="205">
        <f>'[1]Inflation key'!$N$16</f>
        <v>93.8</v>
      </c>
      <c r="E14" s="282">
        <f t="shared" si="0"/>
        <v>1.1866235167206085E-2</v>
      </c>
      <c r="F14" s="279">
        <f t="shared" si="1"/>
        <v>0.16504854368932032</v>
      </c>
      <c r="G14" s="285"/>
      <c r="H14" s="32"/>
      <c r="N14" s="203"/>
      <c r="O14" s="204"/>
      <c r="T14" s="219"/>
      <c r="U14" s="219"/>
      <c r="V14" s="219"/>
    </row>
    <row r="15" spans="1:22" ht="18" customHeight="1" x14ac:dyDescent="0.2">
      <c r="A15" s="32"/>
      <c r="B15" s="277">
        <v>2008</v>
      </c>
      <c r="C15" s="275" t="s">
        <v>212</v>
      </c>
      <c r="D15" s="205">
        <f>'[1]Inflation key'!$N$15</f>
        <v>92.7</v>
      </c>
      <c r="E15" s="283">
        <f t="shared" si="0"/>
        <v>4.9830124575311441E-2</v>
      </c>
      <c r="F15" s="279">
        <f t="shared" si="1"/>
        <v>0.2231030577576445</v>
      </c>
      <c r="G15" s="285"/>
      <c r="H15" s="32"/>
      <c r="N15" s="203"/>
      <c r="O15" s="204"/>
      <c r="T15" s="219"/>
      <c r="U15" s="219"/>
      <c r="V15" s="219"/>
    </row>
    <row r="16" spans="1:22" ht="18" customHeight="1" x14ac:dyDescent="0.2">
      <c r="A16" s="32"/>
      <c r="B16" s="277">
        <v>2007</v>
      </c>
      <c r="C16" s="280" t="s">
        <v>213</v>
      </c>
      <c r="D16" s="205">
        <f>'[1]Inflation key'!$N$14</f>
        <v>88.3</v>
      </c>
      <c r="E16" s="283">
        <f t="shared" si="0"/>
        <v>1.8454440599769306E-2</v>
      </c>
      <c r="F16" s="279">
        <f t="shared" si="1"/>
        <v>0.24567474048442905</v>
      </c>
      <c r="G16" s="285"/>
      <c r="H16" s="32"/>
      <c r="N16" s="203"/>
      <c r="O16" s="204"/>
      <c r="T16" s="220"/>
      <c r="U16" s="220"/>
      <c r="V16" s="220"/>
    </row>
    <row r="17" spans="1:22" ht="18" customHeight="1" x14ac:dyDescent="0.25">
      <c r="A17" s="32"/>
      <c r="B17" s="277">
        <v>2006</v>
      </c>
      <c r="C17" s="275" t="s">
        <v>214</v>
      </c>
      <c r="D17" s="205">
        <f>'[1]Inflation key'!$N$13</f>
        <v>86.7</v>
      </c>
      <c r="E17" s="283">
        <f t="shared" si="0"/>
        <v>3.9568345323740983E-2</v>
      </c>
      <c r="F17" s="279">
        <f t="shared" si="1"/>
        <v>0.29496402877697836</v>
      </c>
      <c r="G17" s="285"/>
      <c r="H17" s="32"/>
      <c r="N17" s="203"/>
      <c r="O17" s="204"/>
      <c r="Q17" s="202"/>
    </row>
    <row r="18" spans="1:22" ht="18" customHeight="1" x14ac:dyDescent="0.2">
      <c r="A18" s="32"/>
      <c r="B18" s="277">
        <v>2005</v>
      </c>
      <c r="C18" s="280" t="s">
        <v>215</v>
      </c>
      <c r="D18" s="205">
        <f>'[1]Inflation key'!$N$12</f>
        <v>83.4</v>
      </c>
      <c r="E18" s="276">
        <f t="shared" si="0"/>
        <v>3.0902348578492056E-2</v>
      </c>
      <c r="F18" s="279">
        <f t="shared" si="1"/>
        <v>0.33498145859085282</v>
      </c>
      <c r="G18" s="285"/>
      <c r="H18" s="118"/>
      <c r="N18" s="203"/>
      <c r="O18" s="204"/>
    </row>
    <row r="19" spans="1:22" ht="18" customHeight="1" x14ac:dyDescent="0.25">
      <c r="A19" s="32"/>
      <c r="B19" s="500">
        <v>2004</v>
      </c>
      <c r="C19" s="501" t="s">
        <v>216</v>
      </c>
      <c r="D19" s="228">
        <f>'[1]Inflation key'!$N$11</f>
        <v>80.900000000000006</v>
      </c>
      <c r="E19" s="502" t="e">
        <f t="shared" si="0"/>
        <v>#DIV/0!</v>
      </c>
      <c r="F19" s="503" t="e">
        <f t="shared" si="1"/>
        <v>#DIV/0!</v>
      </c>
      <c r="G19" s="285"/>
      <c r="H19" s="32"/>
      <c r="N19" s="203"/>
      <c r="O19" s="204"/>
      <c r="Q19" s="202"/>
      <c r="R19" s="202"/>
      <c r="S19" s="202"/>
      <c r="T19" s="202"/>
      <c r="U19" s="202"/>
      <c r="V19" s="202"/>
    </row>
    <row r="20" spans="1:22" ht="18" customHeight="1" x14ac:dyDescent="0.2">
      <c r="A20" s="32"/>
      <c r="B20" s="273"/>
      <c r="C20" s="274"/>
      <c r="D20" s="274"/>
      <c r="E20" s="274"/>
      <c r="F20" s="269"/>
      <c r="G20" s="269"/>
      <c r="H20" s="36"/>
      <c r="N20" s="203"/>
      <c r="O20" s="204"/>
      <c r="T20" s="218"/>
      <c r="U20" s="218"/>
      <c r="V20" s="218"/>
    </row>
    <row r="21" spans="1:22" ht="18" customHeight="1" x14ac:dyDescent="0.2">
      <c r="N21" s="203"/>
      <c r="O21" s="204"/>
      <c r="T21" s="218"/>
      <c r="U21" s="218"/>
      <c r="V21" s="218"/>
    </row>
    <row r="22" spans="1:22" x14ac:dyDescent="0.2">
      <c r="N22" s="203"/>
      <c r="O22" s="204"/>
    </row>
    <row r="23" spans="1:22" x14ac:dyDescent="0.2">
      <c r="N23" s="203"/>
      <c r="O23" s="204"/>
    </row>
    <row r="34" ht="18" customHeight="1" x14ac:dyDescent="0.2"/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4"/>
  <sheetViews>
    <sheetView zoomScale="80" zoomScaleNormal="80" workbookViewId="0">
      <selection activeCell="F15" sqref="F15"/>
    </sheetView>
  </sheetViews>
  <sheetFormatPr defaultRowHeight="14.25" x14ac:dyDescent="0.2"/>
  <cols>
    <col min="1" max="1" width="2.28515625" style="44" customWidth="1"/>
    <col min="2" max="2" width="44.5703125" style="44" customWidth="1"/>
    <col min="3" max="3" width="24.42578125" style="44" customWidth="1"/>
    <col min="4" max="4" width="10.7109375" style="44" bestFit="1" customWidth="1"/>
    <col min="5" max="5" width="9.85546875" style="44" bestFit="1" customWidth="1"/>
    <col min="6" max="6" width="10.7109375" style="44" customWidth="1"/>
    <col min="7" max="10" width="9.85546875" style="44" bestFit="1" customWidth="1"/>
    <col min="11" max="11" width="9.85546875" style="44" customWidth="1"/>
    <col min="12" max="12" width="3.42578125" style="44" customWidth="1"/>
    <col min="13" max="13" width="43.28515625" style="44" customWidth="1"/>
    <col min="14" max="14" width="26.28515625" style="44" customWidth="1"/>
    <col min="15" max="20" width="9.140625" style="44"/>
    <col min="21" max="22" width="9.7109375" style="44" customWidth="1"/>
    <col min="23" max="23" width="4.28515625" style="44" customWidth="1"/>
    <col min="24" max="30" width="9.140625" style="44"/>
    <col min="31" max="31" width="4.28515625" style="44" customWidth="1"/>
    <col min="32" max="32" width="30.42578125" style="44" customWidth="1"/>
    <col min="33" max="39" width="9.140625" style="44"/>
    <col min="40" max="40" width="4.85546875" style="44" customWidth="1"/>
    <col min="41" max="16384" width="9.140625" style="44"/>
  </cols>
  <sheetData>
    <row r="1" spans="1:23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27.95" customHeight="1" x14ac:dyDescent="0.25">
      <c r="A2" s="63"/>
      <c r="B2" s="340" t="s">
        <v>327</v>
      </c>
      <c r="C2" s="340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2"/>
    </row>
    <row r="3" spans="1:23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32"/>
    </row>
    <row r="4" spans="1:23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32"/>
    </row>
    <row r="5" spans="1:23" s="67" customFormat="1" ht="27" customHeight="1" x14ac:dyDescent="0.2">
      <c r="A5" s="66"/>
      <c r="B5" s="471" t="s">
        <v>260</v>
      </c>
      <c r="C5" s="390"/>
      <c r="D5" s="391"/>
      <c r="E5" s="391"/>
      <c r="F5" s="391"/>
      <c r="G5" s="391"/>
      <c r="H5" s="391"/>
      <c r="I5" s="391"/>
      <c r="J5" s="391"/>
      <c r="K5" s="391"/>
      <c r="L5" s="12"/>
      <c r="M5" s="471" t="s">
        <v>261</v>
      </c>
      <c r="N5" s="390"/>
      <c r="O5" s="391"/>
      <c r="P5" s="391"/>
      <c r="Q5" s="391"/>
      <c r="R5" s="391"/>
      <c r="S5" s="391"/>
      <c r="T5" s="391"/>
      <c r="U5" s="391"/>
      <c r="V5" s="391"/>
      <c r="W5" s="32"/>
    </row>
    <row r="6" spans="1:23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68"/>
      <c r="N6" s="68"/>
      <c r="O6" s="12"/>
      <c r="P6" s="12"/>
      <c r="Q6" s="12"/>
      <c r="R6" s="12"/>
      <c r="S6" s="12"/>
      <c r="T6" s="12"/>
      <c r="U6" s="12"/>
      <c r="V6" s="12"/>
      <c r="W6" s="32"/>
    </row>
    <row r="7" spans="1:23" s="67" customFormat="1" ht="26.25" customHeight="1" x14ac:dyDescent="0.2">
      <c r="A7" s="66"/>
      <c r="B7" s="354" t="s">
        <v>394</v>
      </c>
      <c r="C7" s="354"/>
      <c r="D7" s="355"/>
      <c r="E7" s="355"/>
      <c r="F7" s="355"/>
      <c r="G7" s="355"/>
      <c r="H7" s="355"/>
      <c r="I7" s="355"/>
      <c r="J7" s="355"/>
      <c r="K7" s="355"/>
      <c r="L7" s="12"/>
      <c r="M7" s="354" t="str">
        <f>B7</f>
        <v>Converting Net Customer Connections Forecast to Gross Customer Connections Forecast</v>
      </c>
      <c r="N7" s="354"/>
      <c r="O7" s="355"/>
      <c r="P7" s="355"/>
      <c r="Q7" s="355"/>
      <c r="R7" s="355"/>
      <c r="S7" s="355"/>
      <c r="T7" s="355"/>
      <c r="U7" s="355"/>
      <c r="V7" s="355"/>
      <c r="W7" s="32"/>
    </row>
    <row r="8" spans="1:23" s="67" customFormat="1" ht="20.100000000000001" customHeight="1" x14ac:dyDescent="0.2">
      <c r="A8" s="66"/>
      <c r="B8" s="187"/>
      <c r="C8" s="187"/>
      <c r="D8" s="188"/>
      <c r="E8" s="188"/>
      <c r="F8" s="188"/>
      <c r="G8" s="188"/>
      <c r="H8" s="188"/>
      <c r="I8" s="188"/>
      <c r="J8" s="188"/>
      <c r="K8" s="188"/>
      <c r="L8" s="12"/>
      <c r="M8" s="187"/>
      <c r="N8" s="187"/>
      <c r="O8" s="188"/>
      <c r="P8" s="188"/>
      <c r="Q8" s="188"/>
      <c r="R8" s="188"/>
      <c r="S8" s="188"/>
      <c r="T8" s="188"/>
      <c r="U8" s="188"/>
      <c r="V8" s="188"/>
      <c r="W8" s="32"/>
    </row>
    <row r="9" spans="1:23" s="67" customFormat="1" ht="20.100000000000001" customHeight="1" x14ac:dyDescent="0.2">
      <c r="A9" s="66"/>
      <c r="B9" s="178" t="s">
        <v>391</v>
      </c>
      <c r="C9" s="183"/>
      <c r="D9" s="420"/>
      <c r="E9" s="421"/>
      <c r="F9" s="422">
        <v>2013</v>
      </c>
      <c r="G9" s="421">
        <v>2014</v>
      </c>
      <c r="H9" s="421">
        <v>2015</v>
      </c>
      <c r="I9" s="422" t="s">
        <v>66</v>
      </c>
      <c r="J9" s="188"/>
      <c r="K9" s="188"/>
      <c r="L9" s="12"/>
      <c r="M9" s="178" t="s">
        <v>391</v>
      </c>
      <c r="N9" s="183"/>
      <c r="O9" s="420"/>
      <c r="P9" s="421"/>
      <c r="Q9" s="422">
        <v>2013</v>
      </c>
      <c r="R9" s="421">
        <v>2014</v>
      </c>
      <c r="S9" s="421">
        <v>2015</v>
      </c>
      <c r="T9" s="422" t="s">
        <v>66</v>
      </c>
      <c r="U9" s="188"/>
      <c r="V9" s="188"/>
      <c r="W9" s="32"/>
    </row>
    <row r="10" spans="1:23" s="67" customFormat="1" ht="20.100000000000001" customHeight="1" x14ac:dyDescent="0.2">
      <c r="A10" s="66"/>
      <c r="B10" s="540" t="s">
        <v>388</v>
      </c>
      <c r="C10" s="187"/>
      <c r="D10" s="188"/>
      <c r="E10" s="188"/>
      <c r="F10" s="619">
        <f>[2]Summary!N40</f>
        <v>570138.53424657532</v>
      </c>
      <c r="G10" s="620">
        <f>[2]Summary!O40</f>
        <v>582017.39178082196</v>
      </c>
      <c r="H10" s="620">
        <f>[2]Summary!P40</f>
        <v>594516.32876712328</v>
      </c>
      <c r="I10" s="444"/>
      <c r="J10" s="188"/>
      <c r="K10" s="188"/>
      <c r="L10" s="12"/>
      <c r="M10" s="540" t="s">
        <v>388</v>
      </c>
      <c r="N10" s="187"/>
      <c r="O10" s="188"/>
      <c r="P10" s="188"/>
      <c r="Q10" s="547">
        <v>19795.882191780824</v>
      </c>
      <c r="R10" s="548">
        <v>20194.326027397259</v>
      </c>
      <c r="S10" s="548">
        <v>20689.112328767122</v>
      </c>
      <c r="T10" s="444"/>
      <c r="U10" s="188"/>
      <c r="V10" s="188"/>
      <c r="W10" s="32"/>
    </row>
    <row r="11" spans="1:23" s="67" customFormat="1" ht="20.100000000000001" customHeight="1" x14ac:dyDescent="0.2">
      <c r="A11" s="66"/>
      <c r="B11" s="542" t="s">
        <v>389</v>
      </c>
      <c r="C11" s="543"/>
      <c r="D11" s="446"/>
      <c r="E11" s="446"/>
      <c r="F11" s="549">
        <v>1164</v>
      </c>
      <c r="G11" s="550">
        <v>2639.2383561643983</v>
      </c>
      <c r="H11" s="550">
        <v>2374.7150684931548</v>
      </c>
      <c r="I11" s="544"/>
      <c r="J11" s="188"/>
      <c r="K11" s="188"/>
      <c r="L11" s="12"/>
      <c r="M11" s="542" t="s">
        <v>389</v>
      </c>
      <c r="N11" s="543"/>
      <c r="O11" s="446"/>
      <c r="P11" s="446"/>
      <c r="Q11" s="549">
        <v>31.682191780819267</v>
      </c>
      <c r="R11" s="550">
        <v>89.556164383564465</v>
      </c>
      <c r="S11" s="550">
        <v>22.213698630137515</v>
      </c>
      <c r="T11" s="544"/>
      <c r="U11" s="188"/>
      <c r="V11" s="188"/>
      <c r="W11" s="32"/>
    </row>
    <row r="12" spans="1:23" s="67" customFormat="1" ht="20.100000000000001" customHeight="1" thickBot="1" x14ac:dyDescent="0.25">
      <c r="A12" s="66"/>
      <c r="B12" s="545" t="s">
        <v>390</v>
      </c>
      <c r="C12" s="545"/>
      <c r="D12" s="545"/>
      <c r="E12" s="545"/>
      <c r="F12" s="551">
        <f>F11/F10</f>
        <v>2.0416090653093614E-3</v>
      </c>
      <c r="G12" s="552">
        <f t="shared" ref="G12:H12" si="0">G11/G10</f>
        <v>4.5346383002216051E-3</v>
      </c>
      <c r="H12" s="552">
        <f t="shared" si="0"/>
        <v>3.9943647526346571E-3</v>
      </c>
      <c r="I12" s="553">
        <f>AVERAGE(F12:H12)</f>
        <v>3.5235373727218744E-3</v>
      </c>
      <c r="J12" s="188"/>
      <c r="K12" s="188"/>
      <c r="L12" s="12"/>
      <c r="M12" s="545" t="s">
        <v>390</v>
      </c>
      <c r="N12" s="545"/>
      <c r="O12" s="545"/>
      <c r="P12" s="545"/>
      <c r="Q12" s="551">
        <f>Q11/Q10</f>
        <v>1.6004435404234521E-3</v>
      </c>
      <c r="R12" s="552">
        <f t="shared" ref="R12" si="1">R11/R10</f>
        <v>4.4347191514123975E-3</v>
      </c>
      <c r="S12" s="552">
        <f t="shared" ref="S12" si="2">S11/S10</f>
        <v>1.0736902713438573E-3</v>
      </c>
      <c r="T12" s="553">
        <f>AVERAGE(Q12:S12)</f>
        <v>2.3696176543932354E-3</v>
      </c>
      <c r="U12" s="188"/>
      <c r="V12" s="188"/>
      <c r="W12" s="32"/>
    </row>
    <row r="13" spans="1:23" s="67" customFormat="1" ht="20.100000000000001" customHeight="1" x14ac:dyDescent="0.2">
      <c r="A13" s="66"/>
      <c r="B13" s="187"/>
      <c r="C13" s="187"/>
      <c r="D13" s="188"/>
      <c r="E13" s="188"/>
      <c r="F13" s="188"/>
      <c r="G13" s="188"/>
      <c r="H13" s="188"/>
      <c r="I13" s="188"/>
      <c r="J13" s="188"/>
      <c r="K13" s="188"/>
      <c r="L13" s="12"/>
      <c r="M13" s="187"/>
      <c r="N13" s="187"/>
      <c r="O13" s="188"/>
      <c r="P13" s="188"/>
      <c r="Q13" s="188"/>
      <c r="R13" s="188"/>
      <c r="S13" s="188"/>
      <c r="T13" s="188"/>
      <c r="U13" s="188"/>
      <c r="V13" s="188"/>
      <c r="W13" s="32"/>
    </row>
    <row r="14" spans="1:23" s="67" customFormat="1" ht="20.100000000000001" customHeight="1" x14ac:dyDescent="0.2">
      <c r="A14" s="66"/>
      <c r="B14" s="178" t="s">
        <v>392</v>
      </c>
      <c r="C14" s="183"/>
      <c r="D14" s="420"/>
      <c r="E14" s="421"/>
      <c r="F14" s="422">
        <v>2013</v>
      </c>
      <c r="G14" s="421">
        <v>2014</v>
      </c>
      <c r="H14" s="421">
        <v>2015</v>
      </c>
      <c r="I14" s="422" t="s">
        <v>66</v>
      </c>
      <c r="J14" s="188"/>
      <c r="K14" s="188"/>
      <c r="L14" s="12"/>
      <c r="M14" s="178" t="s">
        <v>392</v>
      </c>
      <c r="N14" s="183"/>
      <c r="O14" s="420"/>
      <c r="P14" s="421"/>
      <c r="Q14" s="422">
        <v>2013</v>
      </c>
      <c r="R14" s="421">
        <v>2014</v>
      </c>
      <c r="S14" s="421">
        <v>2015</v>
      </c>
      <c r="T14" s="422" t="s">
        <v>66</v>
      </c>
      <c r="U14" s="188"/>
      <c r="V14" s="188"/>
      <c r="W14" s="32"/>
    </row>
    <row r="15" spans="1:23" s="67" customFormat="1" ht="20.100000000000001" customHeight="1" x14ac:dyDescent="0.2">
      <c r="A15" s="66"/>
      <c r="B15" s="540" t="s">
        <v>388</v>
      </c>
      <c r="C15" s="187"/>
      <c r="D15" s="188"/>
      <c r="E15" s="188"/>
      <c r="F15" s="619">
        <f>[2]Summary!N49</f>
        <v>22779.57808219178</v>
      </c>
      <c r="G15" s="620">
        <f>[2]Summary!O49</f>
        <v>23012.046575342465</v>
      </c>
      <c r="H15" s="620">
        <f>[2]Summary!P49</f>
        <v>23443.476712328767</v>
      </c>
      <c r="I15" s="444"/>
      <c r="J15" s="188"/>
      <c r="K15" s="188"/>
      <c r="L15" s="12"/>
      <c r="M15" s="540" t="s">
        <v>388</v>
      </c>
      <c r="N15" s="187"/>
      <c r="O15" s="188"/>
      <c r="P15" s="188"/>
      <c r="Q15" s="547">
        <v>913.47899543378992</v>
      </c>
      <c r="R15" s="548">
        <v>920.39132420091323</v>
      </c>
      <c r="S15" s="548">
        <v>927.83789954337863</v>
      </c>
      <c r="T15" s="444"/>
      <c r="U15" s="188"/>
      <c r="V15" s="188"/>
      <c r="W15" s="32"/>
    </row>
    <row r="16" spans="1:23" s="67" customFormat="1" ht="20.100000000000001" customHeight="1" x14ac:dyDescent="0.2">
      <c r="A16" s="66"/>
      <c r="B16" s="542" t="s">
        <v>389</v>
      </c>
      <c r="C16" s="543"/>
      <c r="D16" s="446"/>
      <c r="E16" s="446"/>
      <c r="F16" s="549">
        <v>161</v>
      </c>
      <c r="G16" s="550">
        <v>196</v>
      </c>
      <c r="H16" s="550">
        <v>198</v>
      </c>
      <c r="I16" s="544"/>
      <c r="J16" s="188"/>
      <c r="K16" s="188"/>
      <c r="L16" s="12"/>
      <c r="M16" s="542" t="s">
        <v>389</v>
      </c>
      <c r="N16" s="543"/>
      <c r="O16" s="446"/>
      <c r="P16" s="446"/>
      <c r="Q16" s="549">
        <v>-0.27123287671236085</v>
      </c>
      <c r="R16" s="550">
        <v>16.087671232876687</v>
      </c>
      <c r="S16" s="550">
        <v>41.553424657534606</v>
      </c>
      <c r="T16" s="544"/>
      <c r="U16" s="188"/>
      <c r="V16" s="188"/>
      <c r="W16" s="32"/>
    </row>
    <row r="17" spans="1:29" s="67" customFormat="1" ht="20.100000000000001" customHeight="1" thickBot="1" x14ac:dyDescent="0.25">
      <c r="A17" s="66"/>
      <c r="B17" s="545" t="s">
        <v>390</v>
      </c>
      <c r="C17" s="545"/>
      <c r="D17" s="545"/>
      <c r="E17" s="545"/>
      <c r="F17" s="551">
        <f>F16/F15</f>
        <v>7.067734065095076E-3</v>
      </c>
      <c r="G17" s="552">
        <f t="shared" ref="G17" si="3">G16/G15</f>
        <v>8.5172780855578088E-3</v>
      </c>
      <c r="H17" s="552">
        <f t="shared" ref="H17" si="4">H16/H15</f>
        <v>8.4458462552132098E-3</v>
      </c>
      <c r="I17" s="553">
        <f>AVERAGE(F17:H17)</f>
        <v>8.0102861352886971E-3</v>
      </c>
      <c r="J17" s="188"/>
      <c r="K17" s="188"/>
      <c r="L17" s="12"/>
      <c r="M17" s="545" t="s">
        <v>390</v>
      </c>
      <c r="N17" s="545"/>
      <c r="O17" s="545"/>
      <c r="P17" s="545"/>
      <c r="Q17" s="551">
        <f>Q16/Q15</f>
        <v>-2.969229484949007E-4</v>
      </c>
      <c r="R17" s="552">
        <f t="shared" ref="R17" si="5">R16/R15</f>
        <v>1.747916436179367E-2</v>
      </c>
      <c r="S17" s="552">
        <f t="shared" ref="S17" si="6">S16/S15</f>
        <v>4.4785220217868328E-2</v>
      </c>
      <c r="T17" s="553">
        <f>AVERAGE(Q17:S17)</f>
        <v>2.0655820543722364E-2</v>
      </c>
      <c r="U17" s="188"/>
      <c r="V17" s="188"/>
      <c r="W17" s="32"/>
    </row>
    <row r="18" spans="1:29" s="67" customFormat="1" ht="20.100000000000001" customHeight="1" x14ac:dyDescent="0.2">
      <c r="A18" s="66"/>
      <c r="B18" s="187"/>
      <c r="C18" s="187"/>
      <c r="D18" s="188"/>
      <c r="E18" s="188"/>
      <c r="F18" s="188"/>
      <c r="G18" s="188"/>
      <c r="H18" s="188"/>
      <c r="I18" s="188"/>
      <c r="J18" s="188"/>
      <c r="K18" s="188"/>
      <c r="L18" s="12"/>
      <c r="M18" s="187"/>
      <c r="N18" s="187"/>
      <c r="O18" s="188"/>
      <c r="P18" s="188"/>
      <c r="Q18" s="188"/>
      <c r="R18" s="188"/>
      <c r="S18" s="188"/>
      <c r="T18" s="188"/>
      <c r="U18" s="188"/>
      <c r="V18" s="188"/>
      <c r="W18" s="32"/>
    </row>
    <row r="19" spans="1:29" s="67" customFormat="1" ht="20.100000000000001" customHeight="1" x14ac:dyDescent="0.2">
      <c r="A19" s="66"/>
      <c r="B19" s="178" t="s">
        <v>393</v>
      </c>
      <c r="C19" s="622" t="s">
        <v>100</v>
      </c>
      <c r="D19" s="420"/>
      <c r="E19" s="421"/>
      <c r="F19" s="422">
        <v>2018</v>
      </c>
      <c r="G19" s="421">
        <v>2019</v>
      </c>
      <c r="H19" s="421">
        <v>2020</v>
      </c>
      <c r="I19" s="421">
        <v>2021</v>
      </c>
      <c r="J19" s="554">
        <v>2022</v>
      </c>
      <c r="K19" s="188"/>
      <c r="L19" s="12"/>
      <c r="M19" s="178" t="s">
        <v>393</v>
      </c>
      <c r="N19" s="564" t="s">
        <v>100</v>
      </c>
      <c r="O19" s="420"/>
      <c r="P19" s="421"/>
      <c r="Q19" s="422">
        <v>2018</v>
      </c>
      <c r="R19" s="421">
        <v>2019</v>
      </c>
      <c r="S19" s="421">
        <v>2020</v>
      </c>
      <c r="T19" s="421">
        <v>2021</v>
      </c>
      <c r="U19" s="554">
        <v>2022</v>
      </c>
      <c r="V19" s="188"/>
      <c r="W19" s="32"/>
    </row>
    <row r="20" spans="1:29" s="67" customFormat="1" ht="20.100000000000001" customHeight="1" x14ac:dyDescent="0.2">
      <c r="A20" s="66"/>
      <c r="B20" s="540" t="s">
        <v>383</v>
      </c>
      <c r="C20" s="565" t="s">
        <v>385</v>
      </c>
      <c r="D20" s="546"/>
      <c r="E20" s="546"/>
      <c r="F20" s="619">
        <v>636239.95147496939</v>
      </c>
      <c r="G20" s="620">
        <v>649048.21949807182</v>
      </c>
      <c r="H20" s="620">
        <v>661781.10734467872</v>
      </c>
      <c r="I20" s="620">
        <v>674800.25948983838</v>
      </c>
      <c r="J20" s="621">
        <v>688033.47233326733</v>
      </c>
      <c r="K20" s="188"/>
      <c r="L20" s="12"/>
      <c r="M20" s="540" t="s">
        <v>383</v>
      </c>
      <c r="N20" s="565" t="s">
        <v>385</v>
      </c>
      <c r="O20" s="546"/>
      <c r="P20" s="546"/>
      <c r="Q20" s="547">
        <v>21861.560480756787</v>
      </c>
      <c r="R20" s="548">
        <v>22266.959835897607</v>
      </c>
      <c r="S20" s="548">
        <v>22679.876890303</v>
      </c>
      <c r="T20" s="548">
        <v>23100.45105169899</v>
      </c>
      <c r="U20" s="555">
        <v>23528.824312979406</v>
      </c>
      <c r="V20" s="623"/>
      <c r="W20" s="32"/>
    </row>
    <row r="21" spans="1:29" s="67" customFormat="1" ht="20.100000000000001" customHeight="1" x14ac:dyDescent="0.2">
      <c r="A21" s="66"/>
      <c r="B21" s="542" t="s">
        <v>384</v>
      </c>
      <c r="C21" s="576" t="s">
        <v>385</v>
      </c>
      <c r="D21" s="550"/>
      <c r="E21" s="550"/>
      <c r="F21" s="549">
        <v>23862.296907240932</v>
      </c>
      <c r="G21" s="550">
        <v>24003.551997969127</v>
      </c>
      <c r="H21" s="550">
        <v>24145.642528274599</v>
      </c>
      <c r="I21" s="550">
        <v>24288.575374519882</v>
      </c>
      <c r="J21" s="556">
        <v>24432.357495114418</v>
      </c>
      <c r="K21" s="188"/>
      <c r="L21" s="12"/>
      <c r="M21" s="542" t="s">
        <v>384</v>
      </c>
      <c r="N21" s="576" t="str">
        <f>C21</f>
        <v>Core Energy, Attachment 13.2</v>
      </c>
      <c r="O21" s="550"/>
      <c r="P21" s="550"/>
      <c r="Q21" s="549">
        <v>938.62336330032122</v>
      </c>
      <c r="R21" s="550">
        <v>944.0630195271068</v>
      </c>
      <c r="S21" s="550">
        <v>949.53420049642762</v>
      </c>
      <c r="T21" s="550">
        <v>955.03708890537894</v>
      </c>
      <c r="U21" s="556">
        <v>960.57186850985079</v>
      </c>
      <c r="V21" s="188"/>
      <c r="W21" s="32"/>
    </row>
    <row r="22" spans="1:29" s="67" customFormat="1" ht="20.100000000000001" customHeight="1" x14ac:dyDescent="0.2">
      <c r="A22" s="66"/>
      <c r="B22" s="540"/>
      <c r="C22" s="540"/>
      <c r="D22" s="540"/>
      <c r="E22" s="540"/>
      <c r="F22" s="540"/>
      <c r="G22" s="540"/>
      <c r="H22" s="540"/>
      <c r="I22" s="540"/>
      <c r="J22" s="540"/>
      <c r="K22" s="540"/>
      <c r="L22" s="12"/>
      <c r="M22" s="540"/>
      <c r="N22" s="540"/>
      <c r="O22" s="540"/>
      <c r="P22" s="540"/>
      <c r="Q22" s="540"/>
      <c r="R22" s="540"/>
      <c r="S22" s="540"/>
      <c r="T22" s="540"/>
      <c r="U22" s="540"/>
      <c r="V22" s="540"/>
      <c r="W22" s="32"/>
    </row>
    <row r="23" spans="1:29" s="67" customFormat="1" ht="20.100000000000001" customHeight="1" x14ac:dyDescent="0.2">
      <c r="A23" s="66"/>
      <c r="B23" s="178" t="s">
        <v>383</v>
      </c>
      <c r="C23" s="622" t="s">
        <v>100</v>
      </c>
      <c r="D23" s="420"/>
      <c r="E23" s="421"/>
      <c r="F23" s="422">
        <v>2018</v>
      </c>
      <c r="G23" s="421">
        <v>2019</v>
      </c>
      <c r="H23" s="421">
        <v>2020</v>
      </c>
      <c r="I23" s="421">
        <v>2021</v>
      </c>
      <c r="J23" s="421">
        <v>2022</v>
      </c>
      <c r="K23" s="422" t="s">
        <v>92</v>
      </c>
      <c r="L23" s="12"/>
      <c r="M23" s="178" t="s">
        <v>383</v>
      </c>
      <c r="N23" s="564" t="s">
        <v>100</v>
      </c>
      <c r="O23" s="420"/>
      <c r="P23" s="421"/>
      <c r="Q23" s="422">
        <v>2018</v>
      </c>
      <c r="R23" s="421">
        <v>2019</v>
      </c>
      <c r="S23" s="421">
        <v>2020</v>
      </c>
      <c r="T23" s="421">
        <v>2021</v>
      </c>
      <c r="U23" s="421">
        <v>2022</v>
      </c>
      <c r="V23" s="422" t="s">
        <v>92</v>
      </c>
      <c r="W23" s="32"/>
    </row>
    <row r="24" spans="1:29" s="67" customFormat="1" ht="20.100000000000001" customHeight="1" x14ac:dyDescent="0.2">
      <c r="A24" s="66"/>
      <c r="B24" s="540" t="s">
        <v>387</v>
      </c>
      <c r="C24" s="541" t="s">
        <v>385</v>
      </c>
      <c r="D24" s="546"/>
      <c r="E24" s="546"/>
      <c r="F24" s="619">
        <v>13765.802317743806</v>
      </c>
      <c r="G24" s="620">
        <v>12808.268023102399</v>
      </c>
      <c r="H24" s="620">
        <v>12732.887846606896</v>
      </c>
      <c r="I24" s="620">
        <v>13019.152145159667</v>
      </c>
      <c r="J24" s="621">
        <v>13233.212843429021</v>
      </c>
      <c r="K24" s="546">
        <f>SUM(F24:J24)</f>
        <v>65559.323176041784</v>
      </c>
      <c r="L24" s="12"/>
      <c r="M24" s="540" t="s">
        <v>387</v>
      </c>
      <c r="N24" s="541" t="s">
        <v>385</v>
      </c>
      <c r="O24" s="546"/>
      <c r="P24" s="546"/>
      <c r="Q24" s="547">
        <v>398.01852550085823</v>
      </c>
      <c r="R24" s="548">
        <v>405.39935514082026</v>
      </c>
      <c r="S24" s="548">
        <v>412.91705440539226</v>
      </c>
      <c r="T24" s="548">
        <v>420.57416139599081</v>
      </c>
      <c r="U24" s="555">
        <v>428.37326128041605</v>
      </c>
      <c r="V24" s="546">
        <f>SUM(Q24:U24)</f>
        <v>2065.2823577234776</v>
      </c>
      <c r="W24" s="32"/>
    </row>
    <row r="25" spans="1:29" s="67" customFormat="1" ht="20.100000000000001" customHeight="1" x14ac:dyDescent="0.2">
      <c r="A25" s="66"/>
      <c r="B25" s="540" t="s">
        <v>386</v>
      </c>
      <c r="C25" s="541" t="s">
        <v>290</v>
      </c>
      <c r="D25" s="546"/>
      <c r="E25" s="546"/>
      <c r="F25" s="557">
        <f t="shared" ref="F25:J25" si="7">F20*$I$12</f>
        <v>2241.8152470408063</v>
      </c>
      <c r="G25" s="558">
        <f t="shared" si="7"/>
        <v>2286.9456581000463</v>
      </c>
      <c r="H25" s="558">
        <f t="shared" si="7"/>
        <v>2331.8104642902422</v>
      </c>
      <c r="I25" s="558">
        <f t="shared" si="7"/>
        <v>2377.6839334348642</v>
      </c>
      <c r="J25" s="559">
        <f t="shared" si="7"/>
        <v>2424.311653449869</v>
      </c>
      <c r="K25" s="546">
        <f>SUM(F25:J25)</f>
        <v>11662.566956315828</v>
      </c>
      <c r="L25" s="12"/>
      <c r="M25" s="540" t="s">
        <v>386</v>
      </c>
      <c r="N25" s="541" t="s">
        <v>290</v>
      </c>
      <c r="O25" s="546"/>
      <c r="P25" s="546"/>
      <c r="Q25" s="557">
        <f t="shared" ref="Q25:U25" si="8">Q20*$T$12</f>
        <v>51.803539667786751</v>
      </c>
      <c r="R25" s="558">
        <f t="shared" si="8"/>
        <v>52.76418113680807</v>
      </c>
      <c r="S25" s="558">
        <f t="shared" si="8"/>
        <v>53.742636678727138</v>
      </c>
      <c r="T25" s="558">
        <f t="shared" si="8"/>
        <v>54.739236636552711</v>
      </c>
      <c r="U25" s="559">
        <f t="shared" si="8"/>
        <v>55.754317479152789</v>
      </c>
      <c r="V25" s="546">
        <f>SUM(Q25:U25)</f>
        <v>268.80391159902746</v>
      </c>
      <c r="W25" s="32"/>
    </row>
    <row r="26" spans="1:29" s="67" customFormat="1" ht="20.100000000000001" customHeight="1" thickBot="1" x14ac:dyDescent="0.25">
      <c r="A26" s="66"/>
      <c r="B26" s="545" t="s">
        <v>395</v>
      </c>
      <c r="C26" s="545"/>
      <c r="D26" s="560"/>
      <c r="E26" s="560"/>
      <c r="F26" s="561">
        <f t="shared" ref="F26:K26" si="9">SUM(F24:F25)</f>
        <v>16007.617564784612</v>
      </c>
      <c r="G26" s="560">
        <f t="shared" si="9"/>
        <v>15095.213681202446</v>
      </c>
      <c r="H26" s="560">
        <f t="shared" si="9"/>
        <v>15064.698310897138</v>
      </c>
      <c r="I26" s="560">
        <f t="shared" si="9"/>
        <v>15396.836078594532</v>
      </c>
      <c r="J26" s="562">
        <f t="shared" si="9"/>
        <v>15657.52449687889</v>
      </c>
      <c r="K26" s="560">
        <f t="shared" si="9"/>
        <v>77221.890132357614</v>
      </c>
      <c r="L26" s="12"/>
      <c r="M26" s="545" t="s">
        <v>395</v>
      </c>
      <c r="N26" s="545"/>
      <c r="O26" s="560"/>
      <c r="P26" s="560"/>
      <c r="Q26" s="561">
        <f t="shared" ref="Q26" si="10">SUM(Q24:Q25)</f>
        <v>449.822065168645</v>
      </c>
      <c r="R26" s="560">
        <f t="shared" ref="R26" si="11">SUM(R24:R25)</f>
        <v>458.16353627762834</v>
      </c>
      <c r="S26" s="560">
        <f t="shared" ref="S26" si="12">SUM(S24:S25)</f>
        <v>466.6596910841194</v>
      </c>
      <c r="T26" s="560">
        <f t="shared" ref="T26" si="13">SUM(T24:T25)</f>
        <v>475.31339803254355</v>
      </c>
      <c r="U26" s="562">
        <f t="shared" ref="U26" si="14">SUM(U24:U25)</f>
        <v>484.12757875956885</v>
      </c>
      <c r="V26" s="560">
        <f t="shared" ref="V26" si="15">SUM(V24:V25)</f>
        <v>2334.0862693225049</v>
      </c>
      <c r="W26" s="32"/>
    </row>
    <row r="27" spans="1:29" s="67" customFormat="1" ht="20.100000000000001" customHeight="1" x14ac:dyDescent="0.2">
      <c r="A27" s="66"/>
      <c r="B27" s="540"/>
      <c r="C27" s="540"/>
      <c r="D27" s="540"/>
      <c r="E27" s="540"/>
      <c r="F27" s="540"/>
      <c r="G27" s="540"/>
      <c r="H27" s="540"/>
      <c r="I27" s="540"/>
      <c r="J27" s="540"/>
      <c r="K27" s="540"/>
      <c r="L27" s="12"/>
      <c r="M27" s="540"/>
      <c r="N27" s="540"/>
      <c r="O27" s="540"/>
      <c r="P27" s="540"/>
      <c r="Q27" s="540"/>
      <c r="R27" s="540"/>
      <c r="S27" s="540"/>
      <c r="T27" s="540"/>
      <c r="U27" s="540"/>
      <c r="V27" s="540"/>
      <c r="W27" s="32"/>
    </row>
    <row r="28" spans="1:29" s="67" customFormat="1" ht="20.100000000000001" customHeight="1" x14ac:dyDescent="0.2">
      <c r="A28" s="66"/>
      <c r="B28" s="178" t="s">
        <v>384</v>
      </c>
      <c r="C28" s="622" t="s">
        <v>100</v>
      </c>
      <c r="D28" s="420"/>
      <c r="E28" s="421"/>
      <c r="F28" s="422">
        <v>2018</v>
      </c>
      <c r="G28" s="421">
        <v>2019</v>
      </c>
      <c r="H28" s="421">
        <v>2020</v>
      </c>
      <c r="I28" s="421">
        <v>2021</v>
      </c>
      <c r="J28" s="421">
        <v>2022</v>
      </c>
      <c r="K28" s="422" t="s">
        <v>92</v>
      </c>
      <c r="L28" s="12"/>
      <c r="M28" s="178" t="s">
        <v>384</v>
      </c>
      <c r="N28" s="564" t="s">
        <v>100</v>
      </c>
      <c r="O28" s="420"/>
      <c r="P28" s="421"/>
      <c r="Q28" s="422">
        <v>2018</v>
      </c>
      <c r="R28" s="421">
        <v>2019</v>
      </c>
      <c r="S28" s="421">
        <v>2020</v>
      </c>
      <c r="T28" s="421">
        <v>2021</v>
      </c>
      <c r="U28" s="421">
        <v>2022</v>
      </c>
      <c r="V28" s="422" t="s">
        <v>92</v>
      </c>
      <c r="W28" s="32"/>
    </row>
    <row r="29" spans="1:29" s="67" customFormat="1" ht="20.100000000000001" customHeight="1" x14ac:dyDescent="0.2">
      <c r="A29" s="66"/>
      <c r="B29" s="540" t="s">
        <v>387</v>
      </c>
      <c r="C29" s="541" t="s">
        <v>385</v>
      </c>
      <c r="D29" s="546"/>
      <c r="E29" s="546"/>
      <c r="F29" s="547">
        <v>140.42644677308863</v>
      </c>
      <c r="G29" s="548">
        <v>141.25509072819312</v>
      </c>
      <c r="H29" s="548">
        <v>142.09053030547108</v>
      </c>
      <c r="I29" s="548">
        <v>142.93284624528712</v>
      </c>
      <c r="J29" s="555">
        <v>143.78212059453335</v>
      </c>
      <c r="K29" s="546">
        <f>SUM(F29:J29)</f>
        <v>710.48703464657331</v>
      </c>
      <c r="L29" s="12"/>
      <c r="M29" s="540" t="s">
        <v>387</v>
      </c>
      <c r="N29" s="541" t="s">
        <v>385</v>
      </c>
      <c r="O29" s="546"/>
      <c r="P29" s="546"/>
      <c r="Q29" s="547">
        <v>5.439656226785587</v>
      </c>
      <c r="R29" s="548">
        <v>5.4711809693208124</v>
      </c>
      <c r="S29" s="548">
        <v>5.5028884089513213</v>
      </c>
      <c r="T29" s="548">
        <v>5.5347796044718507</v>
      </c>
      <c r="U29" s="555">
        <v>5.5668556208129303</v>
      </c>
      <c r="V29" s="546">
        <f>SUM(Q29:U29)</f>
        <v>27.515360830342502</v>
      </c>
      <c r="W29" s="32"/>
    </row>
    <row r="30" spans="1:29" s="67" customFormat="1" ht="20.100000000000001" customHeight="1" x14ac:dyDescent="0.2">
      <c r="A30" s="66"/>
      <c r="B30" s="540" t="s">
        <v>386</v>
      </c>
      <c r="C30" s="541" t="s">
        <v>290</v>
      </c>
      <c r="D30" s="546"/>
      <c r="E30" s="546"/>
      <c r="F30" s="557">
        <f t="shared" ref="F30:J30" si="16">F21*$I$17</f>
        <v>191.14382607221441</v>
      </c>
      <c r="G30" s="558">
        <f t="shared" si="16"/>
        <v>192.2753197670134</v>
      </c>
      <c r="H30" s="558">
        <f t="shared" si="16"/>
        <v>193.41350557187513</v>
      </c>
      <c r="I30" s="558">
        <f t="shared" si="16"/>
        <v>194.55843856843109</v>
      </c>
      <c r="J30" s="559">
        <f t="shared" si="16"/>
        <v>195.7101744955319</v>
      </c>
      <c r="K30" s="546">
        <f>SUM(F30:J30)</f>
        <v>967.10126447506582</v>
      </c>
      <c r="L30" s="12"/>
      <c r="M30" s="540" t="s">
        <v>386</v>
      </c>
      <c r="N30" s="541" t="s">
        <v>290</v>
      </c>
      <c r="O30" s="546"/>
      <c r="P30" s="546"/>
      <c r="Q30" s="557">
        <f t="shared" ref="Q30:U30" si="17">Q21*$T$17</f>
        <v>19.388035750476554</v>
      </c>
      <c r="R30" s="558">
        <f t="shared" si="17"/>
        <v>19.500396313316578</v>
      </c>
      <c r="S30" s="558">
        <f t="shared" si="17"/>
        <v>19.6134080455811</v>
      </c>
      <c r="T30" s="558">
        <f t="shared" si="17"/>
        <v>19.727074721028529</v>
      </c>
      <c r="U30" s="559">
        <f t="shared" si="17"/>
        <v>19.841400135287554</v>
      </c>
      <c r="V30" s="546">
        <f>SUM(Q30:U30)</f>
        <v>98.070314965690315</v>
      </c>
      <c r="W30" s="32"/>
    </row>
    <row r="31" spans="1:29" s="67" customFormat="1" ht="20.100000000000001" customHeight="1" thickBot="1" x14ac:dyDescent="0.25">
      <c r="A31" s="66"/>
      <c r="B31" s="545" t="s">
        <v>395</v>
      </c>
      <c r="C31" s="545"/>
      <c r="D31" s="563"/>
      <c r="E31" s="560"/>
      <c r="F31" s="561">
        <f t="shared" ref="F31:K31" si="18">SUM(F29:F30)</f>
        <v>331.57027284530307</v>
      </c>
      <c r="G31" s="560">
        <f t="shared" si="18"/>
        <v>333.53041049520652</v>
      </c>
      <c r="H31" s="560">
        <f t="shared" si="18"/>
        <v>335.50403587734621</v>
      </c>
      <c r="I31" s="560">
        <f t="shared" si="18"/>
        <v>337.49128481371821</v>
      </c>
      <c r="J31" s="562">
        <f t="shared" si="18"/>
        <v>339.49229509006523</v>
      </c>
      <c r="K31" s="560">
        <f t="shared" si="18"/>
        <v>1677.588299121639</v>
      </c>
      <c r="L31" s="12"/>
      <c r="M31" s="545" t="s">
        <v>395</v>
      </c>
      <c r="N31" s="545"/>
      <c r="O31" s="563"/>
      <c r="P31" s="560"/>
      <c r="Q31" s="561">
        <f t="shared" ref="Q31" si="19">SUM(Q29:Q30)</f>
        <v>24.827691977262141</v>
      </c>
      <c r="R31" s="560">
        <f t="shared" ref="R31" si="20">SUM(R29:R30)</f>
        <v>24.971577282637391</v>
      </c>
      <c r="S31" s="560">
        <f t="shared" ref="S31" si="21">SUM(S29:S30)</f>
        <v>25.116296454532421</v>
      </c>
      <c r="T31" s="560">
        <f t="shared" ref="T31" si="22">SUM(T29:T30)</f>
        <v>25.26185432550038</v>
      </c>
      <c r="U31" s="562">
        <f t="shared" ref="U31" si="23">SUM(U29:U30)</f>
        <v>25.408255756100484</v>
      </c>
      <c r="V31" s="560">
        <f t="shared" ref="V31" si="24">SUM(V29:V30)</f>
        <v>125.58567579603282</v>
      </c>
      <c r="W31" s="32"/>
    </row>
    <row r="32" spans="1:29" s="67" customFormat="1" ht="20.100000000000001" customHeight="1" x14ac:dyDescent="0.2">
      <c r="A32" s="66"/>
      <c r="B32" s="68"/>
      <c r="C32" s="68"/>
      <c r="D32" s="12"/>
      <c r="E32" s="12"/>
      <c r="F32" s="467"/>
      <c r="G32" s="467"/>
      <c r="H32" s="467"/>
      <c r="I32" s="467"/>
      <c r="J32" s="467"/>
      <c r="K32" s="12"/>
      <c r="L32" s="12"/>
      <c r="M32" s="68"/>
      <c r="N32" s="68"/>
      <c r="O32" s="12"/>
      <c r="P32" s="12"/>
      <c r="Q32" s="467"/>
      <c r="R32" s="467"/>
      <c r="S32" s="467"/>
      <c r="T32" s="467"/>
      <c r="U32" s="467"/>
      <c r="V32" s="12"/>
      <c r="W32" s="32"/>
      <c r="X32" s="328"/>
      <c r="Y32" s="328"/>
      <c r="Z32" s="328"/>
      <c r="AA32" s="328"/>
      <c r="AB32" s="328"/>
      <c r="AC32" s="328"/>
    </row>
    <row r="33" spans="1:23" s="67" customFormat="1" ht="27" customHeight="1" x14ac:dyDescent="0.2">
      <c r="A33" s="66"/>
      <c r="B33" s="354" t="s">
        <v>326</v>
      </c>
      <c r="C33" s="354"/>
      <c r="D33" s="355"/>
      <c r="E33" s="355"/>
      <c r="F33" s="355"/>
      <c r="G33" s="355"/>
      <c r="H33" s="355"/>
      <c r="I33" s="355"/>
      <c r="J33" s="355"/>
      <c r="K33" s="355"/>
      <c r="L33" s="12"/>
      <c r="M33" s="354" t="s">
        <v>326</v>
      </c>
      <c r="N33" s="354"/>
      <c r="O33" s="355"/>
      <c r="P33" s="355"/>
      <c r="Q33" s="355"/>
      <c r="R33" s="355"/>
      <c r="S33" s="355"/>
      <c r="T33" s="355"/>
      <c r="U33" s="355"/>
      <c r="V33" s="355"/>
      <c r="W33" s="32"/>
    </row>
    <row r="34" spans="1:23" s="67" customFormat="1" ht="20.100000000000001" customHeight="1" x14ac:dyDescent="0.2">
      <c r="A34" s="66"/>
      <c r="B34" s="68"/>
      <c r="C34" s="68"/>
      <c r="D34" s="12"/>
      <c r="E34" s="12"/>
      <c r="F34" s="12"/>
      <c r="G34" s="12"/>
      <c r="H34" s="12"/>
      <c r="I34" s="12"/>
      <c r="J34" s="12"/>
      <c r="K34" s="12"/>
      <c r="L34" s="12"/>
      <c r="M34" s="68"/>
      <c r="N34" s="68"/>
      <c r="O34" s="12"/>
      <c r="P34" s="12"/>
      <c r="Q34" s="12"/>
      <c r="R34" s="12"/>
      <c r="S34" s="12"/>
      <c r="T34" s="12"/>
      <c r="U34" s="12"/>
      <c r="V34" s="32"/>
      <c r="W34" s="32"/>
    </row>
    <row r="35" spans="1:23" s="67" customFormat="1" ht="20.100000000000001" customHeight="1" x14ac:dyDescent="0.2">
      <c r="A35" s="66"/>
      <c r="B35" s="178" t="s">
        <v>380</v>
      </c>
      <c r="C35" s="183"/>
      <c r="D35" s="420"/>
      <c r="E35" s="421"/>
      <c r="F35" s="422">
        <v>2018</v>
      </c>
      <c r="G35" s="421">
        <v>2019</v>
      </c>
      <c r="H35" s="421">
        <v>2020</v>
      </c>
      <c r="I35" s="421">
        <v>2021</v>
      </c>
      <c r="J35" s="421">
        <v>2022</v>
      </c>
      <c r="K35" s="422" t="s">
        <v>92</v>
      </c>
      <c r="L35" s="12"/>
      <c r="M35" s="178" t="str">
        <f>B35</f>
        <v>Core Forecasts</v>
      </c>
      <c r="N35" s="183"/>
      <c r="O35" s="420"/>
      <c r="P35" s="421"/>
      <c r="Q35" s="422">
        <v>2018</v>
      </c>
      <c r="R35" s="421">
        <v>2019</v>
      </c>
      <c r="S35" s="421">
        <v>2020</v>
      </c>
      <c r="T35" s="421">
        <v>2021</v>
      </c>
      <c r="U35" s="421">
        <v>2022</v>
      </c>
      <c r="V35" s="422" t="s">
        <v>92</v>
      </c>
      <c r="W35" s="32"/>
    </row>
    <row r="36" spans="1:23" s="67" customFormat="1" ht="20.100000000000001" customHeight="1" x14ac:dyDescent="0.2">
      <c r="A36" s="66"/>
      <c r="B36" s="12" t="s">
        <v>299</v>
      </c>
      <c r="C36" s="12"/>
      <c r="D36" s="15"/>
      <c r="E36" s="15"/>
      <c r="F36" s="16">
        <f t="shared" ref="F36:J36" si="25">F26</f>
        <v>16007.617564784612</v>
      </c>
      <c r="G36" s="17">
        <f t="shared" si="25"/>
        <v>15095.213681202446</v>
      </c>
      <c r="H36" s="17">
        <f t="shared" si="25"/>
        <v>15064.698310897138</v>
      </c>
      <c r="I36" s="17">
        <f t="shared" si="25"/>
        <v>15396.836078594532</v>
      </c>
      <c r="J36" s="17">
        <f t="shared" si="25"/>
        <v>15657.52449687889</v>
      </c>
      <c r="K36" s="16">
        <f>SUM(F36:J36)</f>
        <v>77221.890132357628</v>
      </c>
      <c r="L36" s="12"/>
      <c r="M36" s="12" t="str">
        <f>B36</f>
        <v>New Residential Connections</v>
      </c>
      <c r="N36" s="12"/>
      <c r="O36" s="15"/>
      <c r="P36" s="15"/>
      <c r="Q36" s="16">
        <f t="shared" ref="Q36:U36" si="26">Q26</f>
        <v>449.822065168645</v>
      </c>
      <c r="R36" s="17">
        <f t="shared" si="26"/>
        <v>458.16353627762834</v>
      </c>
      <c r="S36" s="17">
        <f t="shared" si="26"/>
        <v>466.6596910841194</v>
      </c>
      <c r="T36" s="17">
        <f t="shared" si="26"/>
        <v>475.31339803254355</v>
      </c>
      <c r="U36" s="17">
        <f t="shared" si="26"/>
        <v>484.12757875956885</v>
      </c>
      <c r="V36" s="16">
        <f>SUM(Q36:U36)</f>
        <v>2334.0862693225049</v>
      </c>
      <c r="W36" s="32"/>
    </row>
    <row r="37" spans="1:23" s="67" customFormat="1" ht="20.100000000000001" customHeight="1" x14ac:dyDescent="0.2">
      <c r="A37" s="66"/>
      <c r="B37" s="12" t="s">
        <v>300</v>
      </c>
      <c r="C37" s="12"/>
      <c r="D37" s="15"/>
      <c r="E37" s="15"/>
      <c r="F37" s="16">
        <f t="shared" ref="F37:J37" si="27">F31</f>
        <v>331.57027284530307</v>
      </c>
      <c r="G37" s="17">
        <f t="shared" si="27"/>
        <v>333.53041049520652</v>
      </c>
      <c r="H37" s="17">
        <f t="shared" si="27"/>
        <v>335.50403587734621</v>
      </c>
      <c r="I37" s="17">
        <f t="shared" si="27"/>
        <v>337.49128481371821</v>
      </c>
      <c r="J37" s="17">
        <f t="shared" si="27"/>
        <v>339.49229509006523</v>
      </c>
      <c r="K37" s="16">
        <f>SUM(F37:J37)</f>
        <v>1677.5882991216392</v>
      </c>
      <c r="L37" s="12"/>
      <c r="M37" s="12" t="str">
        <f>B37</f>
        <v>New Commercial Connections</v>
      </c>
      <c r="N37" s="12"/>
      <c r="O37" s="15"/>
      <c r="P37" s="15"/>
      <c r="Q37" s="16">
        <f t="shared" ref="Q37:U37" si="28">Q31</f>
        <v>24.827691977262141</v>
      </c>
      <c r="R37" s="17">
        <f t="shared" si="28"/>
        <v>24.971577282637391</v>
      </c>
      <c r="S37" s="17">
        <f t="shared" si="28"/>
        <v>25.116296454532421</v>
      </c>
      <c r="T37" s="17">
        <f t="shared" si="28"/>
        <v>25.26185432550038</v>
      </c>
      <c r="U37" s="17">
        <f t="shared" si="28"/>
        <v>25.408255756100484</v>
      </c>
      <c r="V37" s="16">
        <f>SUM(Q37:U37)</f>
        <v>125.58567579603282</v>
      </c>
      <c r="W37" s="32"/>
    </row>
    <row r="38" spans="1:23" s="67" customFormat="1" ht="20.100000000000001" customHeight="1" thickBot="1" x14ac:dyDescent="0.25">
      <c r="A38" s="66"/>
      <c r="B38" s="25" t="s">
        <v>82</v>
      </c>
      <c r="C38" s="25"/>
      <c r="D38" s="27"/>
      <c r="E38" s="27"/>
      <c r="F38" s="26">
        <f t="shared" ref="F38:J38" si="29">SUM(F36:F37)</f>
        <v>16339.187837629916</v>
      </c>
      <c r="G38" s="27">
        <f t="shared" si="29"/>
        <v>15428.744091697652</v>
      </c>
      <c r="H38" s="27">
        <f t="shared" si="29"/>
        <v>15400.202346774484</v>
      </c>
      <c r="I38" s="27">
        <f t="shared" si="29"/>
        <v>15734.327363408249</v>
      </c>
      <c r="J38" s="27">
        <f t="shared" si="29"/>
        <v>15997.016791968956</v>
      </c>
      <c r="K38" s="26">
        <f>SUM(K36:K37)</f>
        <v>78899.478431479263</v>
      </c>
      <c r="L38" s="12"/>
      <c r="M38" s="25" t="s">
        <v>82</v>
      </c>
      <c r="N38" s="25"/>
      <c r="O38" s="27"/>
      <c r="P38" s="27"/>
      <c r="Q38" s="26">
        <f t="shared" ref="Q38:U38" si="30">SUM(Q36:Q37)</f>
        <v>474.64975714590713</v>
      </c>
      <c r="R38" s="27">
        <f t="shared" si="30"/>
        <v>483.13511356026572</v>
      </c>
      <c r="S38" s="27">
        <f t="shared" si="30"/>
        <v>491.7759875386518</v>
      </c>
      <c r="T38" s="27">
        <f t="shared" si="30"/>
        <v>500.57525235804394</v>
      </c>
      <c r="U38" s="27">
        <f t="shared" si="30"/>
        <v>509.53583451566931</v>
      </c>
      <c r="V38" s="26">
        <f>SUM(Q38:U38)</f>
        <v>2459.6719451185377</v>
      </c>
      <c r="W38" s="32"/>
    </row>
    <row r="39" spans="1:23" s="67" customFormat="1" ht="20.100000000000001" customHeight="1" x14ac:dyDescent="0.2">
      <c r="A39" s="66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32"/>
      <c r="W39" s="32"/>
    </row>
    <row r="40" spans="1:23" s="67" customFormat="1" ht="20.100000000000001" customHeight="1" x14ac:dyDescent="0.2">
      <c r="A40" s="12"/>
      <c r="B40" s="178" t="s">
        <v>381</v>
      </c>
      <c r="C40" s="183"/>
      <c r="D40" s="420"/>
      <c r="E40" s="421"/>
      <c r="F40" s="422">
        <v>2018</v>
      </c>
      <c r="G40" s="421">
        <v>2109</v>
      </c>
      <c r="H40" s="421">
        <v>2020</v>
      </c>
      <c r="I40" s="421">
        <v>2021</v>
      </c>
      <c r="J40" s="421">
        <v>2022</v>
      </c>
      <c r="K40" s="422" t="s">
        <v>92</v>
      </c>
      <c r="L40" s="12"/>
      <c r="M40" s="178" t="str">
        <f>B40</f>
        <v>New Meter Forecasts</v>
      </c>
      <c r="N40" s="183"/>
      <c r="O40" s="420"/>
      <c r="P40" s="421"/>
      <c r="Q40" s="422">
        <v>2018</v>
      </c>
      <c r="R40" s="421">
        <v>2109</v>
      </c>
      <c r="S40" s="421">
        <v>2020</v>
      </c>
      <c r="T40" s="421">
        <v>2021</v>
      </c>
      <c r="U40" s="421">
        <v>2022</v>
      </c>
      <c r="V40" s="422" t="s">
        <v>92</v>
      </c>
      <c r="W40" s="32"/>
    </row>
    <row r="41" spans="1:23" s="67" customFormat="1" ht="20.100000000000001" customHeight="1" x14ac:dyDescent="0.2">
      <c r="A41" s="12"/>
      <c r="B41" s="81" t="s">
        <v>322</v>
      </c>
      <c r="C41" s="81"/>
      <c r="D41" s="17"/>
      <c r="E41" s="18"/>
      <c r="F41" s="467">
        <f t="shared" ref="F41:J42" si="31">F36</f>
        <v>16007.617564784612</v>
      </c>
      <c r="G41" s="467">
        <f t="shared" si="31"/>
        <v>15095.213681202446</v>
      </c>
      <c r="H41" s="467">
        <f t="shared" si="31"/>
        <v>15064.698310897138</v>
      </c>
      <c r="I41" s="467">
        <f t="shared" si="31"/>
        <v>15396.836078594532</v>
      </c>
      <c r="J41" s="467">
        <f t="shared" si="31"/>
        <v>15657.52449687889</v>
      </c>
      <c r="K41" s="16">
        <f>SUM(F41:J41)</f>
        <v>77221.890132357628</v>
      </c>
      <c r="L41" s="12"/>
      <c r="M41" s="81" t="str">
        <f>B41</f>
        <v>Domestic</v>
      </c>
      <c r="N41" s="81"/>
      <c r="O41" s="17"/>
      <c r="P41" s="18"/>
      <c r="Q41" s="467">
        <f t="shared" ref="Q41:U42" si="32">Q36</f>
        <v>449.822065168645</v>
      </c>
      <c r="R41" s="467">
        <f t="shared" si="32"/>
        <v>458.16353627762834</v>
      </c>
      <c r="S41" s="467">
        <f t="shared" si="32"/>
        <v>466.6596910841194</v>
      </c>
      <c r="T41" s="467">
        <f t="shared" si="32"/>
        <v>475.31339803254355</v>
      </c>
      <c r="U41" s="467">
        <f t="shared" si="32"/>
        <v>484.12757875956885</v>
      </c>
      <c r="V41" s="16">
        <f>SUM(Q41:U41)</f>
        <v>2334.0862693225049</v>
      </c>
      <c r="W41" s="32"/>
    </row>
    <row r="42" spans="1:23" s="67" customFormat="1" ht="20.100000000000001" customHeight="1" x14ac:dyDescent="0.2">
      <c r="A42" s="12"/>
      <c r="B42" s="81" t="s">
        <v>323</v>
      </c>
      <c r="C42" s="81"/>
      <c r="D42" s="17"/>
      <c r="E42" s="18"/>
      <c r="F42" s="467">
        <f t="shared" si="31"/>
        <v>331.57027284530307</v>
      </c>
      <c r="G42" s="467">
        <f t="shared" si="31"/>
        <v>333.53041049520652</v>
      </c>
      <c r="H42" s="467">
        <f t="shared" si="31"/>
        <v>335.50403587734621</v>
      </c>
      <c r="I42" s="467">
        <f t="shared" si="31"/>
        <v>337.49128481371821</v>
      </c>
      <c r="J42" s="467">
        <f t="shared" si="31"/>
        <v>339.49229509006523</v>
      </c>
      <c r="K42" s="16">
        <f>SUM(F42:J42)</f>
        <v>1677.5882991216392</v>
      </c>
      <c r="L42" s="12"/>
      <c r="M42" s="81" t="str">
        <f>B42</f>
        <v>Non-Domestic</v>
      </c>
      <c r="N42" s="81"/>
      <c r="O42" s="17"/>
      <c r="P42" s="18"/>
      <c r="Q42" s="467">
        <f t="shared" si="32"/>
        <v>24.827691977262141</v>
      </c>
      <c r="R42" s="467">
        <f t="shared" si="32"/>
        <v>24.971577282637391</v>
      </c>
      <c r="S42" s="467">
        <f t="shared" si="32"/>
        <v>25.116296454532421</v>
      </c>
      <c r="T42" s="467">
        <f t="shared" si="32"/>
        <v>25.26185432550038</v>
      </c>
      <c r="U42" s="467">
        <f t="shared" si="32"/>
        <v>25.408255756100484</v>
      </c>
      <c r="V42" s="16">
        <f>SUM(Q42:U42)</f>
        <v>125.58567579603282</v>
      </c>
      <c r="W42" s="32"/>
    </row>
    <row r="43" spans="1:23" s="67" customFormat="1" ht="20.100000000000001" customHeight="1" thickBot="1" x14ac:dyDescent="0.25">
      <c r="A43" s="66"/>
      <c r="B43" s="25" t="s">
        <v>325</v>
      </c>
      <c r="C43" s="25"/>
      <c r="D43" s="27"/>
      <c r="E43" s="27"/>
      <c r="F43" s="26">
        <f>SUM(F41:F42)</f>
        <v>16339.187837629916</v>
      </c>
      <c r="G43" s="27">
        <f t="shared" ref="G43:J43" si="33">SUM(G41:G42)</f>
        <v>15428.744091697652</v>
      </c>
      <c r="H43" s="27">
        <f t="shared" si="33"/>
        <v>15400.202346774484</v>
      </c>
      <c r="I43" s="27">
        <f t="shared" si="33"/>
        <v>15734.327363408249</v>
      </c>
      <c r="J43" s="27">
        <f t="shared" si="33"/>
        <v>15997.016791968956</v>
      </c>
      <c r="K43" s="26">
        <f>SUM(K41:K42)</f>
        <v>78899.478431479263</v>
      </c>
      <c r="L43" s="12"/>
      <c r="M43" s="25" t="str">
        <f>B43</f>
        <v>Total new meters</v>
      </c>
      <c r="N43" s="25"/>
      <c r="O43" s="27"/>
      <c r="P43" s="27"/>
      <c r="Q43" s="26">
        <f>SUM(Q41:Q42)</f>
        <v>474.64975714590713</v>
      </c>
      <c r="R43" s="27">
        <f t="shared" ref="R43:U43" si="34">SUM(R41:R42)</f>
        <v>483.13511356026572</v>
      </c>
      <c r="S43" s="27">
        <f t="shared" si="34"/>
        <v>491.7759875386518</v>
      </c>
      <c r="T43" s="27">
        <f t="shared" si="34"/>
        <v>500.57525235804394</v>
      </c>
      <c r="U43" s="27">
        <f t="shared" si="34"/>
        <v>509.53583451566931</v>
      </c>
      <c r="V43" s="26">
        <f>SUM(V41:V42)</f>
        <v>2459.6719451185377</v>
      </c>
      <c r="W43" s="32"/>
    </row>
    <row r="44" spans="1:23" s="67" customFormat="1" ht="20.100000000000001" customHeight="1" x14ac:dyDescent="0.2">
      <c r="A44" s="66"/>
      <c r="B44" s="392" t="s">
        <v>11</v>
      </c>
      <c r="C44" s="392"/>
      <c r="D44" s="393"/>
      <c r="E44" s="393"/>
      <c r="F44" s="393">
        <f t="shared" ref="F44:K44" si="35">F43-F38</f>
        <v>0</v>
      </c>
      <c r="G44" s="393">
        <f t="shared" si="35"/>
        <v>0</v>
      </c>
      <c r="H44" s="393">
        <f t="shared" si="35"/>
        <v>0</v>
      </c>
      <c r="I44" s="393">
        <f t="shared" si="35"/>
        <v>0</v>
      </c>
      <c r="J44" s="393">
        <f t="shared" si="35"/>
        <v>0</v>
      </c>
      <c r="K44" s="393">
        <f t="shared" si="35"/>
        <v>0</v>
      </c>
      <c r="L44" s="12"/>
      <c r="M44" s="392" t="s">
        <v>11</v>
      </c>
      <c r="N44" s="392"/>
      <c r="O44" s="393"/>
      <c r="P44" s="393"/>
      <c r="Q44" s="393">
        <f t="shared" ref="Q44:V44" si="36">Q43-Q38</f>
        <v>0</v>
      </c>
      <c r="R44" s="393">
        <f t="shared" si="36"/>
        <v>0</v>
      </c>
      <c r="S44" s="393">
        <f t="shared" si="36"/>
        <v>0</v>
      </c>
      <c r="T44" s="393">
        <f t="shared" si="36"/>
        <v>0</v>
      </c>
      <c r="U44" s="393">
        <f t="shared" si="36"/>
        <v>0</v>
      </c>
      <c r="V44" s="393">
        <f t="shared" si="36"/>
        <v>0</v>
      </c>
      <c r="W44" s="32"/>
    </row>
    <row r="45" spans="1:23" s="67" customFormat="1" ht="20.100000000000001" customHeight="1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32"/>
    </row>
    <row r="46" spans="1:23" s="67" customFormat="1" ht="20.100000000000001" customHeight="1" x14ac:dyDescent="0.2">
      <c r="A46" s="66"/>
      <c r="B46" s="178" t="s">
        <v>351</v>
      </c>
      <c r="C46" s="183"/>
      <c r="D46" s="420"/>
      <c r="E46" s="421"/>
      <c r="F46" s="422">
        <v>2018</v>
      </c>
      <c r="G46" s="421">
        <v>2019</v>
      </c>
      <c r="H46" s="421">
        <v>2020</v>
      </c>
      <c r="I46" s="421">
        <v>2021</v>
      </c>
      <c r="J46" s="421">
        <v>2022</v>
      </c>
      <c r="K46" s="422" t="s">
        <v>92</v>
      </c>
      <c r="L46" s="66"/>
      <c r="M46" s="178" t="s">
        <v>351</v>
      </c>
      <c r="N46" s="183"/>
      <c r="O46" s="420"/>
      <c r="P46" s="421"/>
      <c r="Q46" s="422">
        <v>2018</v>
      </c>
      <c r="R46" s="421">
        <v>2019</v>
      </c>
      <c r="S46" s="421">
        <v>2020</v>
      </c>
      <c r="T46" s="421">
        <v>2021</v>
      </c>
      <c r="U46" s="421">
        <v>2022</v>
      </c>
      <c r="V46" s="422" t="s">
        <v>92</v>
      </c>
      <c r="W46" s="32"/>
    </row>
    <row r="47" spans="1:23" s="67" customFormat="1" ht="20.100000000000001" customHeight="1" x14ac:dyDescent="0.2">
      <c r="A47" s="66"/>
      <c r="B47" s="566" t="s">
        <v>352</v>
      </c>
      <c r="C47" s="566"/>
      <c r="D47" s="567"/>
      <c r="E47" s="567"/>
      <c r="F47" s="568"/>
      <c r="G47" s="567"/>
      <c r="H47" s="567"/>
      <c r="I47" s="567"/>
      <c r="J47" s="567"/>
      <c r="K47" s="568">
        <f>SUM(F47:J47)</f>
        <v>0</v>
      </c>
      <c r="L47" s="66"/>
      <c r="M47" s="566" t="s">
        <v>352</v>
      </c>
      <c r="N47" s="566"/>
      <c r="O47" s="567"/>
      <c r="P47" s="567"/>
      <c r="Q47" s="568"/>
      <c r="R47" s="567"/>
      <c r="S47" s="567"/>
      <c r="T47" s="567"/>
      <c r="U47" s="567"/>
      <c r="V47" s="568">
        <f>SUM(Q47:U47)</f>
        <v>0</v>
      </c>
      <c r="W47" s="32"/>
    </row>
    <row r="48" spans="1:23" s="67" customFormat="1" ht="20.100000000000001" customHeight="1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32"/>
    </row>
    <row r="49" spans="1:23" s="67" customFormat="1" ht="20.100000000000001" customHeight="1" x14ac:dyDescent="0.2">
      <c r="A49" s="66"/>
      <c r="B49" s="178" t="s">
        <v>381</v>
      </c>
      <c r="C49" s="183"/>
      <c r="D49" s="420"/>
      <c r="E49" s="421"/>
      <c r="F49" s="422">
        <v>2018</v>
      </c>
      <c r="G49" s="421">
        <v>2109</v>
      </c>
      <c r="H49" s="421">
        <v>2020</v>
      </c>
      <c r="I49" s="421">
        <v>2021</v>
      </c>
      <c r="J49" s="421">
        <v>2022</v>
      </c>
      <c r="K49" s="422" t="s">
        <v>92</v>
      </c>
      <c r="L49" s="12"/>
      <c r="M49" s="178" t="str">
        <f>B49</f>
        <v>New Meter Forecasts</v>
      </c>
      <c r="N49" s="183"/>
      <c r="O49" s="420"/>
      <c r="P49" s="421"/>
      <c r="Q49" s="422">
        <v>2018</v>
      </c>
      <c r="R49" s="421">
        <v>2109</v>
      </c>
      <c r="S49" s="421">
        <v>2020</v>
      </c>
      <c r="T49" s="421">
        <v>2021</v>
      </c>
      <c r="U49" s="421">
        <v>2022</v>
      </c>
      <c r="V49" s="422" t="s">
        <v>92</v>
      </c>
      <c r="W49" s="32"/>
    </row>
    <row r="50" spans="1:23" s="67" customFormat="1" ht="20.100000000000001" customHeight="1" x14ac:dyDescent="0.2">
      <c r="A50" s="66"/>
      <c r="B50" s="81" t="s">
        <v>322</v>
      </c>
      <c r="C50" s="81"/>
      <c r="D50" s="17"/>
      <c r="E50" s="18"/>
      <c r="F50" s="645" t="s">
        <v>445</v>
      </c>
      <c r="G50" s="645" t="s">
        <v>445</v>
      </c>
      <c r="H50" s="645" t="s">
        <v>445</v>
      </c>
      <c r="I50" s="645" t="s">
        <v>445</v>
      </c>
      <c r="J50" s="645" t="s">
        <v>445</v>
      </c>
      <c r="K50" s="16">
        <f>SUM(F50:J50)</f>
        <v>0</v>
      </c>
      <c r="L50" s="12"/>
      <c r="M50" s="81" t="str">
        <f>B50</f>
        <v>Domestic</v>
      </c>
      <c r="N50" s="81"/>
      <c r="O50" s="17"/>
      <c r="P50" s="18"/>
      <c r="Q50" s="645" t="s">
        <v>445</v>
      </c>
      <c r="R50" s="645" t="s">
        <v>445</v>
      </c>
      <c r="S50" s="645" t="s">
        <v>445</v>
      </c>
      <c r="T50" s="645" t="s">
        <v>445</v>
      </c>
      <c r="U50" s="645" t="s">
        <v>445</v>
      </c>
      <c r="V50" s="16">
        <f>SUM(Q50:U50)</f>
        <v>0</v>
      </c>
      <c r="W50" s="32"/>
    </row>
    <row r="51" spans="1:23" s="67" customFormat="1" ht="20.100000000000001" customHeight="1" x14ac:dyDescent="0.2">
      <c r="A51" s="66"/>
      <c r="B51" s="81" t="s">
        <v>323</v>
      </c>
      <c r="C51" s="81"/>
      <c r="D51" s="17"/>
      <c r="E51" s="18"/>
      <c r="F51" s="645" t="s">
        <v>445</v>
      </c>
      <c r="G51" s="645" t="s">
        <v>445</v>
      </c>
      <c r="H51" s="645" t="s">
        <v>445</v>
      </c>
      <c r="I51" s="645" t="s">
        <v>445</v>
      </c>
      <c r="J51" s="645" t="s">
        <v>445</v>
      </c>
      <c r="K51" s="16">
        <f>SUM(F51:J51)</f>
        <v>0</v>
      </c>
      <c r="L51" s="12"/>
      <c r="M51" s="81" t="str">
        <f>B51</f>
        <v>Non-Domestic</v>
      </c>
      <c r="N51" s="81"/>
      <c r="O51" s="17"/>
      <c r="P51" s="18"/>
      <c r="Q51" s="645" t="s">
        <v>445</v>
      </c>
      <c r="R51" s="645" t="s">
        <v>445</v>
      </c>
      <c r="S51" s="645" t="s">
        <v>445</v>
      </c>
      <c r="T51" s="645" t="s">
        <v>445</v>
      </c>
      <c r="U51" s="645" t="s">
        <v>445</v>
      </c>
      <c r="V51" s="16">
        <f>SUM(Q51:U51)</f>
        <v>0</v>
      </c>
      <c r="W51" s="32"/>
    </row>
    <row r="52" spans="1:23" s="67" customFormat="1" ht="20.100000000000001" customHeight="1" thickBot="1" x14ac:dyDescent="0.25">
      <c r="A52" s="66"/>
      <c r="B52" s="25" t="s">
        <v>325</v>
      </c>
      <c r="C52" s="25"/>
      <c r="D52" s="27"/>
      <c r="E52" s="27"/>
      <c r="F52" s="26">
        <f>SUM(F50:F51)</f>
        <v>0</v>
      </c>
      <c r="G52" s="27">
        <f t="shared" ref="G52:J52" si="37">SUM(G50:G51)</f>
        <v>0</v>
      </c>
      <c r="H52" s="27">
        <f t="shared" si="37"/>
        <v>0</v>
      </c>
      <c r="I52" s="27">
        <f t="shared" si="37"/>
        <v>0</v>
      </c>
      <c r="J52" s="27">
        <f t="shared" si="37"/>
        <v>0</v>
      </c>
      <c r="K52" s="26">
        <f>SUM(K50:K51)</f>
        <v>0</v>
      </c>
      <c r="L52" s="12"/>
      <c r="M52" s="25" t="str">
        <f>B52</f>
        <v>Total new meters</v>
      </c>
      <c r="N52" s="25"/>
      <c r="O52" s="27"/>
      <c r="P52" s="27"/>
      <c r="Q52" s="26">
        <f>SUM(Q50:Q51)</f>
        <v>0</v>
      </c>
      <c r="R52" s="27">
        <f t="shared" ref="R52:U52" si="38">SUM(R50:R51)</f>
        <v>0</v>
      </c>
      <c r="S52" s="27">
        <f t="shared" si="38"/>
        <v>0</v>
      </c>
      <c r="T52" s="27">
        <f t="shared" si="38"/>
        <v>0</v>
      </c>
      <c r="U52" s="27">
        <f t="shared" si="38"/>
        <v>0</v>
      </c>
      <c r="V52" s="26">
        <f>SUM(V50:V51)</f>
        <v>0</v>
      </c>
      <c r="W52" s="32"/>
    </row>
    <row r="53" spans="1:23" s="67" customFormat="1" ht="20.100000000000001" customHeight="1" x14ac:dyDescent="0.2">
      <c r="A53" s="66"/>
      <c r="B53" s="392" t="s">
        <v>11</v>
      </c>
      <c r="C53" s="392"/>
      <c r="D53" s="393"/>
      <c r="E53" s="393"/>
      <c r="F53" s="393"/>
      <c r="G53" s="393"/>
      <c r="H53" s="393"/>
      <c r="I53" s="393"/>
      <c r="J53" s="393"/>
      <c r="K53" s="393"/>
      <c r="L53" s="12"/>
      <c r="M53" s="392" t="s">
        <v>11</v>
      </c>
      <c r="N53" s="392"/>
      <c r="O53" s="393"/>
      <c r="P53" s="393"/>
      <c r="Q53" s="393"/>
      <c r="R53" s="393"/>
      <c r="S53" s="393"/>
      <c r="T53" s="393"/>
      <c r="U53" s="393"/>
      <c r="V53" s="393"/>
      <c r="W53" s="32"/>
    </row>
    <row r="54" spans="1:23" s="67" customFormat="1" ht="20.100000000000001" customHeight="1" x14ac:dyDescent="0.2">
      <c r="A54" s="66"/>
      <c r="B54" s="184"/>
      <c r="C54" s="184"/>
      <c r="D54" s="468"/>
      <c r="E54" s="468"/>
      <c r="F54" s="468"/>
      <c r="G54" s="468"/>
      <c r="H54" s="468"/>
      <c r="I54" s="468"/>
      <c r="J54" s="468"/>
      <c r="K54" s="468"/>
      <c r="L54" s="12"/>
      <c r="M54" s="184"/>
      <c r="N54" s="184"/>
      <c r="O54" s="468"/>
      <c r="P54" s="468"/>
      <c r="Q54" s="468"/>
      <c r="R54" s="468"/>
      <c r="S54" s="468"/>
      <c r="T54" s="468"/>
      <c r="U54" s="468"/>
      <c r="V54" s="468"/>
      <c r="W54" s="32"/>
    </row>
    <row r="55" spans="1:23" s="67" customFormat="1" ht="29.25" customHeight="1" x14ac:dyDescent="0.2">
      <c r="A55" s="66"/>
      <c r="B55" s="354" t="s">
        <v>334</v>
      </c>
      <c r="C55" s="354"/>
      <c r="D55" s="355"/>
      <c r="E55" s="355"/>
      <c r="F55" s="355"/>
      <c r="G55" s="355"/>
      <c r="H55" s="355"/>
      <c r="I55" s="355"/>
      <c r="J55" s="355"/>
      <c r="K55" s="355"/>
      <c r="L55" s="12"/>
      <c r="M55" s="354" t="s">
        <v>334</v>
      </c>
      <c r="N55" s="354"/>
      <c r="O55" s="355"/>
      <c r="P55" s="355"/>
      <c r="Q55" s="355"/>
      <c r="R55" s="355"/>
      <c r="S55" s="355"/>
      <c r="T55" s="355"/>
      <c r="U55" s="355"/>
      <c r="V55" s="355"/>
      <c r="W55" s="32"/>
    </row>
    <row r="56" spans="1:23" s="67" customFormat="1" ht="20.100000000000001" customHeight="1" x14ac:dyDescent="0.2">
      <c r="A56" s="6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32"/>
    </row>
    <row r="57" spans="1:23" s="67" customFormat="1" ht="20.100000000000001" customHeight="1" x14ac:dyDescent="0.2">
      <c r="A57" s="66"/>
      <c r="B57" s="10" t="s">
        <v>313</v>
      </c>
      <c r="C57" s="298"/>
      <c r="D57" s="298"/>
      <c r="E57" s="326"/>
      <c r="F57" s="421">
        <v>2013</v>
      </c>
      <c r="G57" s="421">
        <v>2014</v>
      </c>
      <c r="H57" s="421">
        <v>2015</v>
      </c>
      <c r="I57" s="479" t="s">
        <v>66</v>
      </c>
      <c r="J57" s="12"/>
      <c r="K57" s="12"/>
      <c r="L57" s="12"/>
      <c r="M57" s="10" t="str">
        <f>B57</f>
        <v>Historic New Services (units)</v>
      </c>
      <c r="N57" s="298"/>
      <c r="O57" s="298"/>
      <c r="P57" s="326"/>
      <c r="Q57" s="421">
        <v>2013</v>
      </c>
      <c r="R57" s="421">
        <v>2014</v>
      </c>
      <c r="S57" s="421">
        <v>2015</v>
      </c>
      <c r="T57" s="479" t="s">
        <v>66</v>
      </c>
      <c r="U57" s="12"/>
      <c r="V57" s="12"/>
      <c r="W57" s="32"/>
    </row>
    <row r="58" spans="1:23" s="67" customFormat="1" ht="20.100000000000001" customHeight="1" x14ac:dyDescent="0.2">
      <c r="A58" s="66"/>
      <c r="B58" s="12" t="s">
        <v>329</v>
      </c>
      <c r="C58" s="12"/>
      <c r="D58" s="12"/>
      <c r="E58" s="53"/>
      <c r="F58" s="15">
        <v>10038</v>
      </c>
      <c r="G58" s="15">
        <v>10950</v>
      </c>
      <c r="H58" s="15">
        <v>12947</v>
      </c>
      <c r="I58" s="16">
        <f>AVERAGE(F58:H58)</f>
        <v>11311.666666666666</v>
      </c>
      <c r="J58" s="12"/>
      <c r="K58" s="120"/>
      <c r="L58" s="12"/>
      <c r="M58" s="12" t="str">
        <f t="shared" ref="M58:M62" si="39">B58</f>
        <v>New estate</v>
      </c>
      <c r="N58" s="12"/>
      <c r="O58" s="12"/>
      <c r="P58" s="53"/>
      <c r="Q58" s="15">
        <v>274</v>
      </c>
      <c r="R58" s="15">
        <v>420</v>
      </c>
      <c r="S58" s="15">
        <v>412</v>
      </c>
      <c r="T58" s="16">
        <f>AVERAGE(Q58:S58)</f>
        <v>368.66666666666669</v>
      </c>
      <c r="U58" s="12"/>
      <c r="V58" s="12"/>
      <c r="W58" s="32"/>
    </row>
    <row r="59" spans="1:23" s="67" customFormat="1" ht="20.100000000000001" customHeight="1" x14ac:dyDescent="0.2">
      <c r="A59" s="66"/>
      <c r="B59" s="12" t="s">
        <v>330</v>
      </c>
      <c r="C59" s="12"/>
      <c r="D59" s="12"/>
      <c r="E59" s="53"/>
      <c r="F59" s="15">
        <v>762</v>
      </c>
      <c r="G59" s="15">
        <v>551</v>
      </c>
      <c r="H59" s="15">
        <v>634</v>
      </c>
      <c r="I59" s="16">
        <f t="shared" ref="I59:I61" si="40">AVERAGE(F59:H59)</f>
        <v>649</v>
      </c>
      <c r="J59" s="12"/>
      <c r="K59" s="120"/>
      <c r="L59" s="12"/>
      <c r="M59" s="12" t="str">
        <f t="shared" si="39"/>
        <v>Existing area</v>
      </c>
      <c r="N59" s="12"/>
      <c r="O59" s="12"/>
      <c r="P59" s="53"/>
      <c r="Q59" s="15">
        <v>27</v>
      </c>
      <c r="R59" s="15">
        <v>29</v>
      </c>
      <c r="S59" s="15">
        <v>21</v>
      </c>
      <c r="T59" s="16">
        <f t="shared" ref="T59:T61" si="41">AVERAGE(Q59:S59)</f>
        <v>25.666666666666668</v>
      </c>
      <c r="U59" s="12"/>
      <c r="V59" s="12"/>
      <c r="W59" s="32"/>
    </row>
    <row r="60" spans="1:23" s="67" customFormat="1" ht="20.100000000000001" customHeight="1" x14ac:dyDescent="0.2">
      <c r="A60" s="66"/>
      <c r="B60" s="12" t="s">
        <v>332</v>
      </c>
      <c r="C60" s="12"/>
      <c r="D60" s="12"/>
      <c r="E60" s="53"/>
      <c r="F60" s="15">
        <v>546</v>
      </c>
      <c r="G60" s="15">
        <v>566</v>
      </c>
      <c r="H60" s="15">
        <v>486</v>
      </c>
      <c r="I60" s="16">
        <f t="shared" si="40"/>
        <v>532.66666666666663</v>
      </c>
      <c r="J60" s="12"/>
      <c r="K60" s="120"/>
      <c r="L60" s="12"/>
      <c r="M60" s="12" t="str">
        <f t="shared" si="39"/>
        <v>Multi user</v>
      </c>
      <c r="N60" s="12"/>
      <c r="O60" s="12"/>
      <c r="P60" s="53"/>
      <c r="Q60" s="15">
        <v>6</v>
      </c>
      <c r="R60" s="15">
        <v>7</v>
      </c>
      <c r="S60" s="15">
        <v>22</v>
      </c>
      <c r="T60" s="16">
        <f t="shared" si="41"/>
        <v>11.666666666666666</v>
      </c>
      <c r="U60" s="12"/>
      <c r="V60" s="12"/>
      <c r="W60" s="32"/>
    </row>
    <row r="61" spans="1:23" s="67" customFormat="1" ht="20.100000000000001" customHeight="1" x14ac:dyDescent="0.2">
      <c r="A61" s="66"/>
      <c r="B61" s="298" t="s">
        <v>303</v>
      </c>
      <c r="C61" s="12"/>
      <c r="D61" s="12"/>
      <c r="E61" s="53"/>
      <c r="F61" s="15">
        <v>186</v>
      </c>
      <c r="G61" s="15">
        <v>191</v>
      </c>
      <c r="H61" s="15">
        <v>221</v>
      </c>
      <c r="I61" s="16">
        <f t="shared" si="40"/>
        <v>199.33333333333334</v>
      </c>
      <c r="J61" s="12"/>
      <c r="K61" s="120"/>
      <c r="L61" s="12"/>
      <c r="M61" s="298" t="str">
        <f t="shared" si="39"/>
        <v>I&amp;C&lt;10TJ</v>
      </c>
      <c r="N61" s="12"/>
      <c r="O61" s="12"/>
      <c r="P61" s="53"/>
      <c r="Q61" s="15">
        <v>16</v>
      </c>
      <c r="R61" s="15">
        <v>6</v>
      </c>
      <c r="S61" s="15">
        <v>20</v>
      </c>
      <c r="T61" s="16">
        <f t="shared" si="41"/>
        <v>14</v>
      </c>
      <c r="U61" s="12"/>
      <c r="V61" s="12"/>
      <c r="W61" s="32"/>
    </row>
    <row r="62" spans="1:23" s="67" customFormat="1" ht="20.100000000000001" customHeight="1" thickBot="1" x14ac:dyDescent="0.25">
      <c r="A62" s="66"/>
      <c r="B62" s="25" t="s">
        <v>92</v>
      </c>
      <c r="C62" s="25"/>
      <c r="D62" s="25"/>
      <c r="E62" s="470"/>
      <c r="F62" s="27">
        <f>SUM(F58:F61)</f>
        <v>11532</v>
      </c>
      <c r="G62" s="27">
        <f t="shared" ref="G62:I62" si="42">SUM(G58:G61)</f>
        <v>12258</v>
      </c>
      <c r="H62" s="27">
        <f t="shared" si="42"/>
        <v>14288</v>
      </c>
      <c r="I62" s="26">
        <f t="shared" si="42"/>
        <v>12692.666666666666</v>
      </c>
      <c r="J62" s="12"/>
      <c r="K62" s="12"/>
      <c r="L62" s="12"/>
      <c r="M62" s="25" t="str">
        <f t="shared" si="39"/>
        <v>Total</v>
      </c>
      <c r="N62" s="25"/>
      <c r="O62" s="25"/>
      <c r="P62" s="470"/>
      <c r="Q62" s="27">
        <f>SUM(Q58:Q61)</f>
        <v>323</v>
      </c>
      <c r="R62" s="27">
        <f t="shared" ref="R62:T62" si="43">SUM(R58:R61)</f>
        <v>462</v>
      </c>
      <c r="S62" s="27">
        <f t="shared" si="43"/>
        <v>475</v>
      </c>
      <c r="T62" s="26">
        <f t="shared" si="43"/>
        <v>420.00000000000006</v>
      </c>
      <c r="U62" s="12"/>
      <c r="V62" s="12"/>
      <c r="W62" s="32"/>
    </row>
    <row r="63" spans="1:23" s="67" customFormat="1" ht="20.100000000000001" customHeight="1" x14ac:dyDescent="0.2">
      <c r="A63" s="66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32"/>
    </row>
    <row r="64" spans="1:23" s="67" customFormat="1" ht="20.100000000000001" customHeight="1" x14ac:dyDescent="0.2">
      <c r="A64" s="66"/>
      <c r="B64" s="10" t="s">
        <v>313</v>
      </c>
      <c r="C64" s="298"/>
      <c r="D64" s="298"/>
      <c r="E64" s="326"/>
      <c r="F64" s="421">
        <v>2013</v>
      </c>
      <c r="G64" s="421">
        <v>2014</v>
      </c>
      <c r="H64" s="421">
        <v>2015</v>
      </c>
      <c r="I64" s="479" t="s">
        <v>66</v>
      </c>
      <c r="J64" s="12"/>
      <c r="K64" s="12"/>
      <c r="L64" s="12"/>
      <c r="M64" s="10" t="str">
        <f>B64</f>
        <v>Historic New Services (units)</v>
      </c>
      <c r="N64" s="298"/>
      <c r="O64" s="298"/>
      <c r="P64" s="326"/>
      <c r="Q64" s="421">
        <v>2013</v>
      </c>
      <c r="R64" s="421">
        <v>2014</v>
      </c>
      <c r="S64" s="421">
        <v>2015</v>
      </c>
      <c r="T64" s="479" t="s">
        <v>66</v>
      </c>
      <c r="U64" s="12"/>
      <c r="V64" s="12"/>
      <c r="W64" s="32"/>
    </row>
    <row r="65" spans="1:23" s="67" customFormat="1" ht="20.100000000000001" customHeight="1" x14ac:dyDescent="0.2">
      <c r="A65" s="66"/>
      <c r="B65" s="12" t="s">
        <v>329</v>
      </c>
      <c r="C65" s="12"/>
      <c r="D65" s="12"/>
      <c r="E65" s="53"/>
      <c r="F65" s="480">
        <f>F58/(F$58+F$59+F$60)</f>
        <v>0.88471708090957168</v>
      </c>
      <c r="G65" s="480">
        <f t="shared" ref="G65:H65" si="44">G58/(G$58+G$59+G$60)</f>
        <v>0.90743349631225656</v>
      </c>
      <c r="H65" s="480">
        <f t="shared" si="44"/>
        <v>0.92038103362479562</v>
      </c>
      <c r="I65" s="481">
        <f>AVERAGE(F65:H65)</f>
        <v>0.90417720361554121</v>
      </c>
      <c r="J65" s="12"/>
      <c r="K65" s="12"/>
      <c r="L65" s="12"/>
      <c r="M65" s="12" t="str">
        <f t="shared" ref="M65:M68" si="45">B65</f>
        <v>New estate</v>
      </c>
      <c r="N65" s="12"/>
      <c r="O65" s="12"/>
      <c r="P65" s="53"/>
      <c r="Q65" s="480">
        <f>Q58/(Q$58+Q$59+Q$60)</f>
        <v>0.89250814332247552</v>
      </c>
      <c r="R65" s="480">
        <f t="shared" ref="R65:S65" si="46">R58/(R$58+R$59+R$60)</f>
        <v>0.92105263157894735</v>
      </c>
      <c r="S65" s="480">
        <f t="shared" si="46"/>
        <v>0.9054945054945055</v>
      </c>
      <c r="T65" s="481">
        <f>AVERAGE(Q65:S65)</f>
        <v>0.90635176013197605</v>
      </c>
      <c r="U65" s="12"/>
      <c r="V65" s="12"/>
      <c r="W65" s="32"/>
    </row>
    <row r="66" spans="1:23" s="67" customFormat="1" ht="20.100000000000001" customHeight="1" x14ac:dyDescent="0.2">
      <c r="A66" s="66"/>
      <c r="B66" s="12" t="s">
        <v>330</v>
      </c>
      <c r="C66" s="12"/>
      <c r="D66" s="12"/>
      <c r="E66" s="53"/>
      <c r="F66" s="480">
        <f t="shared" ref="F66:H66" si="47">F59/(F$58+F$59+F$60)</f>
        <v>6.7160232681121104E-2</v>
      </c>
      <c r="G66" s="480">
        <f t="shared" si="47"/>
        <v>4.5661722051877018E-2</v>
      </c>
      <c r="H66" s="480">
        <f t="shared" si="47"/>
        <v>4.5070022037392479E-2</v>
      </c>
      <c r="I66" s="481">
        <f t="shared" ref="I66:I67" si="48">AVERAGE(F66:H66)</f>
        <v>5.2630658923463532E-2</v>
      </c>
      <c r="J66" s="12"/>
      <c r="K66" s="12"/>
      <c r="L66" s="12"/>
      <c r="M66" s="12" t="str">
        <f t="shared" si="45"/>
        <v>Existing area</v>
      </c>
      <c r="N66" s="12"/>
      <c r="O66" s="12"/>
      <c r="P66" s="53"/>
      <c r="Q66" s="480">
        <f t="shared" ref="Q66:S66" si="49">Q59/(Q$58+Q$59+Q$60)</f>
        <v>8.7947882736156349E-2</v>
      </c>
      <c r="R66" s="480">
        <f t="shared" si="49"/>
        <v>6.3596491228070179E-2</v>
      </c>
      <c r="S66" s="480">
        <f t="shared" si="49"/>
        <v>4.6153846153846156E-2</v>
      </c>
      <c r="T66" s="481">
        <f t="shared" ref="T66:T67" si="50">AVERAGE(Q66:S66)</f>
        <v>6.5899406706024233E-2</v>
      </c>
      <c r="U66" s="12"/>
      <c r="V66" s="12"/>
      <c r="W66" s="32"/>
    </row>
    <row r="67" spans="1:23" s="67" customFormat="1" ht="20.100000000000001" customHeight="1" x14ac:dyDescent="0.2">
      <c r="A67" s="66"/>
      <c r="B67" s="12" t="s">
        <v>332</v>
      </c>
      <c r="C67" s="12"/>
      <c r="D67" s="12"/>
      <c r="E67" s="53"/>
      <c r="F67" s="480">
        <f t="shared" ref="F67:H67" si="51">F60/(F$58+F$59+F$60)</f>
        <v>4.8122686409307246E-2</v>
      </c>
      <c r="G67" s="480">
        <f t="shared" si="51"/>
        <v>4.6904781635866415E-2</v>
      </c>
      <c r="H67" s="480">
        <f t="shared" si="51"/>
        <v>3.4548944337811902E-2</v>
      </c>
      <c r="I67" s="481">
        <f t="shared" si="48"/>
        <v>4.3192137460995185E-2</v>
      </c>
      <c r="J67" s="12"/>
      <c r="K67" s="12"/>
      <c r="L67" s="12"/>
      <c r="M67" s="12" t="str">
        <f t="shared" si="45"/>
        <v>Multi user</v>
      </c>
      <c r="N67" s="12"/>
      <c r="O67" s="12"/>
      <c r="P67" s="53"/>
      <c r="Q67" s="480">
        <f t="shared" ref="Q67:S67" si="52">Q60/(Q$58+Q$59+Q$60)</f>
        <v>1.9543973941368076E-2</v>
      </c>
      <c r="R67" s="480">
        <f t="shared" si="52"/>
        <v>1.5350877192982455E-2</v>
      </c>
      <c r="S67" s="480">
        <f t="shared" si="52"/>
        <v>4.8351648351648353E-2</v>
      </c>
      <c r="T67" s="481">
        <f t="shared" si="50"/>
        <v>2.7748833161999626E-2</v>
      </c>
      <c r="U67" s="12"/>
      <c r="V67" s="12"/>
      <c r="W67" s="32"/>
    </row>
    <row r="68" spans="1:23" s="67" customFormat="1" ht="20.100000000000001" customHeight="1" thickBot="1" x14ac:dyDescent="0.25">
      <c r="A68" s="66"/>
      <c r="B68" s="25" t="s">
        <v>92</v>
      </c>
      <c r="C68" s="25"/>
      <c r="D68" s="25"/>
      <c r="E68" s="470"/>
      <c r="F68" s="461">
        <f>SUM(F65:F67)</f>
        <v>1</v>
      </c>
      <c r="G68" s="461">
        <f>SUM(G65:G67)</f>
        <v>1</v>
      </c>
      <c r="H68" s="461">
        <f>SUM(H65:H67)</f>
        <v>1</v>
      </c>
      <c r="I68" s="460">
        <f>SUM(I65:I67)</f>
        <v>0.99999999999999989</v>
      </c>
      <c r="J68" s="12"/>
      <c r="K68" s="12"/>
      <c r="L68" s="12"/>
      <c r="M68" s="25" t="str">
        <f t="shared" si="45"/>
        <v>Total</v>
      </c>
      <c r="N68" s="25"/>
      <c r="O68" s="25"/>
      <c r="P68" s="470"/>
      <c r="Q68" s="461">
        <f>SUM(Q65:Q67)</f>
        <v>1</v>
      </c>
      <c r="R68" s="461">
        <f>SUM(R65:R67)</f>
        <v>1</v>
      </c>
      <c r="S68" s="461">
        <f>SUM(S65:S67)</f>
        <v>1</v>
      </c>
      <c r="T68" s="460">
        <f>SUM(T65:T67)</f>
        <v>0.99999999999999989</v>
      </c>
      <c r="U68" s="12"/>
      <c r="V68" s="12"/>
      <c r="W68" s="32"/>
    </row>
    <row r="69" spans="1:23" s="67" customFormat="1" ht="20.100000000000001" customHeight="1" x14ac:dyDescent="0.2">
      <c r="A69" s="66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32"/>
    </row>
    <row r="70" spans="1:23" s="67" customFormat="1" ht="20.100000000000001" customHeight="1" x14ac:dyDescent="0.2">
      <c r="A70" s="66"/>
      <c r="B70" s="569" t="s">
        <v>306</v>
      </c>
      <c r="C70" s="572"/>
      <c r="D70" s="572"/>
      <c r="E70" s="572"/>
      <c r="F70" s="573"/>
      <c r="G70" s="412"/>
      <c r="H70" s="412"/>
      <c r="I70" s="412"/>
      <c r="J70" s="12"/>
      <c r="K70" s="12"/>
      <c r="L70" s="12"/>
      <c r="M70" s="569" t="s">
        <v>306</v>
      </c>
      <c r="N70" s="572"/>
      <c r="O70" s="572"/>
      <c r="P70" s="572"/>
      <c r="Q70" s="573"/>
      <c r="R70" s="412"/>
      <c r="S70" s="412"/>
      <c r="T70" s="412"/>
      <c r="U70" s="12"/>
      <c r="V70" s="12"/>
      <c r="W70" s="32"/>
    </row>
    <row r="71" spans="1:23" s="67" customFormat="1" ht="20.100000000000001" customHeight="1" x14ac:dyDescent="0.2">
      <c r="A71" s="66"/>
      <c r="B71" s="574" t="s">
        <v>335</v>
      </c>
      <c r="C71" s="572"/>
      <c r="D71" s="572"/>
      <c r="E71" s="572"/>
      <c r="F71" s="575">
        <v>4</v>
      </c>
      <c r="G71" s="412"/>
      <c r="H71" s="412"/>
      <c r="I71" s="412"/>
      <c r="J71" s="12"/>
      <c r="K71" s="12"/>
      <c r="L71" s="12"/>
      <c r="M71" s="574" t="s">
        <v>335</v>
      </c>
      <c r="N71" s="572"/>
      <c r="O71" s="572"/>
      <c r="P71" s="572"/>
      <c r="Q71" s="575">
        <f>F71</f>
        <v>4</v>
      </c>
      <c r="R71" s="412"/>
      <c r="S71" s="412"/>
      <c r="T71" s="412"/>
      <c r="U71" s="12"/>
      <c r="V71" s="12"/>
      <c r="W71" s="32"/>
    </row>
    <row r="72" spans="1:23" s="67" customFormat="1" ht="20.100000000000001" customHeight="1" x14ac:dyDescent="0.2">
      <c r="A72" s="66"/>
      <c r="B72" s="394"/>
      <c r="C72" s="184"/>
      <c r="D72" s="184"/>
      <c r="E72" s="184"/>
      <c r="F72" s="411"/>
      <c r="G72" s="412"/>
      <c r="H72" s="412"/>
      <c r="I72" s="412"/>
      <c r="J72" s="12"/>
      <c r="K72" s="12"/>
      <c r="L72" s="12"/>
      <c r="M72" s="394"/>
      <c r="N72" s="184"/>
      <c r="O72" s="184"/>
      <c r="P72" s="184"/>
      <c r="Q72" s="411"/>
      <c r="R72" s="412"/>
      <c r="S72" s="412"/>
      <c r="T72" s="412"/>
      <c r="U72" s="12"/>
      <c r="V72" s="12"/>
      <c r="W72" s="32"/>
    </row>
    <row r="73" spans="1:23" s="67" customFormat="1" ht="20.100000000000001" customHeight="1" x14ac:dyDescent="0.2">
      <c r="A73" s="66"/>
      <c r="B73" s="10" t="s">
        <v>336</v>
      </c>
      <c r="C73" s="298"/>
      <c r="D73" s="420"/>
      <c r="E73" s="421"/>
      <c r="F73" s="422">
        <v>2018</v>
      </c>
      <c r="G73" s="421">
        <v>2019</v>
      </c>
      <c r="H73" s="421">
        <v>2020</v>
      </c>
      <c r="I73" s="421">
        <v>2021</v>
      </c>
      <c r="J73" s="421">
        <v>2022</v>
      </c>
      <c r="K73" s="490" t="s">
        <v>92</v>
      </c>
      <c r="L73" s="12"/>
      <c r="M73" s="10" t="str">
        <f>B73</f>
        <v>Implied Forecast of New Meters (with additional residential split)</v>
      </c>
      <c r="N73" s="298"/>
      <c r="O73" s="420"/>
      <c r="P73" s="421"/>
      <c r="Q73" s="422">
        <v>2018</v>
      </c>
      <c r="R73" s="421">
        <v>2019</v>
      </c>
      <c r="S73" s="421">
        <v>2020</v>
      </c>
      <c r="T73" s="421">
        <v>2021</v>
      </c>
      <c r="U73" s="421">
        <v>2022</v>
      </c>
      <c r="V73" s="490" t="s">
        <v>92</v>
      </c>
      <c r="W73" s="32"/>
    </row>
    <row r="74" spans="1:23" s="67" customFormat="1" ht="20.100000000000001" customHeight="1" x14ac:dyDescent="0.2">
      <c r="A74" s="66"/>
      <c r="B74" s="12" t="s">
        <v>299</v>
      </c>
      <c r="C74" s="12" t="s">
        <v>301</v>
      </c>
      <c r="D74" s="15"/>
      <c r="E74" s="15"/>
      <c r="F74" s="16">
        <v>12399.513231430317</v>
      </c>
      <c r="G74" s="17">
        <v>11692.764461283916</v>
      </c>
      <c r="H74" s="17">
        <v>11669.127231300668</v>
      </c>
      <c r="I74" s="17">
        <v>11926.401408957285</v>
      </c>
      <c r="J74" s="17">
        <v>12128.330864025513</v>
      </c>
      <c r="K74" s="13">
        <f>SUM(F74:J74)</f>
        <v>59816.137196997704</v>
      </c>
      <c r="L74" s="12"/>
      <c r="M74" s="12" t="str">
        <f t="shared" ref="M74:M78" si="53">B74</f>
        <v>New Residential Connections</v>
      </c>
      <c r="N74" s="12" t="str">
        <f t="shared" ref="N74:N77" si="54">C74</f>
        <v>New estate connections</v>
      </c>
      <c r="O74" s="15"/>
      <c r="P74" s="15"/>
      <c r="Q74" s="16">
        <v>370.25090819494932</v>
      </c>
      <c r="R74" s="17">
        <v>377.11681694627993</v>
      </c>
      <c r="S74" s="17">
        <v>384.11004666276534</v>
      </c>
      <c r="T74" s="17">
        <v>391.23295837610192</v>
      </c>
      <c r="U74" s="17">
        <v>398.48795690080078</v>
      </c>
      <c r="V74" s="13">
        <f>SUM(Q74:U74)</f>
        <v>1921.1986870808973</v>
      </c>
      <c r="W74" s="32"/>
    </row>
    <row r="75" spans="1:23" s="67" customFormat="1" ht="20.100000000000001" customHeight="1" x14ac:dyDescent="0.2">
      <c r="A75" s="66"/>
      <c r="B75" s="12"/>
      <c r="C75" s="12" t="s">
        <v>302</v>
      </c>
      <c r="D75" s="15"/>
      <c r="E75" s="15"/>
      <c r="F75" s="16">
        <v>842.49146022942284</v>
      </c>
      <c r="G75" s="17">
        <v>794.47104263216625</v>
      </c>
      <c r="H75" s="17">
        <v>792.86499858570448</v>
      </c>
      <c r="I75" s="17">
        <v>810.34562815298648</v>
      </c>
      <c r="J75" s="17">
        <v>824.0658313810078</v>
      </c>
      <c r="K75" s="16">
        <f t="shared" ref="K75:K77" si="55">SUM(F75:J75)</f>
        <v>4064.2389609812881</v>
      </c>
      <c r="L75" s="12"/>
      <c r="M75" s="12"/>
      <c r="N75" s="12" t="str">
        <f t="shared" si="54"/>
        <v>Existing homes</v>
      </c>
      <c r="O75" s="15"/>
      <c r="P75" s="15"/>
      <c r="Q75" s="16">
        <v>29.643007217892272</v>
      </c>
      <c r="R75" s="17">
        <v>30.192705215029719</v>
      </c>
      <c r="S75" s="17">
        <v>30.752596776060017</v>
      </c>
      <c r="T75" s="17">
        <v>31.322870929768964</v>
      </c>
      <c r="U75" s="17">
        <v>31.903720210279605</v>
      </c>
      <c r="V75" s="16">
        <f t="shared" ref="V75:V77" si="56">SUM(Q75:U75)</f>
        <v>153.81490034903058</v>
      </c>
      <c r="W75" s="32"/>
    </row>
    <row r="76" spans="1:23" s="67" customFormat="1" ht="20.100000000000001" customHeight="1" x14ac:dyDescent="0.2">
      <c r="A76" s="66"/>
      <c r="B76" s="12"/>
      <c r="C76" s="12" t="s">
        <v>304</v>
      </c>
      <c r="D76" s="15"/>
      <c r="E76" s="15"/>
      <c r="F76" s="16">
        <v>2765.6128731248718</v>
      </c>
      <c r="G76" s="17">
        <v>2607.9781772863648</v>
      </c>
      <c r="H76" s="17">
        <v>2602.7060810107646</v>
      </c>
      <c r="I76" s="17">
        <v>2660.0890414842602</v>
      </c>
      <c r="J76" s="17">
        <v>2705.1278014723698</v>
      </c>
      <c r="K76" s="16">
        <f t="shared" si="55"/>
        <v>13341.513974378631</v>
      </c>
      <c r="L76" s="12"/>
      <c r="M76" s="12"/>
      <c r="N76" s="12" t="str">
        <f t="shared" si="54"/>
        <v>Multi-User connections</v>
      </c>
      <c r="O76" s="15"/>
      <c r="P76" s="15"/>
      <c r="Q76" s="16">
        <v>49.92814975580341</v>
      </c>
      <c r="R76" s="17">
        <v>50.854014116318687</v>
      </c>
      <c r="S76" s="17">
        <v>51.797047645294057</v>
      </c>
      <c r="T76" s="17">
        <v>52.757568726672687</v>
      </c>
      <c r="U76" s="17">
        <v>53.735901648488436</v>
      </c>
      <c r="V76" s="16">
        <f t="shared" si="56"/>
        <v>259.07268189257729</v>
      </c>
      <c r="W76" s="32"/>
    </row>
    <row r="77" spans="1:23" s="67" customFormat="1" ht="20.100000000000001" customHeight="1" x14ac:dyDescent="0.2">
      <c r="A77" s="66"/>
      <c r="B77" s="12" t="s">
        <v>300</v>
      </c>
      <c r="C77" s="12" t="s">
        <v>303</v>
      </c>
      <c r="D77" s="15"/>
      <c r="E77" s="15"/>
      <c r="F77" s="16">
        <v>331.57027284530307</v>
      </c>
      <c r="G77" s="17">
        <v>333.53041049520652</v>
      </c>
      <c r="H77" s="17">
        <v>335.50403587734621</v>
      </c>
      <c r="I77" s="17">
        <v>337.49128481371821</v>
      </c>
      <c r="J77" s="17">
        <v>339.49229509006523</v>
      </c>
      <c r="K77" s="59">
        <f t="shared" si="55"/>
        <v>1677.5882991216392</v>
      </c>
      <c r="L77" s="12"/>
      <c r="M77" s="12" t="str">
        <f t="shared" si="53"/>
        <v>New Commercial Connections</v>
      </c>
      <c r="N77" s="12" t="str">
        <f t="shared" si="54"/>
        <v>I&amp;C&lt;10TJ</v>
      </c>
      <c r="O77" s="15"/>
      <c r="P77" s="15"/>
      <c r="Q77" s="16">
        <v>24.827691977262141</v>
      </c>
      <c r="R77" s="17">
        <v>24.971577282637391</v>
      </c>
      <c r="S77" s="17">
        <v>25.116296454532421</v>
      </c>
      <c r="T77" s="17">
        <v>25.26185432550038</v>
      </c>
      <c r="U77" s="17">
        <v>25.408255756100484</v>
      </c>
      <c r="V77" s="59">
        <f t="shared" si="56"/>
        <v>125.58567579603282</v>
      </c>
      <c r="W77" s="32"/>
    </row>
    <row r="78" spans="1:23" s="67" customFormat="1" ht="20.100000000000001" customHeight="1" thickBot="1" x14ac:dyDescent="0.25">
      <c r="A78" s="66"/>
      <c r="B78" s="25" t="s">
        <v>82</v>
      </c>
      <c r="C78" s="25"/>
      <c r="D78" s="27"/>
      <c r="E78" s="27"/>
      <c r="F78" s="26">
        <f>SUM(F74:F77)</f>
        <v>16339.187837629916</v>
      </c>
      <c r="G78" s="27">
        <f t="shared" ref="G78:K78" si="57">SUM(G74:G77)</f>
        <v>15428.744091697654</v>
      </c>
      <c r="H78" s="27">
        <f t="shared" si="57"/>
        <v>15400.202346774484</v>
      </c>
      <c r="I78" s="27">
        <f t="shared" si="57"/>
        <v>15734.327363408249</v>
      </c>
      <c r="J78" s="27">
        <f t="shared" si="57"/>
        <v>15997.016791968956</v>
      </c>
      <c r="K78" s="26">
        <f t="shared" si="57"/>
        <v>78899.478431479263</v>
      </c>
      <c r="L78" s="12"/>
      <c r="M78" s="25" t="str">
        <f t="shared" si="53"/>
        <v xml:space="preserve">Total </v>
      </c>
      <c r="N78" s="25"/>
      <c r="O78" s="27"/>
      <c r="P78" s="27"/>
      <c r="Q78" s="26">
        <f>SUM(Q74:Q77)</f>
        <v>474.64975714590713</v>
      </c>
      <c r="R78" s="27">
        <f t="shared" ref="R78:V78" si="58">SUM(R74:R77)</f>
        <v>483.13511356026572</v>
      </c>
      <c r="S78" s="27">
        <f t="shared" si="58"/>
        <v>491.7759875386518</v>
      </c>
      <c r="T78" s="27">
        <f t="shared" si="58"/>
        <v>500.57525235804394</v>
      </c>
      <c r="U78" s="27">
        <f t="shared" si="58"/>
        <v>509.53583451566931</v>
      </c>
      <c r="V78" s="26">
        <f t="shared" si="58"/>
        <v>2459.6719451185381</v>
      </c>
      <c r="W78" s="32"/>
    </row>
    <row r="79" spans="1:23" s="67" customFormat="1" ht="20.100000000000001" customHeight="1" x14ac:dyDescent="0.2">
      <c r="A79" s="66"/>
      <c r="B79" s="488" t="s">
        <v>11</v>
      </c>
      <c r="C79" s="488"/>
      <c r="D79" s="489"/>
      <c r="E79" s="489"/>
      <c r="F79" s="489"/>
      <c r="G79" s="489"/>
      <c r="H79" s="489"/>
      <c r="I79" s="489"/>
      <c r="J79" s="489"/>
      <c r="K79" s="489"/>
      <c r="L79" s="66"/>
      <c r="M79" s="488" t="s">
        <v>11</v>
      </c>
      <c r="N79" s="488"/>
      <c r="O79" s="489"/>
      <c r="P79" s="489"/>
      <c r="Q79" s="489"/>
      <c r="R79" s="489"/>
      <c r="S79" s="489"/>
      <c r="T79" s="489"/>
      <c r="U79" s="489"/>
      <c r="V79" s="489"/>
      <c r="W79" s="32"/>
    </row>
    <row r="80" spans="1:23" s="67" customFormat="1" ht="20.100000000000001" customHeight="1" x14ac:dyDescent="0.2">
      <c r="A80" s="66"/>
      <c r="B80" s="394"/>
      <c r="C80" s="184"/>
      <c r="D80" s="184"/>
      <c r="E80" s="184"/>
      <c r="F80" s="411"/>
      <c r="G80" s="412"/>
      <c r="H80" s="412"/>
      <c r="I80" s="412"/>
      <c r="J80" s="12"/>
      <c r="K80" s="12"/>
      <c r="L80" s="12"/>
      <c r="M80" s="394"/>
      <c r="N80" s="184"/>
      <c r="O80" s="184"/>
      <c r="P80" s="184"/>
      <c r="Q80" s="411"/>
      <c r="R80" s="412"/>
      <c r="S80" s="412"/>
      <c r="T80" s="412"/>
      <c r="U80" s="12"/>
      <c r="V80" s="12"/>
      <c r="W80" s="32"/>
    </row>
    <row r="81" spans="1:23" s="67" customFormat="1" ht="20.100000000000001" customHeight="1" x14ac:dyDescent="0.2">
      <c r="A81" s="12"/>
      <c r="B81" s="10" t="s">
        <v>305</v>
      </c>
      <c r="C81" s="298"/>
      <c r="D81" s="420"/>
      <c r="E81" s="421"/>
      <c r="F81" s="422">
        <v>2018</v>
      </c>
      <c r="G81" s="421">
        <v>2019</v>
      </c>
      <c r="H81" s="421">
        <v>2020</v>
      </c>
      <c r="I81" s="421">
        <v>2021</v>
      </c>
      <c r="J81" s="421">
        <v>2022</v>
      </c>
      <c r="K81" s="490" t="s">
        <v>92</v>
      </c>
      <c r="L81" s="12"/>
      <c r="M81" s="10" t="str">
        <f>B81</f>
        <v>Volume Forecast for "New Services" Growth Capex</v>
      </c>
      <c r="N81" s="298"/>
      <c r="O81" s="420"/>
      <c r="P81" s="421"/>
      <c r="Q81" s="422">
        <v>2018</v>
      </c>
      <c r="R81" s="421">
        <v>2019</v>
      </c>
      <c r="S81" s="421">
        <v>2020</v>
      </c>
      <c r="T81" s="421">
        <v>2021</v>
      </c>
      <c r="U81" s="421">
        <v>2022</v>
      </c>
      <c r="V81" s="490" t="s">
        <v>92</v>
      </c>
      <c r="W81" s="32"/>
    </row>
    <row r="82" spans="1:23" s="67" customFormat="1" ht="20.100000000000001" customHeight="1" x14ac:dyDescent="0.2">
      <c r="A82" s="66"/>
      <c r="B82" s="12" t="s">
        <v>299</v>
      </c>
      <c r="C82" s="12" t="s">
        <v>301</v>
      </c>
      <c r="D82" s="15"/>
      <c r="E82" s="15"/>
      <c r="F82" s="627" t="s">
        <v>445</v>
      </c>
      <c r="G82" s="628" t="s">
        <v>445</v>
      </c>
      <c r="H82" s="628" t="s">
        <v>445</v>
      </c>
      <c r="I82" s="628" t="s">
        <v>445</v>
      </c>
      <c r="J82" s="628" t="s">
        <v>445</v>
      </c>
      <c r="K82" s="13">
        <v>59816.137196997704</v>
      </c>
      <c r="L82" s="12"/>
      <c r="M82" s="12" t="str">
        <f t="shared" ref="M82:M86" si="59">B82</f>
        <v>New Residential Connections</v>
      </c>
      <c r="N82" s="12" t="str">
        <f t="shared" ref="N82:N85" si="60">C82</f>
        <v>New estate connections</v>
      </c>
      <c r="O82" s="15"/>
      <c r="P82" s="15"/>
      <c r="Q82" s="627" t="s">
        <v>445</v>
      </c>
      <c r="R82" s="628" t="s">
        <v>445</v>
      </c>
      <c r="S82" s="628" t="s">
        <v>445</v>
      </c>
      <c r="T82" s="628" t="s">
        <v>445</v>
      </c>
      <c r="U82" s="628" t="s">
        <v>445</v>
      </c>
      <c r="V82" s="13">
        <v>1921.1986870808973</v>
      </c>
      <c r="W82" s="32"/>
    </row>
    <row r="83" spans="1:23" s="67" customFormat="1" ht="20.100000000000001" customHeight="1" x14ac:dyDescent="0.2">
      <c r="A83" s="66"/>
      <c r="B83" s="12"/>
      <c r="C83" s="12" t="s">
        <v>302</v>
      </c>
      <c r="D83" s="15"/>
      <c r="E83" s="15"/>
      <c r="F83" s="627" t="s">
        <v>445</v>
      </c>
      <c r="G83" s="628" t="s">
        <v>445</v>
      </c>
      <c r="H83" s="628" t="s">
        <v>445</v>
      </c>
      <c r="I83" s="628" t="s">
        <v>445</v>
      </c>
      <c r="J83" s="628" t="s">
        <v>445</v>
      </c>
      <c r="K83" s="16">
        <v>4064.2389609812881</v>
      </c>
      <c r="L83" s="12"/>
      <c r="M83" s="12"/>
      <c r="N83" s="12" t="str">
        <f t="shared" si="60"/>
        <v>Existing homes</v>
      </c>
      <c r="O83" s="15"/>
      <c r="P83" s="15"/>
      <c r="Q83" s="627" t="s">
        <v>445</v>
      </c>
      <c r="R83" s="628" t="s">
        <v>445</v>
      </c>
      <c r="S83" s="628" t="s">
        <v>445</v>
      </c>
      <c r="T83" s="628" t="s">
        <v>445</v>
      </c>
      <c r="U83" s="628" t="s">
        <v>445</v>
      </c>
      <c r="V83" s="16">
        <v>153.81490034903058</v>
      </c>
      <c r="W83" s="32"/>
    </row>
    <row r="84" spans="1:23" s="67" customFormat="1" ht="20.100000000000001" customHeight="1" x14ac:dyDescent="0.2">
      <c r="A84" s="66"/>
      <c r="B84" s="12"/>
      <c r="C84" s="12" t="s">
        <v>304</v>
      </c>
      <c r="D84" s="15"/>
      <c r="E84" s="15"/>
      <c r="F84" s="627" t="s">
        <v>445</v>
      </c>
      <c r="G84" s="628" t="s">
        <v>445</v>
      </c>
      <c r="H84" s="628" t="s">
        <v>445</v>
      </c>
      <c r="I84" s="628" t="s">
        <v>445</v>
      </c>
      <c r="J84" s="628" t="s">
        <v>445</v>
      </c>
      <c r="K84" s="16">
        <v>3335.3784935946578</v>
      </c>
      <c r="L84" s="12"/>
      <c r="M84" s="12"/>
      <c r="N84" s="12" t="str">
        <f t="shared" si="60"/>
        <v>Multi-User connections</v>
      </c>
      <c r="O84" s="15"/>
      <c r="P84" s="15"/>
      <c r="Q84" s="627" t="s">
        <v>445</v>
      </c>
      <c r="R84" s="628" t="s">
        <v>445</v>
      </c>
      <c r="S84" s="628" t="s">
        <v>445</v>
      </c>
      <c r="T84" s="628" t="s">
        <v>445</v>
      </c>
      <c r="U84" s="628" t="s">
        <v>445</v>
      </c>
      <c r="V84" s="16">
        <v>64.768170473144323</v>
      </c>
      <c r="W84" s="32"/>
    </row>
    <row r="85" spans="1:23" s="67" customFormat="1" ht="20.100000000000001" customHeight="1" x14ac:dyDescent="0.2">
      <c r="A85" s="66"/>
      <c r="B85" s="12" t="s">
        <v>300</v>
      </c>
      <c r="C85" s="12" t="s">
        <v>303</v>
      </c>
      <c r="D85" s="15"/>
      <c r="E85" s="15"/>
      <c r="F85" s="627" t="s">
        <v>445</v>
      </c>
      <c r="G85" s="628" t="s">
        <v>445</v>
      </c>
      <c r="H85" s="628" t="s">
        <v>445</v>
      </c>
      <c r="I85" s="628" t="s">
        <v>445</v>
      </c>
      <c r="J85" s="628" t="s">
        <v>445</v>
      </c>
      <c r="K85" s="59">
        <v>1677.5882991216392</v>
      </c>
      <c r="L85" s="12"/>
      <c r="M85" s="12" t="str">
        <f t="shared" si="59"/>
        <v>New Commercial Connections</v>
      </c>
      <c r="N85" s="12" t="str">
        <f t="shared" si="60"/>
        <v>I&amp;C&lt;10TJ</v>
      </c>
      <c r="O85" s="15"/>
      <c r="P85" s="15"/>
      <c r="Q85" s="627" t="s">
        <v>445</v>
      </c>
      <c r="R85" s="628" t="s">
        <v>445</v>
      </c>
      <c r="S85" s="628" t="s">
        <v>445</v>
      </c>
      <c r="T85" s="628" t="s">
        <v>445</v>
      </c>
      <c r="U85" s="628" t="s">
        <v>445</v>
      </c>
      <c r="V85" s="59">
        <v>125.58567579603282</v>
      </c>
      <c r="W85" s="32"/>
    </row>
    <row r="86" spans="1:23" s="67" customFormat="1" ht="20.100000000000001" customHeight="1" thickBot="1" x14ac:dyDescent="0.25">
      <c r="A86" s="66"/>
      <c r="B86" s="25" t="s">
        <v>82</v>
      </c>
      <c r="C86" s="25"/>
      <c r="D86" s="27"/>
      <c r="E86" s="27"/>
      <c r="F86" s="26">
        <v>14264.978182786261</v>
      </c>
      <c r="G86" s="27">
        <v>13472.760458732881</v>
      </c>
      <c r="H86" s="27">
        <v>13448.17278601641</v>
      </c>
      <c r="I86" s="27">
        <v>13739.260582295054</v>
      </c>
      <c r="J86" s="27">
        <v>13968.170940864678</v>
      </c>
      <c r="K86" s="26">
        <v>68893.342950695282</v>
      </c>
      <c r="L86" s="12"/>
      <c r="M86" s="25" t="str">
        <f t="shared" si="59"/>
        <v xml:space="preserve">Total </v>
      </c>
      <c r="N86" s="25"/>
      <c r="O86" s="27"/>
      <c r="P86" s="27"/>
      <c r="Q86" s="26">
        <v>437.20364482905455</v>
      </c>
      <c r="R86" s="27">
        <v>444.9946029730267</v>
      </c>
      <c r="S86" s="27">
        <v>452.92820180468124</v>
      </c>
      <c r="T86" s="27">
        <v>461.00707581303942</v>
      </c>
      <c r="U86" s="27">
        <v>469.23390827930297</v>
      </c>
      <c r="V86" s="26">
        <v>2265.3674336991053</v>
      </c>
      <c r="W86" s="32"/>
    </row>
    <row r="87" spans="1:23" s="67" customFormat="1" ht="20.100000000000001" customHeight="1" x14ac:dyDescent="0.2">
      <c r="A87" s="66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32"/>
    </row>
    <row r="88" spans="1:23" s="67" customFormat="1" ht="29.25" customHeight="1" x14ac:dyDescent="0.2">
      <c r="A88" s="66"/>
      <c r="B88" s="354" t="s">
        <v>331</v>
      </c>
      <c r="C88" s="354"/>
      <c r="D88" s="355"/>
      <c r="E88" s="355"/>
      <c r="F88" s="355"/>
      <c r="G88" s="355"/>
      <c r="H88" s="355"/>
      <c r="I88" s="355"/>
      <c r="J88" s="355"/>
      <c r="K88" s="355"/>
      <c r="L88" s="12"/>
      <c r="M88" s="354" t="s">
        <v>331</v>
      </c>
      <c r="N88" s="354"/>
      <c r="O88" s="355"/>
      <c r="P88" s="355"/>
      <c r="Q88" s="355"/>
      <c r="R88" s="355"/>
      <c r="S88" s="355"/>
      <c r="T88" s="355"/>
      <c r="U88" s="355"/>
      <c r="V88" s="355"/>
      <c r="W88" s="32"/>
    </row>
    <row r="89" spans="1:23" s="67" customFormat="1" ht="20.100000000000001" customHeight="1" x14ac:dyDescent="0.2">
      <c r="A89" s="66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32"/>
    </row>
    <row r="90" spans="1:23" s="67" customFormat="1" ht="20.100000000000001" customHeight="1" x14ac:dyDescent="0.2">
      <c r="A90" s="66"/>
      <c r="B90" s="10" t="s">
        <v>312</v>
      </c>
      <c r="C90" s="298"/>
      <c r="D90" s="298"/>
      <c r="E90" s="326"/>
      <c r="F90" s="421">
        <v>2013</v>
      </c>
      <c r="G90" s="421">
        <v>2014</v>
      </c>
      <c r="H90" s="421">
        <v>2015</v>
      </c>
      <c r="I90" s="479" t="s">
        <v>66</v>
      </c>
      <c r="J90" s="12"/>
      <c r="K90" s="12"/>
      <c r="L90" s="12"/>
      <c r="M90" s="10" t="str">
        <f>B90</f>
        <v>Historic New Mains (metres)</v>
      </c>
      <c r="N90" s="298"/>
      <c r="O90" s="298"/>
      <c r="P90" s="326"/>
      <c r="Q90" s="421">
        <v>2013</v>
      </c>
      <c r="R90" s="421">
        <v>2014</v>
      </c>
      <c r="S90" s="421">
        <v>2015</v>
      </c>
      <c r="T90" s="479" t="s">
        <v>66</v>
      </c>
      <c r="U90" s="12"/>
      <c r="V90" s="12"/>
      <c r="W90" s="32"/>
    </row>
    <row r="91" spans="1:23" s="67" customFormat="1" ht="20.100000000000001" customHeight="1" x14ac:dyDescent="0.2">
      <c r="A91" s="66"/>
      <c r="B91" s="12" t="s">
        <v>329</v>
      </c>
      <c r="C91" s="12"/>
      <c r="D91" s="12"/>
      <c r="E91" s="53"/>
      <c r="F91" s="15">
        <v>92540</v>
      </c>
      <c r="G91" s="15">
        <v>115948</v>
      </c>
      <c r="H91" s="15">
        <v>155621</v>
      </c>
      <c r="I91" s="16">
        <f t="shared" ref="I91" si="61">AVERAGEIF(F91:H91,"&gt;0")</f>
        <v>121369.66666666667</v>
      </c>
      <c r="J91" s="12"/>
      <c r="K91" s="12"/>
      <c r="L91" s="12"/>
      <c r="M91" s="12" t="str">
        <f t="shared" ref="M91:M93" si="62">B91</f>
        <v>New estate</v>
      </c>
      <c r="N91" s="12"/>
      <c r="O91" s="12"/>
      <c r="P91" s="53"/>
      <c r="Q91" s="15">
        <v>5763</v>
      </c>
      <c r="R91" s="15">
        <v>5506</v>
      </c>
      <c r="S91" s="15">
        <v>3852</v>
      </c>
      <c r="T91" s="16">
        <f t="shared" ref="T91" si="63">AVERAGEIF(Q91:S91,"&gt;0")</f>
        <v>5040.333333333333</v>
      </c>
      <c r="U91" s="12"/>
      <c r="V91" s="12"/>
      <c r="W91" s="32"/>
    </row>
    <row r="92" spans="1:23" s="67" customFormat="1" ht="20.100000000000001" customHeight="1" x14ac:dyDescent="0.2">
      <c r="A92" s="66"/>
      <c r="B92" s="12" t="s">
        <v>330</v>
      </c>
      <c r="C92" s="12"/>
      <c r="D92" s="12"/>
      <c r="E92" s="53"/>
      <c r="F92" s="15">
        <v>1642</v>
      </c>
      <c r="G92" s="15">
        <v>3398</v>
      </c>
      <c r="H92" s="15">
        <v>13645</v>
      </c>
      <c r="I92" s="16">
        <f>AVERAGEIF(F92:H92,"&gt;0")</f>
        <v>6228.333333333333</v>
      </c>
      <c r="J92" s="12"/>
      <c r="K92" s="12"/>
      <c r="L92" s="12"/>
      <c r="M92" s="12" t="str">
        <f t="shared" si="62"/>
        <v>Existing area</v>
      </c>
      <c r="N92" s="12"/>
      <c r="O92" s="12"/>
      <c r="P92" s="53"/>
      <c r="Q92" s="15">
        <v>0</v>
      </c>
      <c r="R92" s="15">
        <v>0</v>
      </c>
      <c r="S92" s="15">
        <v>28</v>
      </c>
      <c r="T92" s="16">
        <f>AVERAGEIF(Q92:S92,"&gt;0")</f>
        <v>28</v>
      </c>
      <c r="U92" s="12"/>
      <c r="V92" s="12"/>
      <c r="W92" s="32"/>
    </row>
    <row r="93" spans="1:23" s="67" customFormat="1" ht="20.100000000000001" customHeight="1" x14ac:dyDescent="0.2">
      <c r="A93" s="66"/>
      <c r="B93" s="298" t="s">
        <v>303</v>
      </c>
      <c r="C93" s="298"/>
      <c r="D93" s="298"/>
      <c r="E93" s="326"/>
      <c r="F93" s="60">
        <v>3431</v>
      </c>
      <c r="G93" s="60">
        <v>1627</v>
      </c>
      <c r="H93" s="60">
        <v>4830</v>
      </c>
      <c r="I93" s="59">
        <f t="shared" ref="I93" si="64">AVERAGEIF(F93:H93,"&gt;0")</f>
        <v>3296</v>
      </c>
      <c r="J93" s="12"/>
      <c r="K93" s="12"/>
      <c r="L93" s="12"/>
      <c r="M93" s="298" t="str">
        <f t="shared" si="62"/>
        <v>I&amp;C&lt;10TJ</v>
      </c>
      <c r="N93" s="298"/>
      <c r="O93" s="298"/>
      <c r="P93" s="326"/>
      <c r="Q93" s="60">
        <v>430</v>
      </c>
      <c r="R93" s="60">
        <v>0</v>
      </c>
      <c r="S93" s="60">
        <v>241</v>
      </c>
      <c r="T93" s="59">
        <f t="shared" ref="T93" si="65">AVERAGEIF(Q93:S93,"&gt;0")</f>
        <v>335.5</v>
      </c>
      <c r="U93" s="12"/>
      <c r="V93" s="12"/>
      <c r="W93" s="32"/>
    </row>
    <row r="94" spans="1:23" s="67" customFormat="1" ht="20.100000000000001" customHeight="1" x14ac:dyDescent="0.2">
      <c r="A94" s="66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32"/>
    </row>
    <row r="95" spans="1:23" s="67" customFormat="1" ht="20.100000000000001" customHeight="1" x14ac:dyDescent="0.2">
      <c r="A95" s="66"/>
      <c r="B95" s="178" t="s">
        <v>328</v>
      </c>
      <c r="C95" s="183"/>
      <c r="D95" s="420"/>
      <c r="E95" s="421"/>
      <c r="F95" s="422">
        <v>2013</v>
      </c>
      <c r="G95" s="421">
        <v>2014</v>
      </c>
      <c r="H95" s="421">
        <v>2015</v>
      </c>
      <c r="I95" s="422" t="s">
        <v>66</v>
      </c>
      <c r="J95" s="12"/>
      <c r="K95" s="12"/>
      <c r="L95" s="12"/>
      <c r="M95" s="178" t="str">
        <f>B95</f>
        <v>Historic ratio of metres per new main laid</v>
      </c>
      <c r="N95" s="183"/>
      <c r="O95" s="420"/>
      <c r="P95" s="421"/>
      <c r="Q95" s="422">
        <v>2013</v>
      </c>
      <c r="R95" s="421">
        <v>2014</v>
      </c>
      <c r="S95" s="421">
        <v>2015</v>
      </c>
      <c r="T95" s="422" t="s">
        <v>66</v>
      </c>
      <c r="U95" s="12"/>
      <c r="V95" s="12"/>
      <c r="W95" s="32"/>
    </row>
    <row r="96" spans="1:23" s="67" customFormat="1" ht="20.100000000000001" customHeight="1" x14ac:dyDescent="0.2">
      <c r="A96" s="66"/>
      <c r="B96" s="81" t="s">
        <v>329</v>
      </c>
      <c r="C96" s="81"/>
      <c r="D96" s="81"/>
      <c r="E96" s="53"/>
      <c r="F96" s="120">
        <f>F91/F58</f>
        <v>9.2189679218967928</v>
      </c>
      <c r="G96" s="120">
        <f>G91/G58</f>
        <v>10.588858447488585</v>
      </c>
      <c r="H96" s="120">
        <f>H91/H58</f>
        <v>12.019850158337839</v>
      </c>
      <c r="I96" s="179">
        <f t="shared" ref="I96" si="66">AVERAGEIF(F96:H96,"&gt;0")</f>
        <v>10.609225509241073</v>
      </c>
      <c r="J96" s="12"/>
      <c r="K96" s="12"/>
      <c r="L96" s="12"/>
      <c r="M96" s="81" t="str">
        <f t="shared" ref="M96:M98" si="67">B96</f>
        <v>New estate</v>
      </c>
      <c r="N96" s="81"/>
      <c r="O96" s="81"/>
      <c r="P96" s="53"/>
      <c r="Q96" s="120">
        <f>Q91/Q58</f>
        <v>21.032846715328468</v>
      </c>
      <c r="R96" s="120">
        <f>R91/R58</f>
        <v>13.109523809523809</v>
      </c>
      <c r="S96" s="120">
        <f>S91/S58</f>
        <v>9.349514563106796</v>
      </c>
      <c r="T96" s="179">
        <f t="shared" ref="T96:T98" si="68">AVERAGEIF(Q96:S96,"&gt;0")</f>
        <v>14.497295029319689</v>
      </c>
      <c r="U96" s="12"/>
      <c r="V96" s="12"/>
      <c r="W96" s="32"/>
    </row>
    <row r="97" spans="1:23" s="67" customFormat="1" ht="20.100000000000001" customHeight="1" x14ac:dyDescent="0.2">
      <c r="A97" s="66"/>
      <c r="B97" s="81" t="s">
        <v>330</v>
      </c>
      <c r="C97" s="81"/>
      <c r="D97" s="81"/>
      <c r="E97" s="81"/>
      <c r="F97" s="472">
        <f>F92/(F59+F60)</f>
        <v>1.2553516819571866</v>
      </c>
      <c r="G97" s="473">
        <f>G92/(G59+G60)</f>
        <v>3.0420769919427038</v>
      </c>
      <c r="H97" s="476">
        <f>H92/(H59+H60)</f>
        <v>12.183035714285714</v>
      </c>
      <c r="I97" s="180">
        <f>AVERAGEIF(F97:H97,"&gt;0")</f>
        <v>5.4934881293952005</v>
      </c>
      <c r="J97" s="12"/>
      <c r="K97" s="12"/>
      <c r="L97" s="12"/>
      <c r="M97" s="81" t="str">
        <f t="shared" si="67"/>
        <v>Existing area</v>
      </c>
      <c r="N97" s="81"/>
      <c r="O97" s="81"/>
      <c r="P97" s="81"/>
      <c r="Q97" s="472">
        <f>Q92/(Q59+Q60)</f>
        <v>0</v>
      </c>
      <c r="R97" s="473">
        <f>R92/(R59+R60)</f>
        <v>0</v>
      </c>
      <c r="S97" s="476">
        <f>S92/(S59+S60)</f>
        <v>0.65116279069767447</v>
      </c>
      <c r="T97" s="180">
        <f t="shared" si="68"/>
        <v>0.65116279069767447</v>
      </c>
      <c r="U97" s="12"/>
      <c r="V97" s="12"/>
      <c r="W97" s="32"/>
    </row>
    <row r="98" spans="1:23" s="67" customFormat="1" ht="20.100000000000001" customHeight="1" x14ac:dyDescent="0.2">
      <c r="A98" s="66"/>
      <c r="B98" s="298" t="s">
        <v>303</v>
      </c>
      <c r="C98" s="298"/>
      <c r="D98" s="298"/>
      <c r="E98" s="298"/>
      <c r="F98" s="474">
        <f>F93/F61</f>
        <v>18.446236559139784</v>
      </c>
      <c r="G98" s="475">
        <f>G93/G61</f>
        <v>8.5183246073298431</v>
      </c>
      <c r="H98" s="477">
        <f>H93/H61</f>
        <v>21.855203619909503</v>
      </c>
      <c r="I98" s="478">
        <f t="shared" ref="I98" si="69">AVERAGEIF(F98:H98,"&gt;0")</f>
        <v>16.273254928793044</v>
      </c>
      <c r="J98" s="12"/>
      <c r="K98" s="12"/>
      <c r="L98" s="12"/>
      <c r="M98" s="298" t="str">
        <f t="shared" si="67"/>
        <v>I&amp;C&lt;10TJ</v>
      </c>
      <c r="N98" s="298"/>
      <c r="O98" s="298"/>
      <c r="P98" s="298"/>
      <c r="Q98" s="474">
        <f>Q93/Q61</f>
        <v>26.875</v>
      </c>
      <c r="R98" s="475">
        <f>R93/R61</f>
        <v>0</v>
      </c>
      <c r="S98" s="477">
        <f>S93/S61</f>
        <v>12.05</v>
      </c>
      <c r="T98" s="478">
        <f t="shared" si="68"/>
        <v>19.462499999999999</v>
      </c>
      <c r="U98" s="12"/>
      <c r="V98" s="12"/>
      <c r="W98" s="32"/>
    </row>
    <row r="99" spans="1:23" s="67" customFormat="1" ht="20.100000000000001" customHeight="1" x14ac:dyDescent="0.2">
      <c r="A99" s="66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32"/>
    </row>
    <row r="100" spans="1:23" s="424" customFormat="1" ht="20.100000000000001" customHeight="1" x14ac:dyDescent="0.2">
      <c r="A100" s="12"/>
      <c r="B100" s="10" t="s">
        <v>337</v>
      </c>
      <c r="C100" s="298"/>
      <c r="D100" s="420"/>
      <c r="E100" s="421"/>
      <c r="F100" s="422">
        <v>2018</v>
      </c>
      <c r="G100" s="423">
        <v>2019</v>
      </c>
      <c r="H100" s="423">
        <v>2020</v>
      </c>
      <c r="I100" s="423">
        <v>2021</v>
      </c>
      <c r="J100" s="421">
        <v>2022</v>
      </c>
      <c r="K100" s="422" t="s">
        <v>92</v>
      </c>
      <c r="L100" s="12"/>
      <c r="M100" s="10" t="str">
        <f>B100</f>
        <v>New Services forecast for the purposes of "New Mains" Growth Capex</v>
      </c>
      <c r="N100" s="298"/>
      <c r="O100" s="420"/>
      <c r="P100" s="421"/>
      <c r="Q100" s="422">
        <v>2018</v>
      </c>
      <c r="R100" s="423">
        <v>2019</v>
      </c>
      <c r="S100" s="423">
        <v>2020</v>
      </c>
      <c r="T100" s="423">
        <v>2021</v>
      </c>
      <c r="U100" s="421">
        <v>2022</v>
      </c>
      <c r="V100" s="422" t="s">
        <v>92</v>
      </c>
      <c r="W100" s="32"/>
    </row>
    <row r="101" spans="1:23" s="67" customFormat="1" ht="20.100000000000001" customHeight="1" x14ac:dyDescent="0.2">
      <c r="A101" s="66"/>
      <c r="B101" s="12" t="s">
        <v>299</v>
      </c>
      <c r="C101" s="12" t="s">
        <v>301</v>
      </c>
      <c r="D101" s="15"/>
      <c r="E101" s="15"/>
      <c r="F101" s="627" t="s">
        <v>445</v>
      </c>
      <c r="G101" s="625" t="s">
        <v>445</v>
      </c>
      <c r="H101" s="625" t="s">
        <v>445</v>
      </c>
      <c r="I101" s="625" t="s">
        <v>445</v>
      </c>
      <c r="J101" s="628" t="s">
        <v>445</v>
      </c>
      <c r="K101" s="16">
        <v>59816.137196997704</v>
      </c>
      <c r="L101" s="12"/>
      <c r="M101" s="12" t="str">
        <f t="shared" ref="M101:M104" si="70">B101</f>
        <v>New Residential Connections</v>
      </c>
      <c r="N101" s="12" t="str">
        <f t="shared" ref="N101:N103" si="71">C101</f>
        <v>New estate connections</v>
      </c>
      <c r="O101" s="15"/>
      <c r="P101" s="15"/>
      <c r="Q101" s="627" t="s">
        <v>445</v>
      </c>
      <c r="R101" s="625" t="s">
        <v>445</v>
      </c>
      <c r="S101" s="625" t="s">
        <v>445</v>
      </c>
      <c r="T101" s="625" t="s">
        <v>445</v>
      </c>
      <c r="U101" s="628" t="s">
        <v>445</v>
      </c>
      <c r="V101" s="16">
        <v>1921.1986870808973</v>
      </c>
      <c r="W101" s="32"/>
    </row>
    <row r="102" spans="1:23" s="67" customFormat="1" ht="20.100000000000001" customHeight="1" x14ac:dyDescent="0.2">
      <c r="A102" s="66"/>
      <c r="B102" s="12"/>
      <c r="C102" s="12" t="s">
        <v>330</v>
      </c>
      <c r="D102" s="15"/>
      <c r="E102" s="15"/>
      <c r="F102" s="627" t="s">
        <v>445</v>
      </c>
      <c r="G102" s="628" t="s">
        <v>445</v>
      </c>
      <c r="H102" s="628" t="s">
        <v>445</v>
      </c>
      <c r="I102" s="628" t="s">
        <v>445</v>
      </c>
      <c r="J102" s="628" t="s">
        <v>445</v>
      </c>
      <c r="K102" s="16">
        <v>7399.6174545759459</v>
      </c>
      <c r="L102" s="12"/>
      <c r="M102" s="12"/>
      <c r="N102" s="12" t="str">
        <f t="shared" si="71"/>
        <v>Existing area</v>
      </c>
      <c r="O102" s="15"/>
      <c r="P102" s="15"/>
      <c r="Q102" s="627" t="s">
        <v>445</v>
      </c>
      <c r="R102" s="628" t="s">
        <v>445</v>
      </c>
      <c r="S102" s="628" t="s">
        <v>445</v>
      </c>
      <c r="T102" s="628" t="s">
        <v>445</v>
      </c>
      <c r="U102" s="628" t="s">
        <v>445</v>
      </c>
      <c r="V102" s="16">
        <v>218.58307082217488</v>
      </c>
      <c r="W102" s="32"/>
    </row>
    <row r="103" spans="1:23" s="67" customFormat="1" ht="20.100000000000001" customHeight="1" x14ac:dyDescent="0.2">
      <c r="A103" s="66"/>
      <c r="B103" s="12" t="s">
        <v>300</v>
      </c>
      <c r="C103" s="12" t="s">
        <v>303</v>
      </c>
      <c r="D103" s="15"/>
      <c r="E103" s="15"/>
      <c r="F103" s="627" t="s">
        <v>445</v>
      </c>
      <c r="G103" s="631" t="s">
        <v>445</v>
      </c>
      <c r="H103" s="631" t="s">
        <v>445</v>
      </c>
      <c r="I103" s="631" t="s">
        <v>445</v>
      </c>
      <c r="J103" s="631" t="s">
        <v>445</v>
      </c>
      <c r="K103" s="16">
        <v>1677.5882991216392</v>
      </c>
      <c r="L103" s="12"/>
      <c r="M103" s="12" t="str">
        <f t="shared" si="70"/>
        <v>New Commercial Connections</v>
      </c>
      <c r="N103" s="12" t="str">
        <f t="shared" si="71"/>
        <v>I&amp;C&lt;10TJ</v>
      </c>
      <c r="O103" s="15"/>
      <c r="P103" s="15"/>
      <c r="Q103" s="627" t="s">
        <v>445</v>
      </c>
      <c r="R103" s="631" t="s">
        <v>445</v>
      </c>
      <c r="S103" s="631" t="s">
        <v>445</v>
      </c>
      <c r="T103" s="631" t="s">
        <v>445</v>
      </c>
      <c r="U103" s="631" t="s">
        <v>445</v>
      </c>
      <c r="V103" s="16">
        <v>125.58567579603282</v>
      </c>
      <c r="W103" s="32"/>
    </row>
    <row r="104" spans="1:23" s="67" customFormat="1" ht="20.100000000000001" customHeight="1" thickBot="1" x14ac:dyDescent="0.25">
      <c r="A104" s="66"/>
      <c r="B104" s="25" t="s">
        <v>82</v>
      </c>
      <c r="C104" s="25"/>
      <c r="D104" s="27"/>
      <c r="E104" s="27"/>
      <c r="F104" s="26">
        <v>14264.978182786261</v>
      </c>
      <c r="G104" s="58">
        <v>13472.760458732881</v>
      </c>
      <c r="H104" s="58">
        <v>13448.17278601641</v>
      </c>
      <c r="I104" s="58">
        <v>13739.260582295054</v>
      </c>
      <c r="J104" s="27">
        <v>13968.170940864678</v>
      </c>
      <c r="K104" s="26">
        <v>68893.342950695282</v>
      </c>
      <c r="L104" s="12"/>
      <c r="M104" s="25" t="str">
        <f t="shared" si="70"/>
        <v xml:space="preserve">Total </v>
      </c>
      <c r="N104" s="25"/>
      <c r="O104" s="27"/>
      <c r="P104" s="27"/>
      <c r="Q104" s="26">
        <v>437.20364482905455</v>
      </c>
      <c r="R104" s="58">
        <v>444.9946029730267</v>
      </c>
      <c r="S104" s="58">
        <v>452.92820180468129</v>
      </c>
      <c r="T104" s="58">
        <v>461.00707581303948</v>
      </c>
      <c r="U104" s="27">
        <v>469.23390827930297</v>
      </c>
      <c r="V104" s="26">
        <v>2265.3674336991048</v>
      </c>
      <c r="W104" s="32"/>
    </row>
    <row r="105" spans="1:23" s="67" customFormat="1" ht="20.100000000000001" customHeight="1" x14ac:dyDescent="0.2">
      <c r="A105" s="66"/>
      <c r="B105" s="392" t="s">
        <v>11</v>
      </c>
      <c r="C105" s="392"/>
      <c r="D105" s="393"/>
      <c r="E105" s="393"/>
      <c r="F105" s="393">
        <f>F104-F86</f>
        <v>0</v>
      </c>
      <c r="G105" s="393">
        <f t="shared" ref="G105:K105" si="72">G104-G86</f>
        <v>0</v>
      </c>
      <c r="H105" s="393">
        <f t="shared" si="72"/>
        <v>0</v>
      </c>
      <c r="I105" s="393">
        <f t="shared" si="72"/>
        <v>0</v>
      </c>
      <c r="J105" s="393">
        <f t="shared" si="72"/>
        <v>0</v>
      </c>
      <c r="K105" s="393">
        <f t="shared" si="72"/>
        <v>0</v>
      </c>
      <c r="L105" s="12"/>
      <c r="M105" s="392" t="s">
        <v>11</v>
      </c>
      <c r="N105" s="392"/>
      <c r="O105" s="393"/>
      <c r="P105" s="393"/>
      <c r="Q105" s="393">
        <f>Q104-Q86</f>
        <v>0</v>
      </c>
      <c r="R105" s="393">
        <f t="shared" ref="R105" si="73">R104-R86</f>
        <v>0</v>
      </c>
      <c r="S105" s="393">
        <f t="shared" ref="S105" si="74">S104-S86</f>
        <v>0</v>
      </c>
      <c r="T105" s="393">
        <f t="shared" ref="T105" si="75">T104-T86</f>
        <v>0</v>
      </c>
      <c r="U105" s="393">
        <f t="shared" ref="U105" si="76">U104-U86</f>
        <v>0</v>
      </c>
      <c r="V105" s="393">
        <f t="shared" ref="V105" si="77">V104-V86</f>
        <v>0</v>
      </c>
      <c r="W105" s="32"/>
    </row>
    <row r="106" spans="1:23" s="67" customFormat="1" ht="20.100000000000001" customHeight="1" x14ac:dyDescent="0.2">
      <c r="A106" s="66"/>
      <c r="B106" s="392"/>
      <c r="C106" s="392"/>
      <c r="D106" s="393"/>
      <c r="E106" s="393"/>
      <c r="F106" s="393"/>
      <c r="G106" s="393"/>
      <c r="H106" s="393"/>
      <c r="I106" s="393"/>
      <c r="J106" s="393"/>
      <c r="K106" s="393"/>
      <c r="L106" s="12"/>
      <c r="M106" s="392"/>
      <c r="N106" s="392"/>
      <c r="O106" s="393"/>
      <c r="P106" s="393"/>
      <c r="Q106" s="393"/>
      <c r="R106" s="393"/>
      <c r="S106" s="393"/>
      <c r="T106" s="393"/>
      <c r="U106" s="393"/>
      <c r="V106" s="393"/>
      <c r="W106" s="32"/>
    </row>
    <row r="107" spans="1:23" s="67" customFormat="1" ht="20.100000000000001" customHeight="1" x14ac:dyDescent="0.2">
      <c r="A107" s="66"/>
      <c r="B107" s="569" t="s">
        <v>333</v>
      </c>
      <c r="C107" s="570"/>
      <c r="D107" s="571"/>
      <c r="E107" s="571"/>
      <c r="F107" s="571"/>
      <c r="G107" s="571"/>
      <c r="H107" s="571"/>
      <c r="I107" s="571"/>
      <c r="J107" s="571"/>
      <c r="K107" s="571"/>
      <c r="L107" s="12"/>
      <c r="M107" s="569" t="s">
        <v>333</v>
      </c>
      <c r="N107" s="570"/>
      <c r="O107" s="571"/>
      <c r="P107" s="571"/>
      <c r="Q107" s="571"/>
      <c r="R107" s="571"/>
      <c r="S107" s="571"/>
      <c r="T107" s="571"/>
      <c r="U107" s="571"/>
      <c r="V107" s="571"/>
      <c r="W107" s="32"/>
    </row>
    <row r="108" spans="1:23" s="67" customFormat="1" ht="20.100000000000001" customHeight="1" x14ac:dyDescent="0.2">
      <c r="A108" s="66"/>
      <c r="B108" s="392"/>
      <c r="C108" s="392"/>
      <c r="D108" s="393"/>
      <c r="E108" s="393"/>
      <c r="F108" s="393"/>
      <c r="G108" s="393"/>
      <c r="H108" s="393"/>
      <c r="I108" s="393"/>
      <c r="J108" s="393"/>
      <c r="K108" s="393"/>
      <c r="L108" s="12"/>
      <c r="M108" s="392"/>
      <c r="N108" s="392"/>
      <c r="O108" s="393"/>
      <c r="P108" s="393"/>
      <c r="Q108" s="393"/>
      <c r="R108" s="393"/>
      <c r="S108" s="393"/>
      <c r="T108" s="393"/>
      <c r="U108" s="393"/>
      <c r="V108" s="393"/>
      <c r="W108" s="32"/>
    </row>
    <row r="109" spans="1:23" s="67" customFormat="1" ht="20.100000000000001" customHeight="1" x14ac:dyDescent="0.2">
      <c r="A109" s="66"/>
      <c r="B109" s="10" t="s">
        <v>307</v>
      </c>
      <c r="C109" s="298"/>
      <c r="D109" s="420"/>
      <c r="E109" s="421"/>
      <c r="F109" s="422">
        <v>2018</v>
      </c>
      <c r="G109" s="423">
        <v>2019</v>
      </c>
      <c r="H109" s="423">
        <v>2020</v>
      </c>
      <c r="I109" s="423">
        <v>2021</v>
      </c>
      <c r="J109" s="421">
        <v>2022</v>
      </c>
      <c r="K109" s="422" t="s">
        <v>92</v>
      </c>
      <c r="L109" s="12"/>
      <c r="M109" s="10" t="str">
        <f>B109</f>
        <v>Volume Forecast for "New Mains" Growth Capex</v>
      </c>
      <c r="N109" s="298"/>
      <c r="O109" s="420"/>
      <c r="P109" s="421"/>
      <c r="Q109" s="422">
        <v>2018</v>
      </c>
      <c r="R109" s="423">
        <v>2019</v>
      </c>
      <c r="S109" s="423">
        <v>2020</v>
      </c>
      <c r="T109" s="423">
        <v>2021</v>
      </c>
      <c r="U109" s="421">
        <v>2022</v>
      </c>
      <c r="V109" s="422" t="s">
        <v>92</v>
      </c>
      <c r="W109" s="32"/>
    </row>
    <row r="110" spans="1:23" s="67" customFormat="1" ht="20.100000000000001" customHeight="1" x14ac:dyDescent="0.2">
      <c r="A110" s="66"/>
      <c r="B110" s="12" t="s">
        <v>299</v>
      </c>
      <c r="C110" s="12" t="s">
        <v>329</v>
      </c>
      <c r="D110" s="15"/>
      <c r="E110" s="15"/>
      <c r="F110" s="627" t="s">
        <v>445</v>
      </c>
      <c r="G110" s="625" t="s">
        <v>445</v>
      </c>
      <c r="H110" s="625" t="s">
        <v>445</v>
      </c>
      <c r="I110" s="625" t="s">
        <v>445</v>
      </c>
      <c r="J110" s="628" t="s">
        <v>445</v>
      </c>
      <c r="K110" s="16">
        <v>634602.88861465175</v>
      </c>
      <c r="L110" s="12"/>
      <c r="M110" s="12" t="str">
        <f t="shared" ref="M110:M113" si="78">B110</f>
        <v>New Residential Connections</v>
      </c>
      <c r="N110" s="12" t="str">
        <f t="shared" ref="N110:N112" si="79">C110</f>
        <v>New estate</v>
      </c>
      <c r="O110" s="15"/>
      <c r="P110" s="15"/>
      <c r="Q110" s="627" t="s">
        <v>445</v>
      </c>
      <c r="R110" s="625" t="s">
        <v>445</v>
      </c>
      <c r="S110" s="625" t="s">
        <v>445</v>
      </c>
      <c r="T110" s="625" t="s">
        <v>445</v>
      </c>
      <c r="U110" s="628" t="s">
        <v>445</v>
      </c>
      <c r="V110" s="16">
        <v>27852.184176553405</v>
      </c>
      <c r="W110" s="32"/>
    </row>
    <row r="111" spans="1:23" s="67" customFormat="1" ht="20.100000000000001" customHeight="1" x14ac:dyDescent="0.2">
      <c r="A111" s="66"/>
      <c r="B111" s="12"/>
      <c r="C111" s="12" t="s">
        <v>330</v>
      </c>
      <c r="D111" s="15"/>
      <c r="E111" s="15"/>
      <c r="F111" s="627" t="s">
        <v>445</v>
      </c>
      <c r="G111" s="628" t="s">
        <v>445</v>
      </c>
      <c r="H111" s="628" t="s">
        <v>445</v>
      </c>
      <c r="I111" s="628" t="s">
        <v>445</v>
      </c>
      <c r="J111" s="628" t="s">
        <v>445</v>
      </c>
      <c r="K111" s="16">
        <v>40649.710648778491</v>
      </c>
      <c r="L111" s="12"/>
      <c r="M111" s="12"/>
      <c r="N111" s="12" t="str">
        <f t="shared" si="79"/>
        <v>Existing area</v>
      </c>
      <c r="O111" s="15"/>
      <c r="P111" s="15"/>
      <c r="Q111" s="627" t="s">
        <v>445</v>
      </c>
      <c r="R111" s="628" t="s">
        <v>445</v>
      </c>
      <c r="S111" s="628" t="s">
        <v>445</v>
      </c>
      <c r="T111" s="628" t="s">
        <v>445</v>
      </c>
      <c r="U111" s="628" t="s">
        <v>445</v>
      </c>
      <c r="V111" s="16">
        <v>142.33316239583482</v>
      </c>
      <c r="W111" s="32"/>
    </row>
    <row r="112" spans="1:23" s="67" customFormat="1" ht="20.100000000000001" customHeight="1" x14ac:dyDescent="0.2">
      <c r="A112" s="66"/>
      <c r="B112" s="12" t="s">
        <v>300</v>
      </c>
      <c r="C112" s="12" t="s">
        <v>303</v>
      </c>
      <c r="D112" s="15"/>
      <c r="E112" s="15"/>
      <c r="F112" s="627" t="s">
        <v>445</v>
      </c>
      <c r="G112" s="631" t="s">
        <v>445</v>
      </c>
      <c r="H112" s="631" t="s">
        <v>445</v>
      </c>
      <c r="I112" s="631" t="s">
        <v>445</v>
      </c>
      <c r="J112" s="631" t="s">
        <v>445</v>
      </c>
      <c r="K112" s="16">
        <v>27299.822057166755</v>
      </c>
      <c r="L112" s="12"/>
      <c r="M112" s="12" t="str">
        <f t="shared" si="78"/>
        <v>New Commercial Connections</v>
      </c>
      <c r="N112" s="12" t="str">
        <f t="shared" si="79"/>
        <v>I&amp;C&lt;10TJ</v>
      </c>
      <c r="O112" s="15"/>
      <c r="P112" s="15"/>
      <c r="Q112" s="627" t="s">
        <v>445</v>
      </c>
      <c r="R112" s="631" t="s">
        <v>445</v>
      </c>
      <c r="S112" s="631" t="s">
        <v>445</v>
      </c>
      <c r="T112" s="631" t="s">
        <v>445</v>
      </c>
      <c r="U112" s="631" t="s">
        <v>445</v>
      </c>
      <c r="V112" s="16">
        <v>2444.2112151802885</v>
      </c>
      <c r="W112" s="32"/>
    </row>
    <row r="113" spans="1:23" s="67" customFormat="1" ht="20.100000000000001" customHeight="1" thickBot="1" x14ac:dyDescent="0.25">
      <c r="A113" s="66"/>
      <c r="B113" s="25" t="s">
        <v>82</v>
      </c>
      <c r="C113" s="25"/>
      <c r="D113" s="27"/>
      <c r="E113" s="27"/>
      <c r="F113" s="26">
        <v>145371.39186202449</v>
      </c>
      <c r="G113" s="58">
        <v>137424.94192420336</v>
      </c>
      <c r="H113" s="58">
        <v>137190.22319639352</v>
      </c>
      <c r="I113" s="58">
        <v>140126.87975747557</v>
      </c>
      <c r="J113" s="27">
        <v>142438.98458050005</v>
      </c>
      <c r="K113" s="26">
        <v>702552.42132059694</v>
      </c>
      <c r="L113" s="12"/>
      <c r="M113" s="25" t="str">
        <f t="shared" si="78"/>
        <v xml:space="preserve">Total </v>
      </c>
      <c r="N113" s="25"/>
      <c r="O113" s="27"/>
      <c r="P113" s="27"/>
      <c r="Q113" s="26">
        <v>5878.2758677202173</v>
      </c>
      <c r="R113" s="58">
        <v>5981.1220052755689</v>
      </c>
      <c r="S113" s="58">
        <v>6085.8396142037509</v>
      </c>
      <c r="T113" s="58">
        <v>6192.4631920498632</v>
      </c>
      <c r="U113" s="27">
        <v>6301.0278748801293</v>
      </c>
      <c r="V113" s="26">
        <v>30438.728554129528</v>
      </c>
      <c r="W113" s="32"/>
    </row>
    <row r="114" spans="1:23" s="67" customFormat="1" ht="20.100000000000001" customHeight="1" x14ac:dyDescent="0.2">
      <c r="A114" s="66"/>
      <c r="B114" s="392"/>
      <c r="C114" s="392"/>
      <c r="D114" s="393"/>
      <c r="E114" s="393"/>
      <c r="F114" s="393"/>
      <c r="G114" s="393"/>
      <c r="H114" s="393"/>
      <c r="I114" s="393"/>
      <c r="J114" s="393"/>
      <c r="K114" s="12"/>
      <c r="L114" s="12"/>
      <c r="M114" s="392"/>
      <c r="N114" s="392"/>
      <c r="O114" s="393"/>
      <c r="P114" s="393"/>
      <c r="Q114" s="393"/>
      <c r="R114" s="393"/>
      <c r="S114" s="393"/>
      <c r="T114" s="393"/>
      <c r="U114" s="393"/>
      <c r="V114" s="12"/>
      <c r="W114" s="32"/>
    </row>
    <row r="115" spans="1:23" s="67" customFormat="1" ht="27.75" customHeight="1" x14ac:dyDescent="0.2"/>
    <row r="116" spans="1:23" s="67" customFormat="1" ht="18" customHeight="1" x14ac:dyDescent="0.2"/>
    <row r="117" spans="1:23" s="67" customFormat="1" ht="18" customHeight="1" x14ac:dyDescent="0.2"/>
    <row r="118" spans="1:23" s="67" customFormat="1" ht="18" customHeight="1" x14ac:dyDescent="0.2"/>
    <row r="119" spans="1:23" s="67" customFormat="1" ht="18" customHeight="1" x14ac:dyDescent="0.2"/>
    <row r="120" spans="1:23" s="67" customFormat="1" ht="18" customHeight="1" x14ac:dyDescent="0.2"/>
    <row r="121" spans="1:23" s="67" customFormat="1" ht="18" customHeight="1" x14ac:dyDescent="0.2"/>
    <row r="122" spans="1:23" s="67" customFormat="1" ht="18" customHeight="1" x14ac:dyDescent="0.2"/>
    <row r="123" spans="1:23" s="67" customFormat="1" ht="18" customHeight="1" x14ac:dyDescent="0.2"/>
    <row r="124" spans="1:23" s="67" customFormat="1" ht="18" customHeight="1" x14ac:dyDescent="0.2"/>
    <row r="125" spans="1:23" s="67" customFormat="1" ht="18" customHeight="1" x14ac:dyDescent="0.2"/>
    <row r="126" spans="1:23" s="67" customFormat="1" ht="18" customHeight="1" x14ac:dyDescent="0.2"/>
    <row r="127" spans="1:23" s="67" customFormat="1" ht="18" customHeight="1" x14ac:dyDescent="0.2"/>
    <row r="128" spans="1:23" s="67" customFormat="1" ht="18" customHeight="1" x14ac:dyDescent="0.2"/>
    <row r="129" s="67" customFormat="1" ht="18" customHeight="1" x14ac:dyDescent="0.2"/>
    <row r="130" s="67" customFormat="1" ht="18" customHeight="1" x14ac:dyDescent="0.2"/>
    <row r="131" s="67" customFormat="1" ht="18" customHeight="1" x14ac:dyDescent="0.2"/>
    <row r="132" s="67" customFormat="1" ht="18" customHeight="1" x14ac:dyDescent="0.2"/>
    <row r="133" s="67" customFormat="1" ht="18" customHeight="1" x14ac:dyDescent="0.2"/>
    <row r="134" s="67" customFormat="1" ht="18" customHeight="1" x14ac:dyDescent="0.2"/>
    <row r="135" s="67" customFormat="1" ht="18" customHeight="1" x14ac:dyDescent="0.2"/>
    <row r="136" s="67" customFormat="1" ht="18" customHeight="1" x14ac:dyDescent="0.2"/>
    <row r="137" s="424" customFormat="1" ht="18" customHeight="1" x14ac:dyDescent="0.25"/>
    <row r="138" s="67" customFormat="1" ht="18" customHeight="1" x14ac:dyDescent="0.2"/>
    <row r="139" s="67" customFormat="1" ht="18" customHeight="1" x14ac:dyDescent="0.2"/>
    <row r="140" s="67" customFormat="1" ht="18" customHeight="1" x14ac:dyDescent="0.2"/>
    <row r="141" s="67" customFormat="1" ht="18" customHeight="1" x14ac:dyDescent="0.2"/>
    <row r="142" s="67" customFormat="1" ht="18" customHeight="1" x14ac:dyDescent="0.2"/>
    <row r="143" s="67" customFormat="1" ht="18" customHeight="1" x14ac:dyDescent="0.2"/>
    <row r="144" s="67" customFormat="1" ht="18" customHeight="1" x14ac:dyDescent="0.2"/>
    <row r="145" spans="1:23" s="67" customFormat="1" ht="26.25" customHeight="1" x14ac:dyDescent="0.2"/>
    <row r="146" spans="1:23" s="67" customFormat="1" ht="18" customHeight="1" x14ac:dyDescent="0.2"/>
    <row r="147" spans="1:23" s="67" customFormat="1" ht="18" customHeight="1" x14ac:dyDescent="0.2"/>
    <row r="148" spans="1:23" s="67" customFormat="1" ht="18" customHeight="1" x14ac:dyDescent="0.2"/>
    <row r="149" spans="1:23" s="67" customFormat="1" ht="18" customHeight="1" x14ac:dyDescent="0.2"/>
    <row r="150" spans="1:23" s="424" customFormat="1" ht="18" customHeight="1" x14ac:dyDescent="0.2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</row>
    <row r="151" spans="1:23" s="67" customFormat="1" ht="18" customHeight="1" x14ac:dyDescent="0.2"/>
    <row r="152" spans="1:23" s="67" customFormat="1" ht="18" customHeight="1" x14ac:dyDescent="0.2"/>
    <row r="153" spans="1:23" s="67" customFormat="1" ht="18" customHeight="1" x14ac:dyDescent="0.2"/>
    <row r="154" spans="1:23" s="67" customFormat="1" ht="18" customHeight="1" x14ac:dyDescent="0.2"/>
    <row r="155" spans="1:23" s="67" customFormat="1" ht="18" customHeight="1" x14ac:dyDescent="0.2"/>
    <row r="156" spans="1:23" s="67" customFormat="1" ht="18" customHeight="1" x14ac:dyDescent="0.2"/>
    <row r="157" spans="1:23" s="67" customFormat="1" ht="25.5" customHeight="1" x14ac:dyDescent="0.2"/>
    <row r="158" spans="1:23" s="67" customFormat="1" ht="18" customHeight="1" x14ac:dyDescent="0.2"/>
    <row r="159" spans="1:23" s="67" customFormat="1" ht="18" customHeight="1" x14ac:dyDescent="0.2"/>
    <row r="160" spans="1:23" s="67" customFormat="1" ht="18" customHeight="1" x14ac:dyDescent="0.2"/>
    <row r="161" spans="1:23" s="67" customFormat="1" ht="18" customHeight="1" x14ac:dyDescent="0.2"/>
    <row r="162" spans="1:23" s="67" customFormat="1" ht="18" customHeight="1" x14ac:dyDescent="0.2"/>
    <row r="163" spans="1:23" s="67" customFormat="1" ht="18" customHeight="1" x14ac:dyDescent="0.2"/>
    <row r="164" spans="1:23" s="67" customFormat="1" ht="18" customHeight="1" x14ac:dyDescent="0.2"/>
    <row r="165" spans="1:23" s="67" customFormat="1" ht="18" customHeight="1" x14ac:dyDescent="0.2"/>
    <row r="166" spans="1:23" s="424" customFormat="1" ht="18" customHeight="1" x14ac:dyDescent="0.2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</row>
    <row r="167" spans="1:23" s="67" customFormat="1" ht="18" customHeight="1" x14ac:dyDescent="0.2"/>
    <row r="168" spans="1:23" s="67" customFormat="1" ht="18" customHeight="1" x14ac:dyDescent="0.2"/>
    <row r="169" spans="1:23" s="67" customFormat="1" ht="18" customHeight="1" x14ac:dyDescent="0.2"/>
    <row r="170" spans="1:23" s="67" customFormat="1" ht="18" customHeight="1" x14ac:dyDescent="0.2"/>
    <row r="171" spans="1:23" s="424" customFormat="1" ht="18" customHeight="1" x14ac:dyDescent="0.2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</row>
    <row r="172" spans="1:23" s="67" customFormat="1" ht="18" customHeight="1" x14ac:dyDescent="0.2"/>
    <row r="173" spans="1:23" s="67" customFormat="1" ht="18" customHeight="1" x14ac:dyDescent="0.2"/>
    <row r="174" spans="1:23" s="67" customFormat="1" ht="18" customHeight="1" x14ac:dyDescent="0.2"/>
    <row r="175" spans="1:23" s="67" customFormat="1" ht="18" customHeight="1" x14ac:dyDescent="0.2"/>
    <row r="176" spans="1:23" s="67" customFormat="1" ht="18" customHeight="1" x14ac:dyDescent="0.2"/>
    <row r="177" spans="1:41" s="67" customFormat="1" ht="18" customHeight="1" x14ac:dyDescent="0.2"/>
    <row r="178" spans="1:41" s="395" customFormat="1" ht="18" customHeight="1" x14ac:dyDescent="0.2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</row>
    <row r="179" spans="1:41" s="395" customFormat="1" ht="18" customHeight="1" x14ac:dyDescent="0.2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</row>
    <row r="180" spans="1:41" s="395" customFormat="1" ht="18" customHeight="1" x14ac:dyDescent="0.2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</row>
    <row r="181" spans="1:41" s="395" customFormat="1" ht="18" customHeight="1" x14ac:dyDescent="0.2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</row>
    <row r="182" spans="1:41" s="395" customFormat="1" ht="33" customHeight="1" x14ac:dyDescent="0.2">
      <c r="B182" s="396"/>
      <c r="C182" s="396"/>
      <c r="D182" s="396"/>
      <c r="E182" s="396"/>
      <c r="F182" s="396"/>
      <c r="G182" s="396"/>
      <c r="H182" s="396"/>
      <c r="I182" s="396"/>
      <c r="J182" s="396"/>
      <c r="K182" s="396"/>
      <c r="L182" s="396"/>
      <c r="V182" s="33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</row>
    <row r="183" spans="1:41" s="395" customFormat="1" ht="18" customHeight="1" x14ac:dyDescent="0.2">
      <c r="B183" s="396"/>
      <c r="C183" s="396"/>
      <c r="D183" s="396"/>
      <c r="E183" s="396"/>
      <c r="F183" s="396"/>
      <c r="G183" s="396"/>
      <c r="H183" s="396"/>
      <c r="I183" s="396"/>
      <c r="J183" s="396"/>
      <c r="K183" s="396"/>
      <c r="L183" s="396"/>
      <c r="V183" s="33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</row>
    <row r="184" spans="1:41" s="395" customFormat="1" ht="18" customHeight="1" x14ac:dyDescent="0.2">
      <c r="B184" s="396"/>
      <c r="C184" s="396"/>
      <c r="D184" s="396"/>
      <c r="E184" s="396"/>
      <c r="F184" s="396"/>
      <c r="G184" s="396"/>
      <c r="H184" s="396"/>
      <c r="I184" s="396"/>
      <c r="J184" s="396"/>
      <c r="K184" s="396"/>
      <c r="L184" s="396"/>
      <c r="V184" s="33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</row>
    <row r="185" spans="1:41" s="395" customFormat="1" ht="18" customHeight="1" x14ac:dyDescent="0.2">
      <c r="B185" s="396"/>
      <c r="C185" s="396"/>
      <c r="D185" s="396"/>
      <c r="E185" s="396"/>
      <c r="F185" s="396"/>
      <c r="G185" s="396"/>
      <c r="H185" s="396"/>
      <c r="I185" s="396"/>
      <c r="J185" s="396"/>
      <c r="K185" s="396"/>
      <c r="L185" s="396"/>
      <c r="V185" s="33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</row>
    <row r="186" spans="1:41" s="395" customFormat="1" ht="18" customHeight="1" x14ac:dyDescent="0.2">
      <c r="B186" s="396"/>
      <c r="C186" s="396"/>
      <c r="D186" s="396"/>
      <c r="E186" s="396"/>
      <c r="F186" s="396"/>
      <c r="G186" s="396"/>
      <c r="H186" s="396"/>
      <c r="I186" s="396"/>
      <c r="J186" s="396"/>
      <c r="K186" s="396"/>
      <c r="L186" s="396"/>
      <c r="V186" s="33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</row>
    <row r="187" spans="1:41" s="395" customFormat="1" ht="18" customHeight="1" x14ac:dyDescent="0.2">
      <c r="B187" s="396"/>
      <c r="C187" s="396"/>
      <c r="D187" s="396"/>
      <c r="E187" s="396"/>
      <c r="F187" s="396"/>
      <c r="G187" s="396"/>
      <c r="H187" s="396"/>
      <c r="I187" s="396"/>
      <c r="J187" s="396"/>
      <c r="K187" s="396"/>
      <c r="L187" s="396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</row>
    <row r="188" spans="1:41" s="395" customFormat="1" ht="18" customHeight="1" x14ac:dyDescent="0.2">
      <c r="B188" s="396"/>
      <c r="C188" s="396"/>
      <c r="D188" s="396"/>
      <c r="E188" s="396"/>
      <c r="F188" s="396"/>
      <c r="G188" s="396"/>
      <c r="H188" s="396"/>
      <c r="I188" s="396"/>
      <c r="J188" s="396"/>
      <c r="K188" s="396"/>
      <c r="L188" s="396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</row>
    <row r="189" spans="1:41" s="395" customFormat="1" ht="28.5" customHeight="1" x14ac:dyDescent="0.2">
      <c r="B189" s="396"/>
      <c r="C189" s="396"/>
      <c r="D189" s="396"/>
      <c r="E189" s="396"/>
      <c r="F189" s="396"/>
      <c r="G189" s="396"/>
      <c r="H189" s="396"/>
      <c r="I189" s="396"/>
      <c r="J189" s="396"/>
      <c r="K189" s="396"/>
      <c r="L189" s="396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</row>
    <row r="190" spans="1:41" s="395" customFormat="1" ht="18" customHeight="1" x14ac:dyDescent="0.2">
      <c r="B190" s="396"/>
      <c r="C190" s="396"/>
      <c r="D190" s="396"/>
      <c r="E190" s="396"/>
      <c r="F190" s="396"/>
      <c r="G190" s="396"/>
      <c r="H190" s="396"/>
      <c r="I190" s="396"/>
      <c r="J190" s="396"/>
      <c r="K190" s="396"/>
      <c r="L190" s="396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</row>
    <row r="191" spans="1:41" s="395" customFormat="1" ht="18" customHeight="1" x14ac:dyDescent="0.2">
      <c r="B191" s="396"/>
      <c r="C191" s="396"/>
      <c r="D191" s="396"/>
      <c r="E191" s="396"/>
      <c r="F191" s="396"/>
      <c r="G191" s="396"/>
      <c r="H191" s="396"/>
      <c r="I191" s="396"/>
      <c r="J191" s="396"/>
      <c r="K191" s="396"/>
      <c r="L191" s="396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</row>
    <row r="192" spans="1:41" s="395" customFormat="1" ht="18" customHeight="1" x14ac:dyDescent="0.2">
      <c r="B192" s="396"/>
      <c r="C192" s="396"/>
      <c r="D192" s="396"/>
      <c r="E192" s="396"/>
      <c r="F192" s="396"/>
      <c r="G192" s="396"/>
      <c r="H192" s="396"/>
      <c r="I192" s="396"/>
      <c r="J192" s="396"/>
      <c r="K192" s="396"/>
      <c r="L192" s="396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</row>
    <row r="193" spans="1:41" s="395" customFormat="1" ht="18" customHeight="1" x14ac:dyDescent="0.2">
      <c r="B193" s="396"/>
      <c r="C193" s="396"/>
      <c r="D193" s="396"/>
      <c r="E193" s="396"/>
      <c r="F193" s="396"/>
      <c r="G193" s="396"/>
      <c r="H193" s="396"/>
      <c r="I193" s="396"/>
      <c r="J193" s="396"/>
      <c r="K193" s="396"/>
      <c r="L193" s="396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</row>
    <row r="194" spans="1:41" s="395" customFormat="1" ht="24" customHeight="1" x14ac:dyDescent="0.2">
      <c r="B194" s="396"/>
      <c r="C194" s="396"/>
      <c r="D194" s="396"/>
      <c r="E194" s="396"/>
      <c r="F194" s="396"/>
      <c r="G194" s="396"/>
      <c r="H194" s="396"/>
      <c r="I194" s="396"/>
      <c r="J194" s="396"/>
      <c r="K194" s="396"/>
      <c r="L194" s="396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</row>
    <row r="195" spans="1:41" s="395" customFormat="1" ht="18" customHeight="1" x14ac:dyDescent="0.2">
      <c r="B195" s="396"/>
      <c r="C195" s="396"/>
      <c r="D195" s="396"/>
      <c r="E195" s="396"/>
      <c r="F195" s="396"/>
      <c r="G195" s="396"/>
      <c r="H195" s="396"/>
      <c r="I195" s="396"/>
      <c r="J195" s="396"/>
      <c r="K195" s="396"/>
      <c r="L195" s="396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</row>
    <row r="196" spans="1:41" s="397" customFormat="1" ht="25.5" customHeight="1" x14ac:dyDescent="0.2">
      <c r="A196" s="395"/>
      <c r="B196" s="396"/>
      <c r="C196" s="396"/>
      <c r="D196" s="396"/>
      <c r="E196" s="396"/>
      <c r="F196" s="396"/>
      <c r="G196" s="396"/>
      <c r="H196" s="396"/>
      <c r="I196" s="396"/>
      <c r="J196" s="396"/>
      <c r="K196" s="396"/>
      <c r="L196" s="396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</row>
    <row r="197" spans="1:41" s="395" customFormat="1" ht="18" customHeight="1" x14ac:dyDescent="0.2">
      <c r="B197" s="396"/>
      <c r="C197" s="396"/>
      <c r="D197" s="396"/>
      <c r="E197" s="396"/>
      <c r="F197" s="396"/>
      <c r="G197" s="396"/>
      <c r="H197" s="396"/>
      <c r="I197" s="396"/>
      <c r="J197" s="396"/>
      <c r="K197" s="396"/>
      <c r="L197" s="396"/>
      <c r="AG197" s="397"/>
    </row>
    <row r="198" spans="1:41" s="395" customFormat="1" ht="12.75" x14ac:dyDescent="0.2">
      <c r="B198" s="396"/>
      <c r="C198" s="396"/>
      <c r="D198" s="396"/>
      <c r="E198" s="396"/>
      <c r="F198" s="396"/>
      <c r="G198" s="396"/>
      <c r="H198" s="396"/>
      <c r="I198" s="396"/>
      <c r="J198" s="396"/>
      <c r="K198" s="396"/>
      <c r="L198" s="396"/>
      <c r="AG198" s="397"/>
    </row>
    <row r="199" spans="1:41" s="395" customFormat="1" ht="18" customHeight="1" x14ac:dyDescent="0.2">
      <c r="B199" s="396"/>
      <c r="C199" s="396"/>
      <c r="D199" s="396"/>
      <c r="E199" s="396"/>
      <c r="F199" s="396"/>
      <c r="G199" s="396"/>
      <c r="H199" s="396"/>
      <c r="I199" s="396"/>
      <c r="J199" s="396"/>
      <c r="K199" s="396"/>
      <c r="L199" s="396"/>
      <c r="AG199" s="397"/>
    </row>
    <row r="200" spans="1:41" s="395" customFormat="1" ht="18" customHeight="1" x14ac:dyDescent="0.2">
      <c r="B200" s="396"/>
      <c r="C200" s="396"/>
      <c r="D200" s="396"/>
      <c r="E200" s="396"/>
      <c r="F200" s="396"/>
      <c r="G200" s="396"/>
      <c r="H200" s="396"/>
      <c r="I200" s="396"/>
      <c r="J200" s="396"/>
      <c r="K200" s="396"/>
      <c r="L200" s="396"/>
      <c r="AG200" s="397"/>
    </row>
    <row r="201" spans="1:41" s="395" customFormat="1" ht="24" customHeight="1" x14ac:dyDescent="0.2">
      <c r="B201" s="396"/>
      <c r="C201" s="396"/>
      <c r="D201" s="396"/>
      <c r="E201" s="396"/>
      <c r="F201" s="396"/>
      <c r="G201" s="396"/>
      <c r="H201" s="396"/>
      <c r="I201" s="396"/>
      <c r="J201" s="396"/>
      <c r="K201" s="396"/>
      <c r="L201" s="396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97"/>
    </row>
    <row r="202" spans="1:41" s="395" customFormat="1" ht="18" customHeight="1" x14ac:dyDescent="0.2">
      <c r="B202" s="396"/>
      <c r="C202" s="396"/>
      <c r="D202" s="396"/>
      <c r="E202" s="396"/>
      <c r="F202" s="396"/>
      <c r="G202" s="396"/>
      <c r="H202" s="396"/>
      <c r="I202" s="396"/>
      <c r="J202" s="396"/>
      <c r="K202" s="396"/>
      <c r="L202" s="396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97"/>
    </row>
    <row r="203" spans="1:41" s="395" customFormat="1" x14ac:dyDescent="0.2">
      <c r="B203" s="396"/>
      <c r="C203" s="396"/>
      <c r="D203" s="396"/>
      <c r="E203" s="396"/>
      <c r="F203" s="396"/>
      <c r="G203" s="396"/>
      <c r="H203" s="396"/>
      <c r="I203" s="396"/>
      <c r="J203" s="396"/>
      <c r="K203" s="396"/>
      <c r="L203" s="396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97"/>
    </row>
    <row r="204" spans="1:41" s="395" customFormat="1" ht="18" customHeight="1" x14ac:dyDescent="0.2">
      <c r="B204" s="396"/>
      <c r="C204" s="396"/>
      <c r="D204" s="396"/>
      <c r="E204" s="396"/>
      <c r="F204" s="396"/>
      <c r="G204" s="396"/>
      <c r="H204" s="396"/>
      <c r="I204" s="396"/>
      <c r="J204" s="396"/>
      <c r="K204" s="396"/>
      <c r="L204" s="396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</row>
    <row r="205" spans="1:41" s="395" customFormat="1" ht="23.25" customHeight="1" x14ac:dyDescent="0.2">
      <c r="B205" s="396"/>
      <c r="C205" s="396"/>
      <c r="D205" s="396"/>
      <c r="E205" s="396"/>
      <c r="F205" s="396"/>
      <c r="G205" s="396"/>
      <c r="H205" s="396"/>
      <c r="I205" s="396"/>
      <c r="J205" s="396"/>
      <c r="K205" s="396"/>
      <c r="L205" s="396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</row>
    <row r="206" spans="1:41" s="395" customFormat="1" ht="18" customHeight="1" x14ac:dyDescent="0.2">
      <c r="B206" s="396"/>
      <c r="C206" s="396"/>
      <c r="D206" s="396"/>
      <c r="E206" s="396"/>
      <c r="F206" s="396"/>
      <c r="G206" s="396"/>
      <c r="H206" s="396"/>
      <c r="I206" s="396"/>
      <c r="J206" s="396"/>
      <c r="K206" s="396"/>
      <c r="L206" s="396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</row>
    <row r="207" spans="1:41" s="395" customFormat="1" ht="18" customHeight="1" x14ac:dyDescent="0.2">
      <c r="B207" s="396"/>
      <c r="C207" s="396"/>
      <c r="D207" s="396"/>
      <c r="E207" s="396"/>
      <c r="F207" s="396"/>
      <c r="G207" s="396"/>
      <c r="H207" s="396"/>
      <c r="I207" s="396"/>
      <c r="J207" s="396"/>
      <c r="K207" s="396"/>
      <c r="L207" s="396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</row>
    <row r="208" spans="1:41" s="395" customFormat="1" ht="26.25" customHeight="1" x14ac:dyDescent="0.2">
      <c r="B208" s="396"/>
      <c r="C208" s="396"/>
      <c r="D208" s="396"/>
      <c r="E208" s="396"/>
      <c r="F208" s="396"/>
      <c r="G208" s="396"/>
      <c r="H208" s="396"/>
      <c r="I208" s="396"/>
      <c r="J208" s="396"/>
      <c r="K208" s="396"/>
      <c r="L208" s="396"/>
    </row>
    <row r="209" spans="1:12" s="395" customFormat="1" ht="18" customHeight="1" x14ac:dyDescent="0.2">
      <c r="B209" s="396"/>
      <c r="C209" s="396"/>
      <c r="D209" s="396"/>
      <c r="E209" s="396"/>
      <c r="F209" s="396"/>
      <c r="G209" s="396"/>
      <c r="H209" s="396"/>
      <c r="I209" s="396"/>
      <c r="J209" s="396"/>
      <c r="K209" s="396"/>
      <c r="L209" s="396"/>
    </row>
    <row r="210" spans="1:12" s="395" customFormat="1" ht="11.25" x14ac:dyDescent="0.2">
      <c r="B210" s="396"/>
      <c r="C210" s="396"/>
      <c r="D210" s="396"/>
      <c r="E210" s="396"/>
      <c r="F210" s="396"/>
      <c r="G210" s="396"/>
      <c r="H210" s="396"/>
      <c r="I210" s="396"/>
      <c r="J210" s="396"/>
      <c r="K210" s="396"/>
      <c r="L210" s="396"/>
    </row>
    <row r="211" spans="1:12" s="395" customFormat="1" ht="18" customHeight="1" x14ac:dyDescent="0.2">
      <c r="B211" s="396"/>
      <c r="C211" s="396"/>
      <c r="D211" s="396"/>
      <c r="E211" s="396"/>
      <c r="F211" s="396"/>
      <c r="G211" s="396"/>
      <c r="H211" s="396"/>
      <c r="I211" s="396"/>
      <c r="J211" s="396"/>
      <c r="K211" s="396"/>
      <c r="L211" s="396"/>
    </row>
    <row r="212" spans="1:12" s="395" customFormat="1" ht="18" customHeight="1" x14ac:dyDescent="0.2">
      <c r="B212" s="396"/>
      <c r="C212" s="396"/>
      <c r="D212" s="396"/>
      <c r="E212" s="396"/>
      <c r="F212" s="396"/>
      <c r="G212" s="396"/>
      <c r="H212" s="396"/>
      <c r="I212" s="396"/>
      <c r="J212" s="396"/>
      <c r="K212" s="396"/>
      <c r="L212" s="396"/>
    </row>
    <row r="213" spans="1:12" s="395" customFormat="1" ht="18" customHeight="1" x14ac:dyDescent="0.2">
      <c r="B213" s="396"/>
      <c r="C213" s="396"/>
      <c r="D213" s="396"/>
      <c r="E213" s="396"/>
      <c r="F213" s="396"/>
      <c r="G213" s="396"/>
      <c r="H213" s="396"/>
      <c r="I213" s="396"/>
      <c r="J213" s="396"/>
      <c r="K213" s="396"/>
      <c r="L213" s="396"/>
    </row>
    <row r="214" spans="1:12" s="33" customFormat="1" x14ac:dyDescent="0.2">
      <c r="A214" s="395"/>
      <c r="B214" s="396"/>
      <c r="C214" s="396"/>
      <c r="D214" s="396"/>
      <c r="E214" s="396"/>
      <c r="F214" s="396"/>
      <c r="G214" s="396"/>
      <c r="H214" s="396"/>
      <c r="I214" s="396"/>
      <c r="J214" s="396"/>
      <c r="K214" s="396"/>
      <c r="L214" s="396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zoomScale="80" zoomScaleNormal="80" workbookViewId="0">
      <selection activeCell="Q15" sqref="Q15"/>
    </sheetView>
  </sheetViews>
  <sheetFormatPr defaultRowHeight="14.25" x14ac:dyDescent="0.2"/>
  <cols>
    <col min="1" max="1" width="2.28515625" style="44" customWidth="1"/>
    <col min="2" max="2" width="6.7109375" style="44" customWidth="1"/>
    <col min="3" max="3" width="73.42578125" style="44" customWidth="1"/>
    <col min="4" max="8" width="10.7109375" style="44" customWidth="1"/>
    <col min="9" max="9" width="12.28515625" style="44" customWidth="1"/>
    <col min="10" max="10" width="2.7109375" style="44" customWidth="1"/>
    <col min="11" max="11" width="5.5703125" style="44" customWidth="1"/>
    <col min="12" max="12" width="68.5703125" style="44" customWidth="1"/>
    <col min="13" max="17" width="9.140625" style="44"/>
    <col min="18" max="18" width="11.42578125" style="44" customWidth="1"/>
    <col min="19" max="19" width="2.85546875" style="44" customWidth="1"/>
    <col min="20" max="20" width="6.28515625" style="44" customWidth="1"/>
    <col min="21" max="21" width="70.5703125" style="44" customWidth="1"/>
    <col min="22" max="26" width="9.140625" style="44"/>
    <col min="27" max="27" width="12.42578125" style="44" customWidth="1"/>
    <col min="28" max="28" width="3.85546875" style="44" customWidth="1"/>
    <col min="29" max="37" width="9.140625" style="44"/>
    <col min="38" max="38" width="8.42578125" style="44" bestFit="1" customWidth="1"/>
    <col min="39" max="39" width="16.7109375" style="44" bestFit="1" customWidth="1"/>
    <col min="40" max="16384" width="9.140625" style="44"/>
  </cols>
  <sheetData>
    <row r="1" spans="1:39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9" ht="27.95" customHeight="1" x14ac:dyDescent="0.25">
      <c r="A2" s="63"/>
      <c r="B2" s="340" t="s">
        <v>93</v>
      </c>
      <c r="C2" s="340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2"/>
    </row>
    <row r="3" spans="1:39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32"/>
      <c r="AH3" s="44"/>
      <c r="AI3" s="44"/>
      <c r="AJ3" s="44"/>
      <c r="AK3" s="44"/>
      <c r="AL3" s="44"/>
      <c r="AM3" s="44"/>
    </row>
    <row r="4" spans="1:39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32"/>
      <c r="AH4" s="44"/>
      <c r="AI4" s="44"/>
      <c r="AJ4" s="44"/>
      <c r="AK4" s="44"/>
      <c r="AL4" s="44"/>
      <c r="AM4" s="44"/>
    </row>
    <row r="5" spans="1:39" s="349" customFormat="1" ht="24" customHeight="1" x14ac:dyDescent="0.2">
      <c r="A5" s="346"/>
      <c r="B5" s="471" t="s">
        <v>241</v>
      </c>
      <c r="C5" s="390"/>
      <c r="D5" s="391"/>
      <c r="E5" s="391"/>
      <c r="F5" s="391"/>
      <c r="G5" s="391"/>
      <c r="H5" s="391"/>
      <c r="I5" s="391"/>
      <c r="J5" s="12"/>
      <c r="K5" s="471" t="s">
        <v>242</v>
      </c>
      <c r="L5" s="391"/>
      <c r="M5" s="391"/>
      <c r="N5" s="391"/>
      <c r="O5" s="391"/>
      <c r="P5" s="391"/>
      <c r="Q5" s="391"/>
      <c r="R5" s="391"/>
      <c r="S5" s="347"/>
      <c r="T5" s="471" t="s">
        <v>243</v>
      </c>
      <c r="U5" s="391"/>
      <c r="V5" s="391"/>
      <c r="W5" s="391"/>
      <c r="X5" s="391"/>
      <c r="Y5" s="391"/>
      <c r="Z5" s="391"/>
      <c r="AA5" s="391"/>
      <c r="AB5" s="348"/>
      <c r="AH5" s="44"/>
      <c r="AI5" s="44"/>
      <c r="AJ5" s="44"/>
      <c r="AK5" s="44"/>
      <c r="AL5" s="44"/>
      <c r="AM5" s="44"/>
    </row>
    <row r="6" spans="1:39" s="67" customFormat="1" ht="18" customHeight="1" x14ac:dyDescent="0.2">
      <c r="A6" s="6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32"/>
      <c r="AH6" s="44"/>
      <c r="AI6" s="44"/>
      <c r="AJ6" s="44"/>
      <c r="AK6" s="44"/>
      <c r="AL6" s="44"/>
      <c r="AM6" s="44"/>
    </row>
    <row r="7" spans="1:39" s="67" customFormat="1" ht="22.5" x14ac:dyDescent="0.2">
      <c r="A7" s="66"/>
      <c r="B7" s="75" t="s">
        <v>94</v>
      </c>
      <c r="C7" s="76" t="s">
        <v>95</v>
      </c>
      <c r="D7" s="5">
        <v>2018</v>
      </c>
      <c r="E7" s="4">
        <v>2019</v>
      </c>
      <c r="F7" s="4">
        <v>2020</v>
      </c>
      <c r="G7" s="4">
        <v>2021</v>
      </c>
      <c r="H7" s="6">
        <v>2022</v>
      </c>
      <c r="I7" s="3" t="s">
        <v>73</v>
      </c>
      <c r="J7" s="66"/>
      <c r="K7" s="75" t="s">
        <v>94</v>
      </c>
      <c r="L7" s="76" t="s">
        <v>95</v>
      </c>
      <c r="M7" s="5">
        <v>2018</v>
      </c>
      <c r="N7" s="4">
        <v>2019</v>
      </c>
      <c r="O7" s="4">
        <v>2020</v>
      </c>
      <c r="P7" s="4">
        <v>2021</v>
      </c>
      <c r="Q7" s="6">
        <v>2022</v>
      </c>
      <c r="R7" s="3" t="s">
        <v>73</v>
      </c>
      <c r="S7" s="12"/>
      <c r="T7" s="75" t="s">
        <v>94</v>
      </c>
      <c r="U7" s="76" t="s">
        <v>95</v>
      </c>
      <c r="V7" s="5">
        <v>2018</v>
      </c>
      <c r="W7" s="4">
        <v>2019</v>
      </c>
      <c r="X7" s="4">
        <v>2020</v>
      </c>
      <c r="Y7" s="4">
        <v>2021</v>
      </c>
      <c r="Z7" s="6">
        <v>2022</v>
      </c>
      <c r="AA7" s="3" t="s">
        <v>73</v>
      </c>
      <c r="AB7" s="32"/>
      <c r="AH7" s="44"/>
      <c r="AI7" s="44"/>
      <c r="AJ7" s="44"/>
      <c r="AK7" s="44"/>
      <c r="AL7" s="44"/>
      <c r="AM7" s="44"/>
    </row>
    <row r="8" spans="1:39" s="67" customFormat="1" ht="18" customHeight="1" x14ac:dyDescent="0.2">
      <c r="A8" s="66"/>
      <c r="B8" s="77"/>
      <c r="C8" s="77"/>
      <c r="D8" s="12"/>
      <c r="E8" s="12"/>
      <c r="F8" s="12"/>
      <c r="G8" s="12"/>
      <c r="H8" s="12"/>
      <c r="I8" s="12"/>
      <c r="J8" s="12"/>
      <c r="K8" s="77"/>
      <c r="L8" s="77"/>
      <c r="M8" s="12"/>
      <c r="N8" s="12"/>
      <c r="O8" s="12"/>
      <c r="P8" s="12"/>
      <c r="Q8" s="12"/>
      <c r="R8" s="12"/>
      <c r="S8" s="12"/>
      <c r="T8" s="77"/>
      <c r="U8" s="77"/>
      <c r="V8" s="12"/>
      <c r="W8" s="12"/>
      <c r="X8" s="12"/>
      <c r="Y8" s="12"/>
      <c r="Z8" s="12"/>
      <c r="AA8" s="12"/>
      <c r="AB8" s="32"/>
      <c r="AH8" s="44"/>
      <c r="AI8" s="44"/>
      <c r="AJ8" s="44"/>
      <c r="AK8" s="44"/>
      <c r="AL8" s="44"/>
      <c r="AM8" s="44"/>
    </row>
    <row r="9" spans="1:39" s="345" customFormat="1" ht="18" customHeight="1" x14ac:dyDescent="0.2">
      <c r="A9" s="342"/>
      <c r="B9" s="343" t="s">
        <v>50</v>
      </c>
      <c r="C9" s="343"/>
      <c r="D9" s="343"/>
      <c r="E9" s="343"/>
      <c r="F9" s="343"/>
      <c r="G9" s="343"/>
      <c r="H9" s="343"/>
      <c r="I9" s="343"/>
      <c r="J9" s="188"/>
      <c r="K9" s="343" t="s">
        <v>50</v>
      </c>
      <c r="L9" s="343"/>
      <c r="M9" s="343"/>
      <c r="N9" s="343"/>
      <c r="O9" s="343"/>
      <c r="P9" s="343"/>
      <c r="Q9" s="343"/>
      <c r="R9" s="343"/>
      <c r="S9" s="342"/>
      <c r="T9" s="343" t="s">
        <v>50</v>
      </c>
      <c r="U9" s="343"/>
      <c r="V9" s="343"/>
      <c r="W9" s="343"/>
      <c r="X9" s="343"/>
      <c r="Y9" s="343"/>
      <c r="Z9" s="343"/>
      <c r="AA9" s="343"/>
      <c r="AB9" s="344"/>
      <c r="AH9" s="44"/>
      <c r="AI9" s="44"/>
      <c r="AJ9" s="44"/>
      <c r="AK9" s="44"/>
      <c r="AL9" s="44"/>
      <c r="AM9" s="44"/>
    </row>
    <row r="10" spans="1:39" s="67" customFormat="1" ht="18" customHeight="1" x14ac:dyDescent="0.2">
      <c r="A10" s="12"/>
      <c r="B10" s="2" t="s">
        <v>110</v>
      </c>
      <c r="C10" s="2" t="s">
        <v>111</v>
      </c>
      <c r="D10" s="254">
        <v>449</v>
      </c>
      <c r="E10" s="236">
        <v>449</v>
      </c>
      <c r="F10" s="236">
        <v>344</v>
      </c>
      <c r="G10" s="236">
        <v>743</v>
      </c>
      <c r="H10" s="255">
        <v>399</v>
      </c>
      <c r="I10" s="256">
        <f>SUM(D10:H10)</f>
        <v>2384</v>
      </c>
      <c r="J10" s="32"/>
      <c r="K10" s="2" t="s">
        <v>110</v>
      </c>
      <c r="L10" s="2" t="s">
        <v>111</v>
      </c>
      <c r="M10" s="254">
        <v>0</v>
      </c>
      <c r="N10" s="236">
        <v>0</v>
      </c>
      <c r="O10" s="236">
        <v>0</v>
      </c>
      <c r="P10" s="236">
        <v>0</v>
      </c>
      <c r="Q10" s="255">
        <v>0</v>
      </c>
      <c r="R10" s="256">
        <f>SUM(M10:Q10)</f>
        <v>0</v>
      </c>
      <c r="S10" s="12"/>
      <c r="T10" s="2" t="s">
        <v>110</v>
      </c>
      <c r="U10" s="2" t="s">
        <v>111</v>
      </c>
      <c r="V10" s="254">
        <f t="shared" ref="V10:V17" si="0">D10+M10</f>
        <v>449</v>
      </c>
      <c r="W10" s="236">
        <f t="shared" ref="W10:W17" si="1">E10+N10</f>
        <v>449</v>
      </c>
      <c r="X10" s="236">
        <f t="shared" ref="X10:X17" si="2">F10+O10</f>
        <v>344</v>
      </c>
      <c r="Y10" s="236">
        <f t="shared" ref="Y10:Y17" si="3">G10+P10</f>
        <v>743</v>
      </c>
      <c r="Z10" s="255">
        <f t="shared" ref="Z10:Z17" si="4">H10+Q10</f>
        <v>399</v>
      </c>
      <c r="AA10" s="256">
        <f>SUM(V10:Z10)</f>
        <v>2384</v>
      </c>
      <c r="AB10" s="32"/>
      <c r="AD10" s="328"/>
      <c r="AE10" s="328"/>
      <c r="AH10" s="44"/>
      <c r="AI10" s="44"/>
      <c r="AJ10" s="44"/>
      <c r="AK10" s="44"/>
      <c r="AL10" s="44"/>
      <c r="AM10" s="44"/>
    </row>
    <row r="11" spans="1:39" s="67" customFormat="1" ht="18" customHeight="1" x14ac:dyDescent="0.2">
      <c r="A11" s="12"/>
      <c r="B11" s="2" t="s">
        <v>112</v>
      </c>
      <c r="C11" s="2" t="s">
        <v>113</v>
      </c>
      <c r="D11" s="254">
        <v>0</v>
      </c>
      <c r="E11" s="236">
        <v>0</v>
      </c>
      <c r="F11" s="236">
        <v>48</v>
      </c>
      <c r="G11" s="236">
        <v>443</v>
      </c>
      <c r="H11" s="255">
        <v>0</v>
      </c>
      <c r="I11" s="256">
        <f t="shared" ref="I11:I13" si="5">SUM(D11:H11)</f>
        <v>491</v>
      </c>
      <c r="J11" s="32"/>
      <c r="K11" s="2" t="s">
        <v>112</v>
      </c>
      <c r="L11" s="2" t="s">
        <v>113</v>
      </c>
      <c r="M11" s="254">
        <v>0</v>
      </c>
      <c r="N11" s="236">
        <v>0</v>
      </c>
      <c r="O11" s="236">
        <v>0</v>
      </c>
      <c r="P11" s="236">
        <v>0</v>
      </c>
      <c r="Q11" s="255">
        <v>0</v>
      </c>
      <c r="R11" s="256">
        <f t="shared" ref="R11:R13" si="6">SUM(M11:Q11)</f>
        <v>0</v>
      </c>
      <c r="S11" s="12"/>
      <c r="T11" s="2" t="s">
        <v>112</v>
      </c>
      <c r="U11" s="2" t="s">
        <v>113</v>
      </c>
      <c r="V11" s="254">
        <f t="shared" si="0"/>
        <v>0</v>
      </c>
      <c r="W11" s="236">
        <f t="shared" si="1"/>
        <v>0</v>
      </c>
      <c r="X11" s="236">
        <f t="shared" si="2"/>
        <v>48</v>
      </c>
      <c r="Y11" s="236">
        <f t="shared" si="3"/>
        <v>443</v>
      </c>
      <c r="Z11" s="255">
        <f t="shared" si="4"/>
        <v>0</v>
      </c>
      <c r="AA11" s="256">
        <f t="shared" ref="AA11:AA13" si="7">SUM(V11:Z11)</f>
        <v>491</v>
      </c>
      <c r="AB11" s="32"/>
      <c r="AD11" s="328"/>
      <c r="AE11" s="328"/>
      <c r="AH11" s="44"/>
      <c r="AI11" s="44"/>
      <c r="AJ11" s="44"/>
      <c r="AK11" s="44"/>
      <c r="AL11" s="44"/>
      <c r="AM11" s="44"/>
    </row>
    <row r="12" spans="1:39" s="67" customFormat="1" ht="18" customHeight="1" x14ac:dyDescent="0.2">
      <c r="A12" s="12"/>
      <c r="B12" s="2" t="s">
        <v>114</v>
      </c>
      <c r="C12" s="2" t="s">
        <v>115</v>
      </c>
      <c r="D12" s="254">
        <v>3595</v>
      </c>
      <c r="E12" s="236">
        <v>6784</v>
      </c>
      <c r="F12" s="236">
        <v>3392</v>
      </c>
      <c r="G12" s="236">
        <v>0</v>
      </c>
      <c r="H12" s="255">
        <v>0</v>
      </c>
      <c r="I12" s="256">
        <f t="shared" si="5"/>
        <v>13771</v>
      </c>
      <c r="J12" s="66"/>
      <c r="K12" s="2" t="s">
        <v>114</v>
      </c>
      <c r="L12" s="2" t="s">
        <v>115</v>
      </c>
      <c r="M12" s="254">
        <v>0</v>
      </c>
      <c r="N12" s="236">
        <v>0</v>
      </c>
      <c r="O12" s="236">
        <v>0</v>
      </c>
      <c r="P12" s="236">
        <v>0</v>
      </c>
      <c r="Q12" s="255">
        <v>0</v>
      </c>
      <c r="R12" s="256">
        <f t="shared" si="6"/>
        <v>0</v>
      </c>
      <c r="S12" s="12"/>
      <c r="T12" s="2" t="s">
        <v>114</v>
      </c>
      <c r="U12" s="2" t="s">
        <v>115</v>
      </c>
      <c r="V12" s="254">
        <f t="shared" si="0"/>
        <v>3595</v>
      </c>
      <c r="W12" s="236">
        <f t="shared" si="1"/>
        <v>6784</v>
      </c>
      <c r="X12" s="236">
        <f t="shared" si="2"/>
        <v>3392</v>
      </c>
      <c r="Y12" s="236">
        <f t="shared" si="3"/>
        <v>0</v>
      </c>
      <c r="Z12" s="255">
        <f t="shared" si="4"/>
        <v>0</v>
      </c>
      <c r="AA12" s="256">
        <f t="shared" si="7"/>
        <v>13771</v>
      </c>
      <c r="AB12" s="32"/>
      <c r="AD12" s="328"/>
      <c r="AE12" s="328"/>
      <c r="AH12" s="44"/>
      <c r="AI12" s="44"/>
      <c r="AJ12" s="44"/>
      <c r="AK12" s="44"/>
      <c r="AL12" s="44"/>
      <c r="AM12" s="44"/>
    </row>
    <row r="13" spans="1:39" s="67" customFormat="1" ht="18" customHeight="1" x14ac:dyDescent="0.2">
      <c r="A13" s="12"/>
      <c r="B13" s="2" t="s">
        <v>116</v>
      </c>
      <c r="C13" s="2" t="s">
        <v>117</v>
      </c>
      <c r="D13" s="598">
        <f>895-852+1125.58</f>
        <v>1168.58</v>
      </c>
      <c r="E13" s="236">
        <v>1135</v>
      </c>
      <c r="F13" s="236">
        <v>3253</v>
      </c>
      <c r="G13" s="236">
        <v>1646</v>
      </c>
      <c r="H13" s="255">
        <v>1700</v>
      </c>
      <c r="I13" s="256">
        <f t="shared" si="5"/>
        <v>8902.58</v>
      </c>
      <c r="J13" s="66"/>
      <c r="K13" s="2" t="s">
        <v>116</v>
      </c>
      <c r="L13" s="2" t="s">
        <v>117</v>
      </c>
      <c r="M13" s="254">
        <v>0</v>
      </c>
      <c r="N13" s="236">
        <v>0</v>
      </c>
      <c r="O13" s="236">
        <v>0</v>
      </c>
      <c r="P13" s="236">
        <v>0</v>
      </c>
      <c r="Q13" s="255">
        <v>0</v>
      </c>
      <c r="R13" s="256">
        <f t="shared" si="6"/>
        <v>0</v>
      </c>
      <c r="S13" s="12"/>
      <c r="T13" s="2" t="s">
        <v>116</v>
      </c>
      <c r="U13" s="2" t="s">
        <v>117</v>
      </c>
      <c r="V13" s="254">
        <f t="shared" si="0"/>
        <v>1168.58</v>
      </c>
      <c r="W13" s="236">
        <f t="shared" si="1"/>
        <v>1135</v>
      </c>
      <c r="X13" s="236">
        <f t="shared" si="2"/>
        <v>3253</v>
      </c>
      <c r="Y13" s="236">
        <f t="shared" si="3"/>
        <v>1646</v>
      </c>
      <c r="Z13" s="255">
        <f t="shared" si="4"/>
        <v>1700</v>
      </c>
      <c r="AA13" s="256">
        <f t="shared" si="7"/>
        <v>8902.58</v>
      </c>
      <c r="AB13" s="32"/>
      <c r="AD13" s="328"/>
      <c r="AE13" s="328"/>
      <c r="AH13" s="44"/>
      <c r="AI13" s="44"/>
      <c r="AJ13" s="44"/>
      <c r="AK13" s="44"/>
      <c r="AL13" s="44"/>
      <c r="AM13" s="44"/>
    </row>
    <row r="14" spans="1:39" s="67" customFormat="1" ht="18" customHeight="1" x14ac:dyDescent="0.2">
      <c r="A14" s="12"/>
      <c r="B14" s="2" t="s">
        <v>118</v>
      </c>
      <c r="C14" s="2" t="s">
        <v>119</v>
      </c>
      <c r="D14" s="254">
        <v>446</v>
      </c>
      <c r="E14" s="236">
        <v>651</v>
      </c>
      <c r="F14" s="236">
        <v>0</v>
      </c>
      <c r="G14" s="236">
        <v>555</v>
      </c>
      <c r="H14" s="255">
        <v>0</v>
      </c>
      <c r="I14" s="256">
        <f>SUM(D14:H14)</f>
        <v>1652</v>
      </c>
      <c r="J14" s="66"/>
      <c r="K14" s="2" t="s">
        <v>118</v>
      </c>
      <c r="L14" s="2" t="s">
        <v>119</v>
      </c>
      <c r="M14" s="254">
        <v>0</v>
      </c>
      <c r="N14" s="236">
        <v>0</v>
      </c>
      <c r="O14" s="236">
        <v>0</v>
      </c>
      <c r="P14" s="236">
        <v>0</v>
      </c>
      <c r="Q14" s="255">
        <v>0</v>
      </c>
      <c r="R14" s="256">
        <f>SUM(M14:Q14)</f>
        <v>0</v>
      </c>
      <c r="S14" s="12"/>
      <c r="T14" s="2" t="s">
        <v>118</v>
      </c>
      <c r="U14" s="2" t="s">
        <v>119</v>
      </c>
      <c r="V14" s="254">
        <f t="shared" si="0"/>
        <v>446</v>
      </c>
      <c r="W14" s="236">
        <f t="shared" si="1"/>
        <v>651</v>
      </c>
      <c r="X14" s="236">
        <f t="shared" si="2"/>
        <v>0</v>
      </c>
      <c r="Y14" s="236">
        <f t="shared" si="3"/>
        <v>555</v>
      </c>
      <c r="Z14" s="255">
        <f t="shared" si="4"/>
        <v>0</v>
      </c>
      <c r="AA14" s="256">
        <f>SUM(V14:Z14)</f>
        <v>1652</v>
      </c>
      <c r="AB14" s="32"/>
      <c r="AD14" s="328"/>
      <c r="AE14" s="328"/>
      <c r="AH14" s="44"/>
      <c r="AI14" s="44"/>
      <c r="AJ14" s="44"/>
      <c r="AK14" s="44"/>
      <c r="AL14" s="44"/>
      <c r="AM14" s="44"/>
    </row>
    <row r="15" spans="1:39" s="67" customFormat="1" ht="18" customHeight="1" x14ac:dyDescent="0.2">
      <c r="A15" s="12"/>
      <c r="B15" s="2" t="s">
        <v>120</v>
      </c>
      <c r="C15" s="2" t="s">
        <v>121</v>
      </c>
      <c r="D15" s="254"/>
      <c r="E15" s="236"/>
      <c r="F15" s="236"/>
      <c r="G15" s="236"/>
      <c r="H15" s="255"/>
      <c r="I15" s="256">
        <f t="shared" ref="I15" si="8">SUM(D15:H15)</f>
        <v>0</v>
      </c>
      <c r="J15" s="66"/>
      <c r="K15" s="2" t="s">
        <v>120</v>
      </c>
      <c r="L15" s="2" t="s">
        <v>121</v>
      </c>
      <c r="M15" s="254">
        <v>0</v>
      </c>
      <c r="N15" s="236">
        <v>0</v>
      </c>
      <c r="O15" s="236">
        <v>0</v>
      </c>
      <c r="P15" s="236">
        <v>0</v>
      </c>
      <c r="Q15" s="255">
        <v>0</v>
      </c>
      <c r="R15" s="256">
        <f t="shared" ref="R15" si="9">SUM(M15:Q15)</f>
        <v>0</v>
      </c>
      <c r="S15" s="12"/>
      <c r="T15" s="2" t="s">
        <v>120</v>
      </c>
      <c r="U15" s="2" t="s">
        <v>121</v>
      </c>
      <c r="V15" s="254">
        <f t="shared" si="0"/>
        <v>0</v>
      </c>
      <c r="W15" s="236">
        <f t="shared" si="1"/>
        <v>0</v>
      </c>
      <c r="X15" s="236">
        <f t="shared" si="2"/>
        <v>0</v>
      </c>
      <c r="Y15" s="236">
        <f t="shared" si="3"/>
        <v>0</v>
      </c>
      <c r="Z15" s="255">
        <f t="shared" si="4"/>
        <v>0</v>
      </c>
      <c r="AA15" s="256">
        <f t="shared" ref="AA15" si="10">SUM(V15:Z15)</f>
        <v>0</v>
      </c>
      <c r="AB15" s="32"/>
      <c r="AD15" s="328"/>
      <c r="AE15" s="328"/>
      <c r="AH15" s="44"/>
      <c r="AI15" s="44"/>
      <c r="AJ15" s="44"/>
      <c r="AK15" s="44"/>
      <c r="AL15" s="44"/>
      <c r="AM15" s="44"/>
    </row>
    <row r="16" spans="1:39" s="67" customFormat="1" ht="18" customHeight="1" x14ac:dyDescent="0.2">
      <c r="A16" s="12"/>
      <c r="B16" s="2" t="s">
        <v>165</v>
      </c>
      <c r="C16" s="2" t="s">
        <v>166</v>
      </c>
      <c r="D16" s="254">
        <v>227.5</v>
      </c>
      <c r="E16" s="236">
        <v>0</v>
      </c>
      <c r="F16" s="236">
        <v>0</v>
      </c>
      <c r="G16" s="236">
        <v>0</v>
      </c>
      <c r="H16" s="255">
        <v>0</v>
      </c>
      <c r="I16" s="256">
        <f>SUM(D16:H16)</f>
        <v>227.5</v>
      </c>
      <c r="J16" s="66"/>
      <c r="K16" s="2" t="s">
        <v>165</v>
      </c>
      <c r="L16" s="2" t="s">
        <v>166</v>
      </c>
      <c r="M16" s="254">
        <v>0</v>
      </c>
      <c r="N16" s="236">
        <v>0</v>
      </c>
      <c r="O16" s="236">
        <v>0</v>
      </c>
      <c r="P16" s="236">
        <v>0</v>
      </c>
      <c r="Q16" s="255">
        <v>0</v>
      </c>
      <c r="R16" s="256">
        <f>SUM(M16:Q16)</f>
        <v>0</v>
      </c>
      <c r="S16" s="12"/>
      <c r="T16" s="2" t="s">
        <v>165</v>
      </c>
      <c r="U16" s="2" t="s">
        <v>166</v>
      </c>
      <c r="V16" s="254">
        <f t="shared" si="0"/>
        <v>227.5</v>
      </c>
      <c r="W16" s="236">
        <f t="shared" si="1"/>
        <v>0</v>
      </c>
      <c r="X16" s="236">
        <f t="shared" si="2"/>
        <v>0</v>
      </c>
      <c r="Y16" s="236">
        <f t="shared" si="3"/>
        <v>0</v>
      </c>
      <c r="Z16" s="255">
        <f t="shared" si="4"/>
        <v>0</v>
      </c>
      <c r="AA16" s="256">
        <f>SUM(V16:Z16)</f>
        <v>227.5</v>
      </c>
      <c r="AB16" s="32"/>
      <c r="AD16" s="328"/>
      <c r="AE16" s="328"/>
      <c r="AH16" s="44"/>
      <c r="AI16" s="44"/>
      <c r="AJ16" s="44"/>
      <c r="AK16" s="44"/>
      <c r="AL16" s="44"/>
      <c r="AM16" s="44"/>
    </row>
    <row r="17" spans="1:39" s="67" customFormat="1" ht="18" customHeight="1" x14ac:dyDescent="0.2">
      <c r="A17" s="12"/>
      <c r="B17" s="2" t="s">
        <v>202</v>
      </c>
      <c r="C17" s="2" t="s">
        <v>203</v>
      </c>
      <c r="D17" s="254">
        <v>0</v>
      </c>
      <c r="E17" s="236">
        <v>150</v>
      </c>
      <c r="F17" s="236">
        <v>203</v>
      </c>
      <c r="G17" s="236">
        <v>0</v>
      </c>
      <c r="H17" s="255">
        <v>0</v>
      </c>
      <c r="I17" s="256">
        <f>SUM(D17:H17)</f>
        <v>353</v>
      </c>
      <c r="J17" s="12"/>
      <c r="K17" s="2" t="s">
        <v>202</v>
      </c>
      <c r="L17" s="2" t="s">
        <v>203</v>
      </c>
      <c r="M17" s="254">
        <v>0</v>
      </c>
      <c r="N17" s="236">
        <v>0</v>
      </c>
      <c r="O17" s="236">
        <v>0</v>
      </c>
      <c r="P17" s="236">
        <v>0</v>
      </c>
      <c r="Q17" s="255">
        <v>0</v>
      </c>
      <c r="R17" s="256">
        <f>SUM(M17:Q17)</f>
        <v>0</v>
      </c>
      <c r="S17" s="12"/>
      <c r="T17" s="2" t="s">
        <v>202</v>
      </c>
      <c r="U17" s="2" t="s">
        <v>203</v>
      </c>
      <c r="V17" s="254">
        <f t="shared" si="0"/>
        <v>0</v>
      </c>
      <c r="W17" s="236">
        <f t="shared" si="1"/>
        <v>150</v>
      </c>
      <c r="X17" s="236">
        <f t="shared" si="2"/>
        <v>203</v>
      </c>
      <c r="Y17" s="236">
        <f t="shared" si="3"/>
        <v>0</v>
      </c>
      <c r="Z17" s="255">
        <f t="shared" si="4"/>
        <v>0</v>
      </c>
      <c r="AA17" s="256">
        <f>SUM(V17:Z17)</f>
        <v>353</v>
      </c>
      <c r="AB17" s="32"/>
      <c r="AD17" s="328"/>
      <c r="AE17" s="328"/>
      <c r="AH17" s="44"/>
      <c r="AI17" s="44"/>
      <c r="AJ17" s="44"/>
      <c r="AK17" s="44"/>
      <c r="AL17" s="44"/>
      <c r="AM17" s="44"/>
    </row>
    <row r="18" spans="1:39" s="67" customFormat="1" ht="18" customHeight="1" x14ac:dyDescent="0.2">
      <c r="A18" s="12"/>
      <c r="B18" s="2" t="s">
        <v>406</v>
      </c>
      <c r="C18" s="2" t="s">
        <v>407</v>
      </c>
      <c r="D18" s="254">
        <v>3206</v>
      </c>
      <c r="E18" s="236">
        <v>2570</v>
      </c>
      <c r="F18" s="236">
        <v>0</v>
      </c>
      <c r="G18" s="236">
        <v>0</v>
      </c>
      <c r="H18" s="255">
        <v>0</v>
      </c>
      <c r="I18" s="256">
        <f>SUM(D18:H18)</f>
        <v>5776</v>
      </c>
      <c r="J18" s="12"/>
      <c r="K18" s="2" t="str">
        <f>B18</f>
        <v>V106</v>
      </c>
      <c r="L18" s="2" t="str">
        <f>C18</f>
        <v>Sale City Gate Inlet Pressure Reduction (TP14 Duplication)</v>
      </c>
      <c r="M18" s="254">
        <v>0</v>
      </c>
      <c r="N18" s="236">
        <v>0</v>
      </c>
      <c r="O18" s="236">
        <v>0</v>
      </c>
      <c r="P18" s="236">
        <v>0</v>
      </c>
      <c r="Q18" s="255">
        <v>0</v>
      </c>
      <c r="R18" s="256">
        <f>SUM(M18:Q18)</f>
        <v>0</v>
      </c>
      <c r="S18" s="12"/>
      <c r="T18" s="2" t="str">
        <f>B18</f>
        <v>V106</v>
      </c>
      <c r="U18" s="2" t="str">
        <f>C18</f>
        <v>Sale City Gate Inlet Pressure Reduction (TP14 Duplication)</v>
      </c>
      <c r="V18" s="254">
        <f t="shared" ref="V18" si="11">D18+M18</f>
        <v>3206</v>
      </c>
      <c r="W18" s="236">
        <f t="shared" ref="W18" si="12">E18+N18</f>
        <v>2570</v>
      </c>
      <c r="X18" s="236">
        <f t="shared" ref="X18" si="13">F18+O18</f>
        <v>0</v>
      </c>
      <c r="Y18" s="236">
        <f t="shared" ref="Y18" si="14">G18+P18</f>
        <v>0</v>
      </c>
      <c r="Z18" s="255">
        <f t="shared" ref="Z18" si="15">H18+Q18</f>
        <v>0</v>
      </c>
      <c r="AA18" s="256">
        <f>SUM(V18:Z18)</f>
        <v>5776</v>
      </c>
      <c r="AB18" s="32"/>
      <c r="AD18" s="328"/>
      <c r="AE18" s="328"/>
      <c r="AH18" s="44"/>
      <c r="AI18" s="44"/>
      <c r="AJ18" s="44"/>
      <c r="AK18" s="44"/>
      <c r="AL18" s="44"/>
      <c r="AM18" s="44"/>
    </row>
    <row r="19" spans="1:39" s="78" customFormat="1" ht="18" customHeight="1" thickBot="1" x14ac:dyDescent="0.25">
      <c r="A19" s="77"/>
      <c r="B19" s="237" t="s">
        <v>97</v>
      </c>
      <c r="C19" s="237"/>
      <c r="D19" s="257">
        <f>SUM(D10:D18)</f>
        <v>9092.08</v>
      </c>
      <c r="E19" s="258">
        <f>SUM(E10:E18)</f>
        <v>11739</v>
      </c>
      <c r="F19" s="258">
        <f t="shared" ref="F19:H19" si="16">SUM(F10:F17)</f>
        <v>7240</v>
      </c>
      <c r="G19" s="258">
        <f t="shared" si="16"/>
        <v>3387</v>
      </c>
      <c r="H19" s="259">
        <f t="shared" si="16"/>
        <v>2099</v>
      </c>
      <c r="I19" s="258">
        <f>SUM(I10:I18)</f>
        <v>33557.08</v>
      </c>
      <c r="J19" s="77"/>
      <c r="K19" s="237" t="s">
        <v>97</v>
      </c>
      <c r="L19" s="237"/>
      <c r="M19" s="257">
        <f>SUM(M10:M18)</f>
        <v>0</v>
      </c>
      <c r="N19" s="258">
        <f t="shared" ref="N19:R19" si="17">SUM(N10:N18)</f>
        <v>0</v>
      </c>
      <c r="O19" s="258">
        <f t="shared" si="17"/>
        <v>0</v>
      </c>
      <c r="P19" s="258">
        <f t="shared" si="17"/>
        <v>0</v>
      </c>
      <c r="Q19" s="259">
        <f t="shared" si="17"/>
        <v>0</v>
      </c>
      <c r="R19" s="258">
        <f t="shared" si="17"/>
        <v>0</v>
      </c>
      <c r="S19" s="12"/>
      <c r="T19" s="237" t="s">
        <v>97</v>
      </c>
      <c r="U19" s="237"/>
      <c r="V19" s="257">
        <f>SUM(V10:V18)</f>
        <v>9092.08</v>
      </c>
      <c r="W19" s="258">
        <f t="shared" ref="W19:AA19" si="18">SUM(W10:W18)</f>
        <v>11739</v>
      </c>
      <c r="X19" s="258">
        <f t="shared" si="18"/>
        <v>7240</v>
      </c>
      <c r="Y19" s="258">
        <f t="shared" si="18"/>
        <v>3387</v>
      </c>
      <c r="Z19" s="259">
        <f t="shared" si="18"/>
        <v>2099</v>
      </c>
      <c r="AA19" s="258">
        <f t="shared" si="18"/>
        <v>33557.08</v>
      </c>
      <c r="AB19" s="32"/>
      <c r="AD19" s="328"/>
      <c r="AE19" s="328"/>
      <c r="AH19" s="44"/>
      <c r="AI19" s="44"/>
      <c r="AJ19" s="44"/>
      <c r="AK19" s="44"/>
      <c r="AL19" s="44"/>
      <c r="AM19" s="44"/>
    </row>
    <row r="20" spans="1:39" s="67" customFormat="1" ht="18" customHeight="1" x14ac:dyDescent="0.2">
      <c r="A20" s="12"/>
      <c r="B20" s="2"/>
      <c r="C20" s="2"/>
      <c r="D20" s="516"/>
      <c r="E20" s="516"/>
      <c r="F20" s="516"/>
      <c r="G20" s="516"/>
      <c r="H20" s="516"/>
      <c r="I20" s="516"/>
      <c r="J20" s="12"/>
      <c r="K20" s="2"/>
      <c r="L20" s="2"/>
      <c r="M20" s="516"/>
      <c r="N20" s="516"/>
      <c r="O20" s="516"/>
      <c r="P20" s="516"/>
      <c r="Q20" s="516"/>
      <c r="R20" s="516"/>
      <c r="S20" s="12"/>
      <c r="T20" s="2"/>
      <c r="U20" s="2" t="s">
        <v>11</v>
      </c>
      <c r="V20" s="516">
        <f>V19-M19-D19</f>
        <v>0</v>
      </c>
      <c r="W20" s="516">
        <f t="shared" ref="W20" si="19">W19-N19-E19</f>
        <v>0</v>
      </c>
      <c r="X20" s="516">
        <f t="shared" ref="X20" si="20">X19-O19-F19</f>
        <v>0</v>
      </c>
      <c r="Y20" s="516">
        <f t="shared" ref="Y20" si="21">Y19-P19-G19</f>
        <v>0</v>
      </c>
      <c r="Z20" s="516">
        <f t="shared" ref="Z20" si="22">Z19-Q19-H19</f>
        <v>0</v>
      </c>
      <c r="AA20" s="516">
        <f t="shared" ref="AA20" si="23">AA19-R19-I19</f>
        <v>0</v>
      </c>
      <c r="AB20" s="32"/>
      <c r="AD20" s="328"/>
      <c r="AE20" s="328"/>
      <c r="AH20" s="44"/>
      <c r="AI20" s="44"/>
      <c r="AJ20" s="44"/>
      <c r="AK20" s="44"/>
      <c r="AL20" s="44"/>
      <c r="AM20" s="44"/>
    </row>
    <row r="21" spans="1:39" s="67" customFormat="1" ht="18" customHeight="1" x14ac:dyDescent="0.2">
      <c r="A21" s="12"/>
      <c r="B21" s="343" t="s">
        <v>2</v>
      </c>
      <c r="C21" s="343"/>
      <c r="D21" s="343"/>
      <c r="E21" s="343"/>
      <c r="F21" s="343"/>
      <c r="G21" s="343"/>
      <c r="H21" s="343"/>
      <c r="I21" s="343"/>
      <c r="J21" s="188"/>
      <c r="K21" s="343" t="s">
        <v>2</v>
      </c>
      <c r="L21" s="343"/>
      <c r="M21" s="343"/>
      <c r="N21" s="343"/>
      <c r="O21" s="343"/>
      <c r="P21" s="343"/>
      <c r="Q21" s="343"/>
      <c r="R21" s="343"/>
      <c r="S21" s="342"/>
      <c r="T21" s="343" t="s">
        <v>2</v>
      </c>
      <c r="U21" s="343"/>
      <c r="V21" s="343"/>
      <c r="W21" s="343"/>
      <c r="X21" s="343"/>
      <c r="Y21" s="343"/>
      <c r="Z21" s="343"/>
      <c r="AA21" s="343"/>
      <c r="AB21" s="32"/>
      <c r="AD21" s="328"/>
      <c r="AE21" s="328"/>
      <c r="AH21" s="44"/>
      <c r="AI21" s="44"/>
      <c r="AJ21" s="44"/>
      <c r="AK21" s="44"/>
      <c r="AL21" s="44"/>
      <c r="AM21" s="44"/>
    </row>
    <row r="22" spans="1:39" s="67" customFormat="1" ht="18" customHeight="1" x14ac:dyDescent="0.2">
      <c r="A22" s="12"/>
      <c r="B22" s="2" t="s">
        <v>122</v>
      </c>
      <c r="C22" s="2" t="s">
        <v>266</v>
      </c>
      <c r="D22" s="254">
        <v>4480.8542086086127</v>
      </c>
      <c r="E22" s="236">
        <v>3253.1839533260732</v>
      </c>
      <c r="F22" s="236">
        <v>4498.8961189564961</v>
      </c>
      <c r="G22" s="236">
        <v>3273.8969498147885</v>
      </c>
      <c r="H22" s="255">
        <v>5791.7871278627008</v>
      </c>
      <c r="I22" s="256">
        <f t="shared" ref="I22:I27" si="24">SUM(D22:H22)</f>
        <v>21298.618358568674</v>
      </c>
      <c r="J22" s="12"/>
      <c r="K22" s="2" t="s">
        <v>122</v>
      </c>
      <c r="L22" s="2" t="str">
        <f>C22</f>
        <v>Applications Renewal</v>
      </c>
      <c r="M22" s="254">
        <v>156.19725478888833</v>
      </c>
      <c r="N22" s="236">
        <v>113.4021280711523</v>
      </c>
      <c r="O22" s="236">
        <v>156.8261743511612</v>
      </c>
      <c r="P22" s="236">
        <v>114.12415852324189</v>
      </c>
      <c r="Q22" s="255">
        <v>201.89481906278934</v>
      </c>
      <c r="R22" s="256">
        <f t="shared" ref="R22:R27" si="25">SUM(M22:Q22)</f>
        <v>742.44453479723313</v>
      </c>
      <c r="S22" s="12"/>
      <c r="T22" s="2" t="s">
        <v>122</v>
      </c>
      <c r="U22" s="2" t="str">
        <f>C22</f>
        <v>Applications Renewal</v>
      </c>
      <c r="V22" s="254">
        <f t="shared" ref="V22:Z27" si="26">D22+M22</f>
        <v>4637.0514633975008</v>
      </c>
      <c r="W22" s="236">
        <f t="shared" si="26"/>
        <v>3366.5860813972254</v>
      </c>
      <c r="X22" s="236">
        <f t="shared" si="26"/>
        <v>4655.7222933076573</v>
      </c>
      <c r="Y22" s="236">
        <f t="shared" si="26"/>
        <v>3388.0211083380304</v>
      </c>
      <c r="Z22" s="255">
        <f t="shared" si="26"/>
        <v>5993.6819469254897</v>
      </c>
      <c r="AA22" s="256">
        <f t="shared" ref="AA22:AA27" si="27">SUM(V22:Z22)</f>
        <v>22041.062893365903</v>
      </c>
      <c r="AB22" s="32"/>
      <c r="AD22" s="328"/>
      <c r="AE22" s="328"/>
      <c r="AH22" s="44"/>
      <c r="AI22" s="44"/>
      <c r="AJ22" s="44"/>
      <c r="AK22" s="44"/>
      <c r="AL22" s="44"/>
      <c r="AM22" s="44"/>
    </row>
    <row r="23" spans="1:39" s="67" customFormat="1" ht="18" customHeight="1" x14ac:dyDescent="0.2">
      <c r="A23" s="12"/>
      <c r="B23" s="2" t="s">
        <v>123</v>
      </c>
      <c r="C23" s="2" t="s">
        <v>267</v>
      </c>
      <c r="D23" s="254">
        <v>2469.7558732274993</v>
      </c>
      <c r="E23" s="236">
        <v>4869.3444633739609</v>
      </c>
      <c r="F23" s="236">
        <v>3246.2296422493068</v>
      </c>
      <c r="G23" s="236">
        <v>119.68493679999993</v>
      </c>
      <c r="H23" s="255">
        <v>0</v>
      </c>
      <c r="I23" s="256">
        <f t="shared" si="24"/>
        <v>10705.014915650767</v>
      </c>
      <c r="J23" s="12"/>
      <c r="K23" s="2" t="s">
        <v>123</v>
      </c>
      <c r="L23" s="2" t="str">
        <f t="shared" ref="L23:L27" si="28">C23</f>
        <v>Business Intelligence</v>
      </c>
      <c r="M23" s="254">
        <v>86.092755853499966</v>
      </c>
      <c r="N23" s="236">
        <v>169.73956357233476</v>
      </c>
      <c r="O23" s="236">
        <v>113.15970904822316</v>
      </c>
      <c r="P23" s="236">
        <v>4.1720747199999977</v>
      </c>
      <c r="Q23" s="255">
        <v>0</v>
      </c>
      <c r="R23" s="256">
        <f t="shared" si="25"/>
        <v>373.16410319405787</v>
      </c>
      <c r="S23" s="12"/>
      <c r="T23" s="2" t="s">
        <v>123</v>
      </c>
      <c r="U23" s="2" t="str">
        <f t="shared" ref="U23:U27" si="29">C23</f>
        <v>Business Intelligence</v>
      </c>
      <c r="V23" s="254">
        <f t="shared" si="26"/>
        <v>2555.8486290809992</v>
      </c>
      <c r="W23" s="236">
        <f t="shared" si="26"/>
        <v>5039.084026946296</v>
      </c>
      <c r="X23" s="236">
        <f t="shared" si="26"/>
        <v>3359.3893512975301</v>
      </c>
      <c r="Y23" s="236">
        <f t="shared" si="26"/>
        <v>123.85701151999993</v>
      </c>
      <c r="Z23" s="255">
        <f t="shared" si="26"/>
        <v>0</v>
      </c>
      <c r="AA23" s="256">
        <f t="shared" si="27"/>
        <v>11078.179018844825</v>
      </c>
      <c r="AB23" s="32"/>
      <c r="AD23" s="328"/>
      <c r="AE23" s="328"/>
      <c r="AH23" s="44"/>
      <c r="AI23" s="44"/>
      <c r="AJ23" s="44"/>
      <c r="AK23" s="44"/>
      <c r="AL23" s="44"/>
      <c r="AM23" s="44"/>
    </row>
    <row r="24" spans="1:39" s="67" customFormat="1" ht="18" customHeight="1" x14ac:dyDescent="0.2">
      <c r="A24" s="12"/>
      <c r="B24" s="2" t="s">
        <v>124</v>
      </c>
      <c r="C24" s="2" t="s">
        <v>268</v>
      </c>
      <c r="D24" s="254">
        <v>2478.2526237039997</v>
      </c>
      <c r="E24" s="236">
        <v>3060.7838521260001</v>
      </c>
      <c r="F24" s="236">
        <v>3120.6263205259997</v>
      </c>
      <c r="G24" s="236">
        <v>1371.6069764539998</v>
      </c>
      <c r="H24" s="255">
        <v>0</v>
      </c>
      <c r="I24" s="256">
        <f t="shared" si="24"/>
        <v>10031.269772809999</v>
      </c>
      <c r="J24" s="12"/>
      <c r="K24" s="2" t="s">
        <v>124</v>
      </c>
      <c r="L24" s="2" t="str">
        <f t="shared" si="28"/>
        <v>Mobility Integration</v>
      </c>
      <c r="M24" s="254">
        <v>86.388942481599983</v>
      </c>
      <c r="N24" s="236">
        <v>106.69528910039999</v>
      </c>
      <c r="O24" s="236">
        <v>108.7813264604</v>
      </c>
      <c r="P24" s="236">
        <v>47.812589831599993</v>
      </c>
      <c r="Q24" s="255">
        <v>0</v>
      </c>
      <c r="R24" s="256">
        <f t="shared" si="25"/>
        <v>349.67814787399999</v>
      </c>
      <c r="S24" s="12"/>
      <c r="T24" s="2" t="s">
        <v>124</v>
      </c>
      <c r="U24" s="2" t="str">
        <f t="shared" si="29"/>
        <v>Mobility Integration</v>
      </c>
      <c r="V24" s="254">
        <f t="shared" si="26"/>
        <v>2564.6415661855995</v>
      </c>
      <c r="W24" s="236">
        <f t="shared" si="26"/>
        <v>3167.4791412263999</v>
      </c>
      <c r="X24" s="236">
        <f t="shared" si="26"/>
        <v>3229.4076469863999</v>
      </c>
      <c r="Y24" s="236">
        <f t="shared" si="26"/>
        <v>1419.4195662855998</v>
      </c>
      <c r="Z24" s="255">
        <f t="shared" si="26"/>
        <v>0</v>
      </c>
      <c r="AA24" s="256">
        <f t="shared" si="27"/>
        <v>10380.947920683999</v>
      </c>
      <c r="AB24" s="32"/>
      <c r="AD24" s="328"/>
      <c r="AE24" s="328"/>
      <c r="AH24" s="44"/>
      <c r="AI24" s="44"/>
      <c r="AJ24" s="44"/>
      <c r="AK24" s="44"/>
      <c r="AL24" s="44"/>
      <c r="AM24" s="44"/>
    </row>
    <row r="25" spans="1:39" s="67" customFormat="1" ht="18" customHeight="1" x14ac:dyDescent="0.2">
      <c r="A25" s="12"/>
      <c r="B25" s="2" t="s">
        <v>125</v>
      </c>
      <c r="C25" s="2" t="s">
        <v>269</v>
      </c>
      <c r="D25" s="254">
        <v>0</v>
      </c>
      <c r="E25" s="236">
        <v>10696.819225592501</v>
      </c>
      <c r="F25" s="236">
        <v>4733.957267682501</v>
      </c>
      <c r="G25" s="236">
        <v>198.09465562664658</v>
      </c>
      <c r="H25" s="255">
        <v>0</v>
      </c>
      <c r="I25" s="256">
        <f t="shared" si="24"/>
        <v>15628.871148901648</v>
      </c>
      <c r="J25" s="12"/>
      <c r="K25" s="2" t="s">
        <v>125</v>
      </c>
      <c r="L25" s="2" t="str">
        <f t="shared" si="28"/>
        <v>GIS Upgrade</v>
      </c>
      <c r="M25" s="254">
        <v>0</v>
      </c>
      <c r="N25" s="236">
        <v>372.87841117450006</v>
      </c>
      <c r="O25" s="236">
        <v>165.02012676050003</v>
      </c>
      <c r="P25" s="236">
        <v>6.9053443733534055</v>
      </c>
      <c r="Q25" s="255">
        <v>0</v>
      </c>
      <c r="R25" s="256">
        <f t="shared" si="25"/>
        <v>544.80388230835354</v>
      </c>
      <c r="S25" s="12"/>
      <c r="T25" s="2" t="s">
        <v>125</v>
      </c>
      <c r="U25" s="2" t="str">
        <f t="shared" si="29"/>
        <v>GIS Upgrade</v>
      </c>
      <c r="V25" s="254">
        <f t="shared" si="26"/>
        <v>0</v>
      </c>
      <c r="W25" s="236">
        <f t="shared" si="26"/>
        <v>11069.697636767001</v>
      </c>
      <c r="X25" s="236">
        <f t="shared" si="26"/>
        <v>4898.9773944430008</v>
      </c>
      <c r="Y25" s="236">
        <f t="shared" si="26"/>
        <v>205</v>
      </c>
      <c r="Z25" s="255">
        <f t="shared" si="26"/>
        <v>0</v>
      </c>
      <c r="AA25" s="256">
        <f t="shared" si="27"/>
        <v>16173.675031210001</v>
      </c>
      <c r="AB25" s="32"/>
      <c r="AD25" s="328"/>
      <c r="AE25" s="328"/>
      <c r="AH25" s="44"/>
      <c r="AI25" s="44"/>
      <c r="AJ25" s="44"/>
      <c r="AK25" s="44"/>
      <c r="AL25" s="44"/>
      <c r="AM25" s="44"/>
    </row>
    <row r="26" spans="1:39" s="67" customFormat="1" ht="18" customHeight="1" x14ac:dyDescent="0.2">
      <c r="A26" s="12"/>
      <c r="B26" s="2" t="s">
        <v>126</v>
      </c>
      <c r="C26" s="2" t="s">
        <v>265</v>
      </c>
      <c r="D26" s="254">
        <v>811.27248800000007</v>
      </c>
      <c r="E26" s="236">
        <v>466.04849200000007</v>
      </c>
      <c r="F26" s="236">
        <v>0</v>
      </c>
      <c r="G26" s="236">
        <v>0</v>
      </c>
      <c r="H26" s="255">
        <v>0</v>
      </c>
      <c r="I26" s="256">
        <f t="shared" si="24"/>
        <v>1277.3209800000002</v>
      </c>
      <c r="J26" s="12"/>
      <c r="K26" s="2" t="s">
        <v>126</v>
      </c>
      <c r="L26" s="2" t="str">
        <f t="shared" si="28"/>
        <v>Infrastructure Renewal</v>
      </c>
      <c r="M26" s="254">
        <v>28.279995200000002</v>
      </c>
      <c r="N26" s="236">
        <v>16.245896800000004</v>
      </c>
      <c r="O26" s="236">
        <v>0</v>
      </c>
      <c r="P26" s="236">
        <v>0</v>
      </c>
      <c r="Q26" s="255">
        <v>0</v>
      </c>
      <c r="R26" s="256">
        <f t="shared" si="25"/>
        <v>44.525892000000006</v>
      </c>
      <c r="S26" s="12"/>
      <c r="T26" s="2" t="s">
        <v>126</v>
      </c>
      <c r="U26" s="2" t="str">
        <f t="shared" si="29"/>
        <v>Infrastructure Renewal</v>
      </c>
      <c r="V26" s="254">
        <f t="shared" si="26"/>
        <v>839.5524832000001</v>
      </c>
      <c r="W26" s="236">
        <f t="shared" si="26"/>
        <v>482.29438880000009</v>
      </c>
      <c r="X26" s="236">
        <f t="shared" si="26"/>
        <v>0</v>
      </c>
      <c r="Y26" s="236">
        <f t="shared" si="26"/>
        <v>0</v>
      </c>
      <c r="Z26" s="255">
        <f t="shared" si="26"/>
        <v>0</v>
      </c>
      <c r="AA26" s="256">
        <f t="shared" si="27"/>
        <v>1321.8468720000001</v>
      </c>
      <c r="AB26" s="32"/>
      <c r="AD26" s="328"/>
      <c r="AE26" s="328"/>
      <c r="AH26" s="44"/>
      <c r="AI26" s="44"/>
      <c r="AJ26" s="44"/>
      <c r="AK26" s="44"/>
      <c r="AL26" s="44"/>
      <c r="AM26" s="44"/>
    </row>
    <row r="27" spans="1:39" s="67" customFormat="1" ht="18" customHeight="1" x14ac:dyDescent="0.2">
      <c r="A27" s="12"/>
      <c r="B27" s="2" t="s">
        <v>262</v>
      </c>
      <c r="C27" s="2" t="s">
        <v>270</v>
      </c>
      <c r="D27" s="254">
        <v>684.76007715468575</v>
      </c>
      <c r="E27" s="236">
        <v>595.44354535190064</v>
      </c>
      <c r="F27" s="236">
        <v>0</v>
      </c>
      <c r="G27" s="236">
        <v>0</v>
      </c>
      <c r="H27" s="255">
        <v>0</v>
      </c>
      <c r="I27" s="256">
        <f t="shared" si="24"/>
        <v>1280.2036225065863</v>
      </c>
      <c r="J27" s="70"/>
      <c r="K27" s="2" t="s">
        <v>262</v>
      </c>
      <c r="L27" s="2" t="str">
        <f t="shared" si="28"/>
        <v>Digital Capabilities</v>
      </c>
      <c r="M27" s="260">
        <v>23.869922845314264</v>
      </c>
      <c r="N27" s="261">
        <v>20.756454648099361</v>
      </c>
      <c r="O27" s="261">
        <v>0</v>
      </c>
      <c r="P27" s="261">
        <v>0</v>
      </c>
      <c r="Q27" s="262">
        <v>0</v>
      </c>
      <c r="R27" s="256">
        <f t="shared" si="25"/>
        <v>44.626377493413628</v>
      </c>
      <c r="S27" s="12"/>
      <c r="T27" s="2" t="s">
        <v>262</v>
      </c>
      <c r="U27" s="2" t="str">
        <f t="shared" si="29"/>
        <v>Digital Capabilities</v>
      </c>
      <c r="V27" s="254">
        <f t="shared" si="26"/>
        <v>708.63</v>
      </c>
      <c r="W27" s="236">
        <f t="shared" si="26"/>
        <v>616.20000000000005</v>
      </c>
      <c r="X27" s="236">
        <f t="shared" si="26"/>
        <v>0</v>
      </c>
      <c r="Y27" s="236">
        <f t="shared" si="26"/>
        <v>0</v>
      </c>
      <c r="Z27" s="255">
        <f t="shared" si="26"/>
        <v>0</v>
      </c>
      <c r="AA27" s="256">
        <f t="shared" si="27"/>
        <v>1324.83</v>
      </c>
      <c r="AB27" s="32"/>
      <c r="AD27" s="328"/>
      <c r="AE27" s="328"/>
      <c r="AH27" s="44"/>
      <c r="AI27" s="44"/>
      <c r="AJ27" s="44"/>
      <c r="AK27" s="44"/>
      <c r="AL27" s="44"/>
      <c r="AM27" s="44"/>
    </row>
    <row r="28" spans="1:39" s="78" customFormat="1" ht="18" customHeight="1" thickBot="1" x14ac:dyDescent="0.25">
      <c r="A28" s="77"/>
      <c r="B28" s="237" t="s">
        <v>98</v>
      </c>
      <c r="C28" s="237"/>
      <c r="D28" s="257">
        <f t="shared" ref="D28:I28" si="30">SUM(D22:D27)</f>
        <v>10924.895270694798</v>
      </c>
      <c r="E28" s="258">
        <f t="shared" si="30"/>
        <v>22941.623531770438</v>
      </c>
      <c r="F28" s="258">
        <f t="shared" si="30"/>
        <v>15599.709349414305</v>
      </c>
      <c r="G28" s="258">
        <f t="shared" si="30"/>
        <v>4963.2835186954344</v>
      </c>
      <c r="H28" s="259">
        <f t="shared" si="30"/>
        <v>5791.7871278627008</v>
      </c>
      <c r="I28" s="258">
        <f t="shared" si="30"/>
        <v>60221.298798437674</v>
      </c>
      <c r="J28" s="79"/>
      <c r="K28" s="237" t="s">
        <v>98</v>
      </c>
      <c r="L28" s="237"/>
      <c r="M28" s="482">
        <f t="shared" ref="M28:Q28" si="31">SUM(M22:M27)</f>
        <v>380.82887116930249</v>
      </c>
      <c r="N28" s="483">
        <f t="shared" si="31"/>
        <v>799.7177433664865</v>
      </c>
      <c r="O28" s="483">
        <f t="shared" si="31"/>
        <v>543.78733662028435</v>
      </c>
      <c r="P28" s="483">
        <f t="shared" si="31"/>
        <v>173.01416744819531</v>
      </c>
      <c r="Q28" s="484">
        <f t="shared" si="31"/>
        <v>201.89481906278934</v>
      </c>
      <c r="R28" s="258">
        <f t="shared" ref="R28" si="32">SUM(R22:R27)</f>
        <v>2099.2429376670584</v>
      </c>
      <c r="S28" s="12"/>
      <c r="T28" s="237" t="s">
        <v>98</v>
      </c>
      <c r="U28" s="237"/>
      <c r="V28" s="257">
        <f t="shared" ref="V28:AA28" si="33">SUM(V22:V27)</f>
        <v>11305.724141864097</v>
      </c>
      <c r="W28" s="258">
        <f t="shared" si="33"/>
        <v>23741.341275136925</v>
      </c>
      <c r="X28" s="258">
        <f t="shared" si="33"/>
        <v>16143.496686034588</v>
      </c>
      <c r="Y28" s="258">
        <f t="shared" si="33"/>
        <v>5136.29768614363</v>
      </c>
      <c r="Z28" s="259">
        <f t="shared" si="33"/>
        <v>5993.6819469254897</v>
      </c>
      <c r="AA28" s="258">
        <f t="shared" si="33"/>
        <v>62320.541736104722</v>
      </c>
      <c r="AB28" s="32"/>
      <c r="AD28" s="328"/>
      <c r="AE28" s="328"/>
      <c r="AH28" s="44"/>
      <c r="AI28" s="44"/>
      <c r="AJ28" s="44"/>
      <c r="AK28" s="44"/>
      <c r="AL28" s="44"/>
      <c r="AM28" s="44"/>
    </row>
    <row r="29" spans="1:39" s="67" customFormat="1" ht="18" customHeight="1" x14ac:dyDescent="0.2">
      <c r="A29" s="12"/>
      <c r="B29" s="2"/>
      <c r="C29" s="2" t="s">
        <v>11</v>
      </c>
      <c r="D29" s="516">
        <v>0</v>
      </c>
      <c r="E29" s="516">
        <v>0</v>
      </c>
      <c r="F29" s="516">
        <v>0</v>
      </c>
      <c r="G29" s="516">
        <v>0</v>
      </c>
      <c r="H29" s="516">
        <v>0</v>
      </c>
      <c r="I29" s="516">
        <v>0</v>
      </c>
      <c r="J29" s="12"/>
      <c r="K29" s="2"/>
      <c r="L29" s="2" t="s">
        <v>11</v>
      </c>
      <c r="M29" s="516">
        <v>0</v>
      </c>
      <c r="N29" s="516">
        <v>0</v>
      </c>
      <c r="O29" s="516">
        <v>0</v>
      </c>
      <c r="P29" s="516">
        <v>0</v>
      </c>
      <c r="Q29" s="516">
        <v>0</v>
      </c>
      <c r="R29" s="516">
        <v>0</v>
      </c>
      <c r="S29" s="12"/>
      <c r="T29" s="2"/>
      <c r="U29" s="2" t="s">
        <v>11</v>
      </c>
      <c r="V29" s="516">
        <f>V28-M28-D28</f>
        <v>0</v>
      </c>
      <c r="W29" s="516">
        <f t="shared" ref="W29" si="34">W28-N28-E28</f>
        <v>0</v>
      </c>
      <c r="X29" s="516">
        <f t="shared" ref="X29" si="35">X28-O28-F28</f>
        <v>0</v>
      </c>
      <c r="Y29" s="516">
        <f t="shared" ref="Y29" si="36">Y28-P28-G28</f>
        <v>0</v>
      </c>
      <c r="Z29" s="516">
        <f t="shared" ref="Z29" si="37">Z28-Q28-H28</f>
        <v>0</v>
      </c>
      <c r="AA29" s="516">
        <f t="shared" ref="AA29" si="38">AA28-R28-I28</f>
        <v>0</v>
      </c>
      <c r="AB29" s="32"/>
      <c r="AC29" s="78"/>
      <c r="AD29" s="328"/>
      <c r="AE29" s="328"/>
      <c r="AH29" s="44"/>
      <c r="AI29" s="44"/>
      <c r="AJ29" s="44"/>
      <c r="AK29" s="44"/>
      <c r="AL29" s="44"/>
      <c r="AM29" s="44"/>
    </row>
    <row r="30" spans="1:39" s="67" customFormat="1" ht="18" customHeight="1" x14ac:dyDescent="0.2">
      <c r="A30" s="12"/>
      <c r="B30" s="343" t="s">
        <v>159</v>
      </c>
      <c r="C30" s="343"/>
      <c r="D30" s="343"/>
      <c r="E30" s="343"/>
      <c r="F30" s="343"/>
      <c r="G30" s="343"/>
      <c r="H30" s="343"/>
      <c r="I30" s="343"/>
      <c r="J30" s="188"/>
      <c r="K30" s="343" t="s">
        <v>159</v>
      </c>
      <c r="L30" s="343"/>
      <c r="M30" s="343"/>
      <c r="N30" s="343"/>
      <c r="O30" s="343"/>
      <c r="P30" s="343"/>
      <c r="Q30" s="343"/>
      <c r="R30" s="343"/>
      <c r="S30" s="342"/>
      <c r="T30" s="343" t="s">
        <v>159</v>
      </c>
      <c r="U30" s="343"/>
      <c r="V30" s="343"/>
      <c r="W30" s="343"/>
      <c r="X30" s="343"/>
      <c r="Y30" s="343"/>
      <c r="Z30" s="343"/>
      <c r="AA30" s="343"/>
      <c r="AB30" s="32"/>
      <c r="AC30" s="78"/>
      <c r="AD30" s="328"/>
      <c r="AE30" s="328"/>
      <c r="AH30" s="44"/>
      <c r="AI30" s="44"/>
      <c r="AJ30" s="44"/>
      <c r="AK30" s="44"/>
      <c r="AL30" s="44"/>
      <c r="AM30" s="44"/>
    </row>
    <row r="31" spans="1:39" s="67" customFormat="1" ht="18" customHeight="1" x14ac:dyDescent="0.2">
      <c r="A31" s="12"/>
      <c r="B31" s="2" t="s">
        <v>127</v>
      </c>
      <c r="C31" s="2" t="s">
        <v>272</v>
      </c>
      <c r="D31" s="254">
        <v>38.4</v>
      </c>
      <c r="E31" s="236">
        <v>38.4</v>
      </c>
      <c r="F31" s="236">
        <v>38.4</v>
      </c>
      <c r="G31" s="236">
        <v>38.4</v>
      </c>
      <c r="H31" s="255">
        <v>34.700000000000003</v>
      </c>
      <c r="I31" s="256">
        <f t="shared" ref="I31:I52" si="39">SUM(D31:H31)</f>
        <v>188.3</v>
      </c>
      <c r="J31" s="32"/>
      <c r="K31" s="2" t="s">
        <v>127</v>
      </c>
      <c r="L31" s="2" t="str">
        <f>C31</f>
        <v>City Gate Refurbishment - Earthing &amp; Surge Protection</v>
      </c>
      <c r="M31" s="254">
        <v>0</v>
      </c>
      <c r="N31" s="236">
        <v>0</v>
      </c>
      <c r="O31" s="236">
        <v>0</v>
      </c>
      <c r="P31" s="236">
        <v>0</v>
      </c>
      <c r="Q31" s="255">
        <v>0</v>
      </c>
      <c r="R31" s="256">
        <f t="shared" ref="R31:R34" si="40">SUM(M31:Q31)</f>
        <v>0</v>
      </c>
      <c r="S31" s="12"/>
      <c r="T31" s="2" t="str">
        <f>B31</f>
        <v>V01</v>
      </c>
      <c r="U31" s="2" t="str">
        <f>C31</f>
        <v>City Gate Refurbishment - Earthing &amp; Surge Protection</v>
      </c>
      <c r="V31" s="254">
        <f t="shared" ref="V31:Z34" si="41">D31+M31</f>
        <v>38.4</v>
      </c>
      <c r="W31" s="236">
        <f t="shared" si="41"/>
        <v>38.4</v>
      </c>
      <c r="X31" s="236">
        <f t="shared" si="41"/>
        <v>38.4</v>
      </c>
      <c r="Y31" s="236">
        <f t="shared" si="41"/>
        <v>38.4</v>
      </c>
      <c r="Z31" s="255">
        <f t="shared" si="41"/>
        <v>34.700000000000003</v>
      </c>
      <c r="AA31" s="256">
        <f t="shared" ref="AA31:AA34" si="42">SUM(V31:Z31)</f>
        <v>188.3</v>
      </c>
      <c r="AB31" s="32"/>
      <c r="AC31" s="78"/>
      <c r="AD31" s="328"/>
      <c r="AE31" s="328"/>
      <c r="AH31" s="44"/>
      <c r="AI31" s="44"/>
      <c r="AJ31" s="44"/>
      <c r="AK31" s="44"/>
      <c r="AL31" s="44"/>
      <c r="AM31" s="44"/>
    </row>
    <row r="32" spans="1:39" s="67" customFormat="1" ht="18" customHeight="1" x14ac:dyDescent="0.2">
      <c r="A32" s="12"/>
      <c r="B32" s="2" t="s">
        <v>128</v>
      </c>
      <c r="C32" s="2" t="s">
        <v>271</v>
      </c>
      <c r="D32" s="254">
        <v>224</v>
      </c>
      <c r="E32" s="236">
        <v>224</v>
      </c>
      <c r="F32" s="236">
        <v>224</v>
      </c>
      <c r="G32" s="236">
        <v>224</v>
      </c>
      <c r="H32" s="255">
        <v>227</v>
      </c>
      <c r="I32" s="256">
        <f t="shared" si="39"/>
        <v>1123</v>
      </c>
      <c r="J32" s="32"/>
      <c r="K32" s="2" t="s">
        <v>128</v>
      </c>
      <c r="L32" s="2" t="str">
        <f t="shared" ref="L32:L34" si="43">C32</f>
        <v>Cathodic Protection Systems - Replacement &amp; Installation</v>
      </c>
      <c r="M32" s="254">
        <v>0</v>
      </c>
      <c r="N32" s="236">
        <v>0</v>
      </c>
      <c r="O32" s="236">
        <v>0</v>
      </c>
      <c r="P32" s="236">
        <v>0</v>
      </c>
      <c r="Q32" s="255">
        <v>0</v>
      </c>
      <c r="R32" s="256">
        <f t="shared" si="40"/>
        <v>0</v>
      </c>
      <c r="S32" s="12"/>
      <c r="T32" s="2" t="str">
        <f t="shared" ref="T32:U34" si="44">B32</f>
        <v>V02</v>
      </c>
      <c r="U32" s="2" t="str">
        <f t="shared" si="44"/>
        <v>Cathodic Protection Systems - Replacement &amp; Installation</v>
      </c>
      <c r="V32" s="254">
        <f t="shared" si="41"/>
        <v>224</v>
      </c>
      <c r="W32" s="236">
        <f t="shared" si="41"/>
        <v>224</v>
      </c>
      <c r="X32" s="236">
        <f t="shared" si="41"/>
        <v>224</v>
      </c>
      <c r="Y32" s="236">
        <f t="shared" si="41"/>
        <v>224</v>
      </c>
      <c r="Z32" s="255">
        <f t="shared" si="41"/>
        <v>227</v>
      </c>
      <c r="AA32" s="256">
        <f t="shared" si="42"/>
        <v>1123</v>
      </c>
      <c r="AB32" s="32"/>
      <c r="AC32" s="78"/>
      <c r="AD32" s="328"/>
      <c r="AE32" s="328"/>
      <c r="AH32" s="44"/>
      <c r="AI32" s="44"/>
      <c r="AJ32" s="44"/>
      <c r="AK32" s="44"/>
      <c r="AL32" s="44"/>
      <c r="AM32" s="44"/>
    </row>
    <row r="33" spans="1:39" s="67" customFormat="1" ht="18" customHeight="1" x14ac:dyDescent="0.2">
      <c r="A33" s="12"/>
      <c r="B33" s="2" t="s">
        <v>129</v>
      </c>
      <c r="C33" s="2" t="s">
        <v>273</v>
      </c>
      <c r="D33" s="254">
        <v>60</v>
      </c>
      <c r="E33" s="236">
        <v>62</v>
      </c>
      <c r="F33" s="236">
        <v>76</v>
      </c>
      <c r="G33" s="236">
        <v>70</v>
      </c>
      <c r="H33" s="255">
        <v>70</v>
      </c>
      <c r="I33" s="256">
        <f t="shared" si="39"/>
        <v>338</v>
      </c>
      <c r="J33" s="32"/>
      <c r="K33" s="2" t="s">
        <v>129</v>
      </c>
      <c r="L33" s="2" t="str">
        <f t="shared" si="43"/>
        <v>Refurbishment of Sleeved Railway Casing Pipes</v>
      </c>
      <c r="M33" s="254">
        <v>0</v>
      </c>
      <c r="N33" s="236">
        <v>30</v>
      </c>
      <c r="O33" s="236">
        <v>0</v>
      </c>
      <c r="P33" s="236">
        <v>0</v>
      </c>
      <c r="Q33" s="255">
        <v>0</v>
      </c>
      <c r="R33" s="256">
        <f t="shared" si="40"/>
        <v>30</v>
      </c>
      <c r="S33" s="12"/>
      <c r="T33" s="2" t="str">
        <f t="shared" si="44"/>
        <v>V27</v>
      </c>
      <c r="U33" s="2" t="str">
        <f t="shared" si="44"/>
        <v>Refurbishment of Sleeved Railway Casing Pipes</v>
      </c>
      <c r="V33" s="254">
        <f t="shared" si="41"/>
        <v>60</v>
      </c>
      <c r="W33" s="236">
        <f t="shared" si="41"/>
        <v>92</v>
      </c>
      <c r="X33" s="236">
        <f t="shared" si="41"/>
        <v>76</v>
      </c>
      <c r="Y33" s="236">
        <f t="shared" si="41"/>
        <v>70</v>
      </c>
      <c r="Z33" s="255">
        <f t="shared" si="41"/>
        <v>70</v>
      </c>
      <c r="AA33" s="256">
        <f t="shared" si="42"/>
        <v>368</v>
      </c>
      <c r="AB33" s="32"/>
      <c r="AC33" s="78"/>
      <c r="AD33" s="328"/>
      <c r="AE33" s="328"/>
      <c r="AH33" s="44"/>
      <c r="AI33" s="44"/>
      <c r="AJ33" s="44"/>
      <c r="AK33" s="44"/>
      <c r="AL33" s="44"/>
      <c r="AM33" s="44"/>
    </row>
    <row r="34" spans="1:39" s="67" customFormat="1" ht="18" customHeight="1" x14ac:dyDescent="0.2">
      <c r="A34" s="12"/>
      <c r="B34" s="2" t="s">
        <v>130</v>
      </c>
      <c r="C34" s="2" t="s">
        <v>274</v>
      </c>
      <c r="D34" s="254">
        <v>259</v>
      </c>
      <c r="E34" s="236">
        <v>0</v>
      </c>
      <c r="F34" s="236">
        <v>0</v>
      </c>
      <c r="G34" s="236">
        <v>0</v>
      </c>
      <c r="H34" s="255">
        <v>0</v>
      </c>
      <c r="I34" s="256">
        <f t="shared" si="39"/>
        <v>259</v>
      </c>
      <c r="J34" s="32"/>
      <c r="K34" s="2" t="s">
        <v>130</v>
      </c>
      <c r="L34" s="2" t="str">
        <f t="shared" si="43"/>
        <v>Odorant Injection Station Koonomoo Finley</v>
      </c>
      <c r="M34" s="260">
        <v>0</v>
      </c>
      <c r="N34" s="261">
        <v>0</v>
      </c>
      <c r="O34" s="261">
        <v>0</v>
      </c>
      <c r="P34" s="261">
        <v>0</v>
      </c>
      <c r="Q34" s="262">
        <v>0</v>
      </c>
      <c r="R34" s="256">
        <f t="shared" si="40"/>
        <v>0</v>
      </c>
      <c r="S34" s="12"/>
      <c r="T34" s="2" t="str">
        <f t="shared" si="44"/>
        <v>V91</v>
      </c>
      <c r="U34" s="2" t="str">
        <f t="shared" si="44"/>
        <v>Odorant Injection Station Koonomoo Finley</v>
      </c>
      <c r="V34" s="254">
        <f t="shared" si="41"/>
        <v>259</v>
      </c>
      <c r="W34" s="236">
        <f t="shared" si="41"/>
        <v>0</v>
      </c>
      <c r="X34" s="236">
        <f t="shared" si="41"/>
        <v>0</v>
      </c>
      <c r="Y34" s="236">
        <f t="shared" si="41"/>
        <v>0</v>
      </c>
      <c r="Z34" s="255">
        <f t="shared" si="41"/>
        <v>0</v>
      </c>
      <c r="AA34" s="256">
        <f t="shared" si="42"/>
        <v>259</v>
      </c>
      <c r="AB34" s="32"/>
      <c r="AC34" s="78"/>
      <c r="AD34" s="328"/>
      <c r="AE34" s="328"/>
      <c r="AH34" s="44"/>
      <c r="AI34" s="44"/>
      <c r="AJ34" s="44"/>
      <c r="AK34" s="44"/>
      <c r="AL34" s="44"/>
      <c r="AM34" s="44"/>
    </row>
    <row r="35" spans="1:39" s="67" customFormat="1" ht="18" customHeight="1" thickBot="1" x14ac:dyDescent="0.25">
      <c r="A35" s="12"/>
      <c r="B35" s="237" t="s">
        <v>162</v>
      </c>
      <c r="C35" s="237"/>
      <c r="D35" s="257">
        <f>SUM(D31:D34)</f>
        <v>581.4</v>
      </c>
      <c r="E35" s="258">
        <f>SUM(E31:E34)</f>
        <v>324.39999999999998</v>
      </c>
      <c r="F35" s="258">
        <f>SUM(F31:F34)</f>
        <v>338.4</v>
      </c>
      <c r="G35" s="258">
        <f>SUM(G31:G34)</f>
        <v>332.4</v>
      </c>
      <c r="H35" s="259">
        <f>SUM(H31:H34)</f>
        <v>331.7</v>
      </c>
      <c r="I35" s="258">
        <f>SUM(D35:H35)</f>
        <v>1908.3</v>
      </c>
      <c r="J35" s="32"/>
      <c r="K35" s="237" t="s">
        <v>162</v>
      </c>
      <c r="L35" s="237"/>
      <c r="M35" s="482">
        <f>SUM(M31:M34)</f>
        <v>0</v>
      </c>
      <c r="N35" s="483">
        <f>SUM(N31:N34)</f>
        <v>30</v>
      </c>
      <c r="O35" s="483">
        <f>SUM(O31:O34)</f>
        <v>0</v>
      </c>
      <c r="P35" s="483">
        <f>SUM(P31:P34)</f>
        <v>0</v>
      </c>
      <c r="Q35" s="484">
        <f>SUM(Q31:Q34)</f>
        <v>0</v>
      </c>
      <c r="R35" s="258">
        <f>SUM(M35:Q35)</f>
        <v>30</v>
      </c>
      <c r="S35" s="12"/>
      <c r="T35" s="237" t="s">
        <v>162</v>
      </c>
      <c r="U35" s="237"/>
      <c r="V35" s="257">
        <f>SUM(V31:V34)</f>
        <v>581.4</v>
      </c>
      <c r="W35" s="258">
        <f>SUM(W31:W34)</f>
        <v>354.4</v>
      </c>
      <c r="X35" s="258">
        <f>SUM(X31:X34)</f>
        <v>338.4</v>
      </c>
      <c r="Y35" s="258">
        <f>SUM(Y31:Y34)</f>
        <v>332.4</v>
      </c>
      <c r="Z35" s="259">
        <f>SUM(Z31:Z34)</f>
        <v>331.7</v>
      </c>
      <c r="AA35" s="258">
        <f>SUM(V35:Z35)</f>
        <v>1938.3</v>
      </c>
      <c r="AB35" s="32"/>
      <c r="AD35" s="328"/>
      <c r="AE35" s="328"/>
      <c r="AH35" s="44"/>
      <c r="AI35" s="44"/>
      <c r="AJ35" s="44"/>
      <c r="AK35" s="44"/>
      <c r="AL35" s="44"/>
      <c r="AM35" s="44"/>
    </row>
    <row r="36" spans="1:39" s="67" customFormat="1" ht="18" customHeight="1" x14ac:dyDescent="0.2">
      <c r="A36" s="12"/>
      <c r="B36" s="2"/>
      <c r="C36" s="2"/>
      <c r="D36" s="524"/>
      <c r="E36" s="524"/>
      <c r="F36" s="524"/>
      <c r="G36" s="524"/>
      <c r="H36" s="524"/>
      <c r="I36" s="524"/>
      <c r="J36" s="32"/>
      <c r="K36" s="2"/>
      <c r="L36" s="2"/>
      <c r="M36" s="524"/>
      <c r="N36" s="524"/>
      <c r="O36" s="524"/>
      <c r="P36" s="524"/>
      <c r="Q36" s="524"/>
      <c r="R36" s="524"/>
      <c r="S36" s="12"/>
      <c r="T36" s="2"/>
      <c r="U36" s="2" t="s">
        <v>11</v>
      </c>
      <c r="V36" s="516">
        <f>V35-M35-D35</f>
        <v>0</v>
      </c>
      <c r="W36" s="516">
        <f t="shared" ref="W36" si="45">W35-N35-E35</f>
        <v>0</v>
      </c>
      <c r="X36" s="516">
        <f t="shared" ref="X36" si="46">X35-O35-F35</f>
        <v>0</v>
      </c>
      <c r="Y36" s="516">
        <f t="shared" ref="Y36" si="47">Y35-P35-G35</f>
        <v>0</v>
      </c>
      <c r="Z36" s="516">
        <f t="shared" ref="Z36" si="48">Z35-Q35-H35</f>
        <v>0</v>
      </c>
      <c r="AA36" s="516">
        <f t="shared" ref="AA36" si="49">AA35-R35-I35</f>
        <v>0</v>
      </c>
      <c r="AB36" s="32"/>
      <c r="AD36" s="328"/>
      <c r="AE36" s="328"/>
      <c r="AH36" s="44"/>
      <c r="AI36" s="44"/>
      <c r="AJ36" s="44"/>
      <c r="AK36" s="44"/>
      <c r="AL36" s="44"/>
      <c r="AM36" s="44"/>
    </row>
    <row r="37" spans="1:39" s="67" customFormat="1" ht="18" customHeight="1" x14ac:dyDescent="0.2">
      <c r="A37" s="12"/>
      <c r="B37" s="343" t="s">
        <v>160</v>
      </c>
      <c r="C37" s="343"/>
      <c r="D37" s="343"/>
      <c r="E37" s="343"/>
      <c r="F37" s="343"/>
      <c r="G37" s="343"/>
      <c r="H37" s="343"/>
      <c r="I37" s="343"/>
      <c r="J37" s="188"/>
      <c r="K37" s="343" t="s">
        <v>160</v>
      </c>
      <c r="L37" s="343"/>
      <c r="M37" s="343"/>
      <c r="N37" s="343"/>
      <c r="O37" s="343"/>
      <c r="P37" s="343"/>
      <c r="Q37" s="343"/>
      <c r="R37" s="343"/>
      <c r="S37" s="342"/>
      <c r="T37" s="343" t="s">
        <v>160</v>
      </c>
      <c r="U37" s="343"/>
      <c r="V37" s="343"/>
      <c r="W37" s="343"/>
      <c r="X37" s="343"/>
      <c r="Y37" s="343"/>
      <c r="Z37" s="343"/>
      <c r="AA37" s="343"/>
      <c r="AB37" s="32"/>
      <c r="AD37" s="328"/>
      <c r="AE37" s="328"/>
      <c r="AH37" s="44"/>
      <c r="AI37" s="44"/>
      <c r="AJ37" s="44"/>
      <c r="AK37" s="44"/>
      <c r="AL37" s="44"/>
      <c r="AM37" s="44"/>
    </row>
    <row r="38" spans="1:39" s="67" customFormat="1" ht="18" customHeight="1" x14ac:dyDescent="0.2">
      <c r="A38" s="12"/>
      <c r="B38" s="2" t="s">
        <v>131</v>
      </c>
      <c r="C38" s="2" t="s">
        <v>275</v>
      </c>
      <c r="D38" s="254">
        <v>779</v>
      </c>
      <c r="E38" s="236">
        <v>779</v>
      </c>
      <c r="F38" s="236">
        <v>779</v>
      </c>
      <c r="G38" s="236">
        <v>779</v>
      </c>
      <c r="H38" s="255">
        <v>779</v>
      </c>
      <c r="I38" s="256">
        <f t="shared" si="39"/>
        <v>3895</v>
      </c>
      <c r="J38" s="32"/>
      <c r="K38" s="2" t="s">
        <v>131</v>
      </c>
      <c r="L38" s="2" t="str">
        <f>C38</f>
        <v>Plant &amp; Equipmnent Upgrade</v>
      </c>
      <c r="M38" s="254">
        <v>23</v>
      </c>
      <c r="N38" s="236">
        <v>23</v>
      </c>
      <c r="O38" s="236">
        <v>23</v>
      </c>
      <c r="P38" s="236">
        <v>23</v>
      </c>
      <c r="Q38" s="236">
        <v>23</v>
      </c>
      <c r="R38" s="254">
        <f t="shared" ref="R38:R39" si="50">SUM(M38:Q38)</f>
        <v>115</v>
      </c>
      <c r="S38" s="12"/>
      <c r="T38" s="2" t="s">
        <v>131</v>
      </c>
      <c r="U38" s="2" t="str">
        <f>C38</f>
        <v>Plant &amp; Equipmnent Upgrade</v>
      </c>
      <c r="V38" s="254">
        <f t="shared" ref="V38:Z39" si="51">D38+M38</f>
        <v>802</v>
      </c>
      <c r="W38" s="236">
        <f t="shared" si="51"/>
        <v>802</v>
      </c>
      <c r="X38" s="236">
        <f t="shared" si="51"/>
        <v>802</v>
      </c>
      <c r="Y38" s="236">
        <f t="shared" si="51"/>
        <v>802</v>
      </c>
      <c r="Z38" s="255">
        <f t="shared" si="51"/>
        <v>802</v>
      </c>
      <c r="AA38" s="256">
        <f t="shared" ref="AA38:AA39" si="52">SUM(V38:Z38)</f>
        <v>4010</v>
      </c>
      <c r="AB38" s="32"/>
      <c r="AC38" s="80"/>
      <c r="AD38" s="328"/>
      <c r="AE38" s="328"/>
      <c r="AH38" s="44"/>
      <c r="AI38" s="44"/>
      <c r="AJ38" s="44"/>
      <c r="AK38" s="44"/>
      <c r="AL38" s="44"/>
      <c r="AM38" s="44"/>
    </row>
    <row r="39" spans="1:39" s="67" customFormat="1" ht="18" customHeight="1" x14ac:dyDescent="0.2">
      <c r="A39" s="12"/>
      <c r="B39" s="2" t="s">
        <v>132</v>
      </c>
      <c r="C39" s="2" t="s">
        <v>276</v>
      </c>
      <c r="D39" s="254">
        <v>821</v>
      </c>
      <c r="E39" s="236">
        <v>822</v>
      </c>
      <c r="F39" s="236">
        <v>412</v>
      </c>
      <c r="G39" s="236">
        <v>1334</v>
      </c>
      <c r="H39" s="255">
        <v>144</v>
      </c>
      <c r="I39" s="256">
        <f t="shared" si="39"/>
        <v>3533</v>
      </c>
      <c r="J39" s="66"/>
      <c r="K39" s="2" t="s">
        <v>132</v>
      </c>
      <c r="L39" s="2" t="str">
        <f>C39</f>
        <v>Depot Office Refurbishment</v>
      </c>
      <c r="M39" s="254">
        <v>47</v>
      </c>
      <c r="N39" s="236">
        <v>0</v>
      </c>
      <c r="O39" s="236">
        <v>0</v>
      </c>
      <c r="P39" s="236">
        <v>0</v>
      </c>
      <c r="Q39" s="236">
        <v>0</v>
      </c>
      <c r="R39" s="254">
        <f t="shared" si="50"/>
        <v>47</v>
      </c>
      <c r="S39" s="12"/>
      <c r="T39" s="2" t="s">
        <v>132</v>
      </c>
      <c r="U39" s="2" t="str">
        <f>C39</f>
        <v>Depot Office Refurbishment</v>
      </c>
      <c r="V39" s="254">
        <f t="shared" si="51"/>
        <v>868</v>
      </c>
      <c r="W39" s="236">
        <f t="shared" si="51"/>
        <v>822</v>
      </c>
      <c r="X39" s="236">
        <f t="shared" si="51"/>
        <v>412</v>
      </c>
      <c r="Y39" s="236">
        <f t="shared" si="51"/>
        <v>1334</v>
      </c>
      <c r="Z39" s="255">
        <f t="shared" si="51"/>
        <v>144</v>
      </c>
      <c r="AA39" s="256">
        <f t="shared" si="52"/>
        <v>3580</v>
      </c>
      <c r="AB39" s="32"/>
      <c r="AD39" s="328"/>
      <c r="AE39" s="328"/>
      <c r="AH39" s="44"/>
      <c r="AI39" s="44"/>
      <c r="AJ39" s="44"/>
      <c r="AK39" s="44"/>
      <c r="AL39" s="44"/>
      <c r="AM39" s="44"/>
    </row>
    <row r="40" spans="1:39" s="67" customFormat="1" ht="18" customHeight="1" thickBot="1" x14ac:dyDescent="0.25">
      <c r="A40" s="12"/>
      <c r="B40" s="237" t="s">
        <v>163</v>
      </c>
      <c r="C40" s="237"/>
      <c r="D40" s="257">
        <f t="shared" ref="D40:I40" si="53">SUM(D38:D39)</f>
        <v>1600</v>
      </c>
      <c r="E40" s="258">
        <f t="shared" si="53"/>
        <v>1601</v>
      </c>
      <c r="F40" s="258">
        <f t="shared" si="53"/>
        <v>1191</v>
      </c>
      <c r="G40" s="258">
        <f t="shared" si="53"/>
        <v>2113</v>
      </c>
      <c r="H40" s="259">
        <f t="shared" si="53"/>
        <v>923</v>
      </c>
      <c r="I40" s="258">
        <f t="shared" si="53"/>
        <v>7428</v>
      </c>
      <c r="J40" s="66"/>
      <c r="K40" s="237" t="s">
        <v>163</v>
      </c>
      <c r="L40" s="237"/>
      <c r="M40" s="257">
        <f t="shared" ref="M40:R40" si="54">SUM(M38:M39)</f>
        <v>70</v>
      </c>
      <c r="N40" s="258">
        <f t="shared" si="54"/>
        <v>23</v>
      </c>
      <c r="O40" s="258">
        <f t="shared" si="54"/>
        <v>23</v>
      </c>
      <c r="P40" s="258">
        <f t="shared" si="54"/>
        <v>23</v>
      </c>
      <c r="Q40" s="259">
        <f t="shared" si="54"/>
        <v>23</v>
      </c>
      <c r="R40" s="258">
        <f t="shared" si="54"/>
        <v>162</v>
      </c>
      <c r="S40" s="12"/>
      <c r="T40" s="237" t="s">
        <v>163</v>
      </c>
      <c r="U40" s="237"/>
      <c r="V40" s="257">
        <f t="shared" ref="V40:AA40" si="55">SUM(V38:V39)</f>
        <v>1670</v>
      </c>
      <c r="W40" s="258">
        <f t="shared" si="55"/>
        <v>1624</v>
      </c>
      <c r="X40" s="258">
        <f t="shared" si="55"/>
        <v>1214</v>
      </c>
      <c r="Y40" s="258">
        <f t="shared" si="55"/>
        <v>2136</v>
      </c>
      <c r="Z40" s="259">
        <f t="shared" si="55"/>
        <v>946</v>
      </c>
      <c r="AA40" s="258">
        <f t="shared" si="55"/>
        <v>7590</v>
      </c>
      <c r="AB40" s="32"/>
      <c r="AD40" s="328"/>
      <c r="AE40" s="328"/>
      <c r="AH40" s="44"/>
      <c r="AI40" s="44"/>
      <c r="AJ40" s="44"/>
      <c r="AK40" s="44"/>
      <c r="AL40" s="44"/>
      <c r="AM40" s="44"/>
    </row>
    <row r="41" spans="1:39" s="67" customFormat="1" ht="18" customHeight="1" x14ac:dyDescent="0.2">
      <c r="A41" s="12"/>
      <c r="B41" s="2"/>
      <c r="C41" s="2"/>
      <c r="D41" s="524"/>
      <c r="E41" s="524"/>
      <c r="F41" s="524"/>
      <c r="G41" s="524"/>
      <c r="H41" s="524"/>
      <c r="I41" s="524"/>
      <c r="J41" s="66"/>
      <c r="K41" s="2"/>
      <c r="L41" s="2"/>
      <c r="M41" s="524"/>
      <c r="N41" s="524"/>
      <c r="O41" s="524"/>
      <c r="P41" s="524"/>
      <c r="Q41" s="524"/>
      <c r="R41" s="524"/>
      <c r="S41" s="12"/>
      <c r="T41" s="2"/>
      <c r="U41" s="2" t="s">
        <v>11</v>
      </c>
      <c r="V41" s="516">
        <f>V40-M40-D40</f>
        <v>0</v>
      </c>
      <c r="W41" s="516">
        <f t="shared" ref="W41" si="56">W40-N40-E40</f>
        <v>0</v>
      </c>
      <c r="X41" s="516">
        <f t="shared" ref="X41" si="57">X40-O40-F40</f>
        <v>0</v>
      </c>
      <c r="Y41" s="516">
        <f t="shared" ref="Y41" si="58">Y40-P40-G40</f>
        <v>0</v>
      </c>
      <c r="Z41" s="516">
        <f t="shared" ref="Z41" si="59">Z40-Q40-H40</f>
        <v>0</v>
      </c>
      <c r="AA41" s="516">
        <f t="shared" ref="AA41" si="60">AA40-R40-I40</f>
        <v>0</v>
      </c>
      <c r="AB41" s="32"/>
      <c r="AD41" s="328"/>
      <c r="AE41" s="328"/>
      <c r="AH41" s="44"/>
      <c r="AI41" s="44"/>
      <c r="AJ41" s="44"/>
      <c r="AK41" s="44"/>
      <c r="AL41" s="44"/>
      <c r="AM41" s="44"/>
    </row>
    <row r="42" spans="1:39" s="67" customFormat="1" ht="18" customHeight="1" x14ac:dyDescent="0.2">
      <c r="A42" s="12"/>
      <c r="B42" s="343" t="s">
        <v>161</v>
      </c>
      <c r="C42" s="343"/>
      <c r="D42" s="343"/>
      <c r="E42" s="343"/>
      <c r="F42" s="343"/>
      <c r="G42" s="343"/>
      <c r="H42" s="343"/>
      <c r="I42" s="343"/>
      <c r="J42" s="188"/>
      <c r="K42" s="343" t="s">
        <v>161</v>
      </c>
      <c r="L42" s="343"/>
      <c r="M42" s="343"/>
      <c r="N42" s="343"/>
      <c r="O42" s="343"/>
      <c r="P42" s="343"/>
      <c r="Q42" s="343"/>
      <c r="R42" s="343"/>
      <c r="S42" s="342"/>
      <c r="T42" s="343" t="s">
        <v>161</v>
      </c>
      <c r="U42" s="343"/>
      <c r="V42" s="343"/>
      <c r="W42" s="343"/>
      <c r="X42" s="343"/>
      <c r="Y42" s="343"/>
      <c r="Z42" s="343"/>
      <c r="AA42" s="343"/>
      <c r="AB42" s="32"/>
      <c r="AD42" s="328"/>
      <c r="AE42" s="328"/>
      <c r="AH42" s="44"/>
      <c r="AI42" s="44"/>
      <c r="AJ42" s="44"/>
      <c r="AK42" s="44"/>
      <c r="AL42" s="44"/>
      <c r="AM42" s="44"/>
    </row>
    <row r="43" spans="1:39" s="67" customFormat="1" ht="18" customHeight="1" x14ac:dyDescent="0.2">
      <c r="A43" s="12"/>
      <c r="B43" s="2" t="s">
        <v>133</v>
      </c>
      <c r="C43" s="2" t="s">
        <v>134</v>
      </c>
      <c r="D43" s="254">
        <v>348.32</v>
      </c>
      <c r="E43" s="236">
        <v>348.32</v>
      </c>
      <c r="F43" s="236">
        <v>348.32</v>
      </c>
      <c r="G43" s="236">
        <v>348.32</v>
      </c>
      <c r="H43" s="255">
        <v>348.32</v>
      </c>
      <c r="I43" s="256">
        <f t="shared" si="39"/>
        <v>1741.6</v>
      </c>
      <c r="J43" s="66"/>
      <c r="K43" s="2" t="s">
        <v>133</v>
      </c>
      <c r="L43" s="2" t="s">
        <v>134</v>
      </c>
      <c r="M43" s="254">
        <v>0</v>
      </c>
      <c r="N43" s="236">
        <v>0</v>
      </c>
      <c r="O43" s="236">
        <v>0</v>
      </c>
      <c r="P43" s="236">
        <v>0</v>
      </c>
      <c r="Q43" s="255">
        <v>0</v>
      </c>
      <c r="R43" s="256">
        <f t="shared" ref="R43:R52" si="61">SUM(M43:Q43)</f>
        <v>0</v>
      </c>
      <c r="S43" s="12"/>
      <c r="T43" s="2" t="s">
        <v>133</v>
      </c>
      <c r="U43" s="2" t="s">
        <v>134</v>
      </c>
      <c r="V43" s="254">
        <f t="shared" ref="V43:V52" si="62">D43+M43</f>
        <v>348.32</v>
      </c>
      <c r="W43" s="236">
        <f t="shared" ref="W43:W52" si="63">E43+N43</f>
        <v>348.32</v>
      </c>
      <c r="X43" s="236">
        <f t="shared" ref="X43:X52" si="64">F43+O43</f>
        <v>348.32</v>
      </c>
      <c r="Y43" s="236">
        <f t="shared" ref="Y43:Y52" si="65">G43+P43</f>
        <v>348.32</v>
      </c>
      <c r="Z43" s="255">
        <f t="shared" ref="Z43:Z52" si="66">H43+Q43</f>
        <v>348.32</v>
      </c>
      <c r="AA43" s="256">
        <f t="shared" ref="AA43:AA52" si="67">SUM(V43:Z43)</f>
        <v>1741.6</v>
      </c>
      <c r="AB43" s="32"/>
      <c r="AD43" s="328"/>
      <c r="AE43" s="328"/>
      <c r="AH43" s="44"/>
      <c r="AI43" s="44"/>
      <c r="AJ43" s="44"/>
      <c r="AK43" s="44"/>
      <c r="AL43" s="44"/>
      <c r="AM43" s="44"/>
    </row>
    <row r="44" spans="1:39" s="67" customFormat="1" ht="18" customHeight="1" x14ac:dyDescent="0.2">
      <c r="A44" s="12"/>
      <c r="B44" s="2" t="s">
        <v>135</v>
      </c>
      <c r="C44" s="2" t="s">
        <v>136</v>
      </c>
      <c r="D44" s="254">
        <v>157.5</v>
      </c>
      <c r="E44" s="236">
        <v>131.5</v>
      </c>
      <c r="F44" s="236">
        <v>132</v>
      </c>
      <c r="G44" s="236">
        <v>132</v>
      </c>
      <c r="H44" s="255">
        <v>132</v>
      </c>
      <c r="I44" s="256">
        <f t="shared" si="39"/>
        <v>685</v>
      </c>
      <c r="J44" s="66"/>
      <c r="K44" s="2" t="s">
        <v>135</v>
      </c>
      <c r="L44" s="2" t="s">
        <v>136</v>
      </c>
      <c r="M44" s="254">
        <v>0</v>
      </c>
      <c r="N44" s="236">
        <v>0</v>
      </c>
      <c r="O44" s="236">
        <v>0</v>
      </c>
      <c r="P44" s="236">
        <v>0</v>
      </c>
      <c r="Q44" s="255">
        <v>0</v>
      </c>
      <c r="R44" s="256">
        <f t="shared" si="61"/>
        <v>0</v>
      </c>
      <c r="S44" s="12"/>
      <c r="T44" s="2" t="s">
        <v>135</v>
      </c>
      <c r="U44" s="2" t="s">
        <v>136</v>
      </c>
      <c r="V44" s="254">
        <f t="shared" si="62"/>
        <v>157.5</v>
      </c>
      <c r="W44" s="236">
        <f t="shared" si="63"/>
        <v>131.5</v>
      </c>
      <c r="X44" s="236">
        <f t="shared" si="64"/>
        <v>132</v>
      </c>
      <c r="Y44" s="236">
        <f t="shared" si="65"/>
        <v>132</v>
      </c>
      <c r="Z44" s="255">
        <f t="shared" si="66"/>
        <v>132</v>
      </c>
      <c r="AA44" s="256">
        <f t="shared" si="67"/>
        <v>685</v>
      </c>
      <c r="AB44" s="32"/>
      <c r="AD44" s="328"/>
      <c r="AE44" s="328"/>
      <c r="AH44" s="44"/>
      <c r="AI44" s="44"/>
      <c r="AJ44" s="44"/>
      <c r="AK44" s="44"/>
      <c r="AL44" s="44"/>
      <c r="AM44" s="44"/>
    </row>
    <row r="45" spans="1:39" s="67" customFormat="1" ht="18" customHeight="1" x14ac:dyDescent="0.2">
      <c r="A45" s="12"/>
      <c r="B45" s="2" t="s">
        <v>137</v>
      </c>
      <c r="C45" s="2" t="s">
        <v>138</v>
      </c>
      <c r="D45" s="254">
        <v>64</v>
      </c>
      <c r="E45" s="236">
        <v>0</v>
      </c>
      <c r="F45" s="236">
        <v>64</v>
      </c>
      <c r="G45" s="236">
        <v>0</v>
      </c>
      <c r="H45" s="255">
        <v>64</v>
      </c>
      <c r="I45" s="256">
        <f t="shared" si="39"/>
        <v>192</v>
      </c>
      <c r="J45" s="66"/>
      <c r="K45" s="2" t="s">
        <v>137</v>
      </c>
      <c r="L45" s="2" t="s">
        <v>138</v>
      </c>
      <c r="M45" s="254">
        <v>0</v>
      </c>
      <c r="N45" s="236">
        <v>0</v>
      </c>
      <c r="O45" s="236">
        <v>0</v>
      </c>
      <c r="P45" s="236">
        <v>0</v>
      </c>
      <c r="Q45" s="255">
        <v>0</v>
      </c>
      <c r="R45" s="256">
        <f t="shared" si="61"/>
        <v>0</v>
      </c>
      <c r="S45" s="12"/>
      <c r="T45" s="2" t="s">
        <v>137</v>
      </c>
      <c r="U45" s="2" t="s">
        <v>138</v>
      </c>
      <c r="V45" s="254">
        <f t="shared" si="62"/>
        <v>64</v>
      </c>
      <c r="W45" s="236">
        <f t="shared" si="63"/>
        <v>0</v>
      </c>
      <c r="X45" s="236">
        <f t="shared" si="64"/>
        <v>64</v>
      </c>
      <c r="Y45" s="236">
        <f t="shared" si="65"/>
        <v>0</v>
      </c>
      <c r="Z45" s="255">
        <f t="shared" si="66"/>
        <v>64</v>
      </c>
      <c r="AA45" s="256">
        <f t="shared" si="67"/>
        <v>192</v>
      </c>
      <c r="AB45" s="32"/>
      <c r="AD45" s="328"/>
      <c r="AE45" s="328"/>
      <c r="AH45" s="44"/>
      <c r="AI45" s="44"/>
      <c r="AJ45" s="44"/>
      <c r="AK45" s="44"/>
      <c r="AL45" s="44"/>
      <c r="AM45" s="44"/>
    </row>
    <row r="46" spans="1:39" s="67" customFormat="1" ht="18" customHeight="1" x14ac:dyDescent="0.2">
      <c r="A46" s="12"/>
      <c r="B46" s="2" t="s">
        <v>139</v>
      </c>
      <c r="C46" s="2" t="s">
        <v>140</v>
      </c>
      <c r="D46" s="254">
        <v>37.5</v>
      </c>
      <c r="E46" s="236">
        <v>74.900000000000006</v>
      </c>
      <c r="F46" s="236">
        <v>112.4</v>
      </c>
      <c r="G46" s="236">
        <v>112.4</v>
      </c>
      <c r="H46" s="255">
        <v>74.900000000000006</v>
      </c>
      <c r="I46" s="256">
        <f t="shared" si="39"/>
        <v>412.1</v>
      </c>
      <c r="J46" s="66"/>
      <c r="K46" s="2" t="s">
        <v>139</v>
      </c>
      <c r="L46" s="2" t="s">
        <v>140</v>
      </c>
      <c r="M46" s="254">
        <v>0</v>
      </c>
      <c r="N46" s="236">
        <v>0</v>
      </c>
      <c r="O46" s="236">
        <v>0</v>
      </c>
      <c r="P46" s="236">
        <v>0</v>
      </c>
      <c r="Q46" s="255">
        <v>0</v>
      </c>
      <c r="R46" s="256">
        <f t="shared" si="61"/>
        <v>0</v>
      </c>
      <c r="S46" s="12"/>
      <c r="T46" s="2" t="s">
        <v>139</v>
      </c>
      <c r="U46" s="2" t="s">
        <v>140</v>
      </c>
      <c r="V46" s="254">
        <f t="shared" si="62"/>
        <v>37.5</v>
      </c>
      <c r="W46" s="236">
        <f t="shared" si="63"/>
        <v>74.900000000000006</v>
      </c>
      <c r="X46" s="236">
        <f t="shared" si="64"/>
        <v>112.4</v>
      </c>
      <c r="Y46" s="236">
        <f t="shared" si="65"/>
        <v>112.4</v>
      </c>
      <c r="Z46" s="255">
        <f t="shared" si="66"/>
        <v>74.900000000000006</v>
      </c>
      <c r="AA46" s="256">
        <f t="shared" si="67"/>
        <v>412.1</v>
      </c>
      <c r="AB46" s="32"/>
      <c r="AD46" s="328"/>
      <c r="AE46" s="328"/>
      <c r="AH46" s="44"/>
      <c r="AI46" s="44"/>
      <c r="AJ46" s="44"/>
      <c r="AK46" s="44"/>
      <c r="AL46" s="44"/>
      <c r="AM46" s="44"/>
    </row>
    <row r="47" spans="1:39" s="67" customFormat="1" ht="18" customHeight="1" x14ac:dyDescent="0.2">
      <c r="A47" s="12"/>
      <c r="B47" s="2" t="s">
        <v>141</v>
      </c>
      <c r="C47" s="2" t="s">
        <v>142</v>
      </c>
      <c r="D47" s="254">
        <v>30.626999999999999</v>
      </c>
      <c r="E47" s="236">
        <v>51.045000000000002</v>
      </c>
      <c r="F47" s="236">
        <v>51.462999999999994</v>
      </c>
      <c r="G47" s="236">
        <v>61.253999999999998</v>
      </c>
      <c r="H47" s="255">
        <v>40.835999999999999</v>
      </c>
      <c r="I47" s="256">
        <f t="shared" si="39"/>
        <v>235.22499999999997</v>
      </c>
      <c r="J47" s="66"/>
      <c r="K47" s="2" t="s">
        <v>141</v>
      </c>
      <c r="L47" s="2" t="s">
        <v>142</v>
      </c>
      <c r="M47" s="254">
        <v>0</v>
      </c>
      <c r="N47" s="236">
        <v>0</v>
      </c>
      <c r="O47" s="236">
        <v>20</v>
      </c>
      <c r="P47" s="236">
        <v>0</v>
      </c>
      <c r="Q47" s="255">
        <v>0</v>
      </c>
      <c r="R47" s="256">
        <f t="shared" si="61"/>
        <v>20</v>
      </c>
      <c r="S47" s="12"/>
      <c r="T47" s="2" t="s">
        <v>141</v>
      </c>
      <c r="U47" s="2" t="s">
        <v>142</v>
      </c>
      <c r="V47" s="254">
        <f t="shared" si="62"/>
        <v>30.626999999999999</v>
      </c>
      <c r="W47" s="236">
        <f t="shared" si="63"/>
        <v>51.045000000000002</v>
      </c>
      <c r="X47" s="236">
        <f t="shared" si="64"/>
        <v>71.462999999999994</v>
      </c>
      <c r="Y47" s="236">
        <f t="shared" si="65"/>
        <v>61.253999999999998</v>
      </c>
      <c r="Z47" s="255">
        <f t="shared" si="66"/>
        <v>40.835999999999999</v>
      </c>
      <c r="AA47" s="256">
        <f t="shared" si="67"/>
        <v>255.22499999999997</v>
      </c>
      <c r="AB47" s="32"/>
      <c r="AD47" s="328"/>
      <c r="AE47" s="328"/>
      <c r="AH47" s="44"/>
      <c r="AI47" s="44"/>
      <c r="AJ47" s="44"/>
      <c r="AK47" s="44"/>
      <c r="AL47" s="44"/>
      <c r="AM47" s="44"/>
    </row>
    <row r="48" spans="1:39" s="67" customFormat="1" ht="18" customHeight="1" x14ac:dyDescent="0.2">
      <c r="A48" s="12"/>
      <c r="B48" s="2" t="s">
        <v>143</v>
      </c>
      <c r="C48" s="2" t="s">
        <v>144</v>
      </c>
      <c r="D48" s="254">
        <v>99.7</v>
      </c>
      <c r="E48" s="236">
        <v>97.5</v>
      </c>
      <c r="F48" s="236">
        <v>114.9</v>
      </c>
      <c r="G48" s="236">
        <v>213.5</v>
      </c>
      <c r="H48" s="255">
        <v>108.3</v>
      </c>
      <c r="I48" s="256">
        <f t="shared" si="39"/>
        <v>633.9</v>
      </c>
      <c r="J48" s="66"/>
      <c r="K48" s="2" t="s">
        <v>143</v>
      </c>
      <c r="L48" s="2" t="s">
        <v>144</v>
      </c>
      <c r="M48" s="254">
        <v>0</v>
      </c>
      <c r="N48" s="236">
        <v>0</v>
      </c>
      <c r="O48" s="236">
        <v>0</v>
      </c>
      <c r="P48" s="236">
        <v>0</v>
      </c>
      <c r="Q48" s="255">
        <v>0</v>
      </c>
      <c r="R48" s="256">
        <f t="shared" si="61"/>
        <v>0</v>
      </c>
      <c r="S48" s="12"/>
      <c r="T48" s="2" t="s">
        <v>143</v>
      </c>
      <c r="U48" s="2" t="s">
        <v>144</v>
      </c>
      <c r="V48" s="254">
        <f t="shared" si="62"/>
        <v>99.7</v>
      </c>
      <c r="W48" s="236">
        <f t="shared" si="63"/>
        <v>97.5</v>
      </c>
      <c r="X48" s="236">
        <f t="shared" si="64"/>
        <v>114.9</v>
      </c>
      <c r="Y48" s="236">
        <f t="shared" si="65"/>
        <v>213.5</v>
      </c>
      <c r="Z48" s="255">
        <f t="shared" si="66"/>
        <v>108.3</v>
      </c>
      <c r="AA48" s="256">
        <f t="shared" si="67"/>
        <v>633.9</v>
      </c>
      <c r="AB48" s="32"/>
      <c r="AD48" s="328"/>
      <c r="AE48" s="328"/>
      <c r="AH48" s="44"/>
      <c r="AI48" s="44"/>
      <c r="AJ48" s="44"/>
      <c r="AK48" s="44"/>
      <c r="AL48" s="44"/>
      <c r="AM48" s="44"/>
    </row>
    <row r="49" spans="1:39" s="67" customFormat="1" ht="18" customHeight="1" x14ac:dyDescent="0.2">
      <c r="A49" s="12"/>
      <c r="B49" s="2" t="s">
        <v>145</v>
      </c>
      <c r="C49" s="2" t="s">
        <v>146</v>
      </c>
      <c r="D49" s="254">
        <v>636.20000000000005</v>
      </c>
      <c r="E49" s="236">
        <v>600.20000000000005</v>
      </c>
      <c r="F49" s="236">
        <v>582.20000000000005</v>
      </c>
      <c r="G49" s="236">
        <v>564.20000000000005</v>
      </c>
      <c r="H49" s="255">
        <v>564.20000000000005</v>
      </c>
      <c r="I49" s="256">
        <f t="shared" si="39"/>
        <v>2947</v>
      </c>
      <c r="J49" s="66"/>
      <c r="K49" s="2" t="s">
        <v>145</v>
      </c>
      <c r="L49" s="2" t="s">
        <v>146</v>
      </c>
      <c r="M49" s="254">
        <v>0</v>
      </c>
      <c r="N49" s="236">
        <v>0</v>
      </c>
      <c r="O49" s="236">
        <v>0</v>
      </c>
      <c r="P49" s="236">
        <v>0</v>
      </c>
      <c r="Q49" s="255">
        <v>0</v>
      </c>
      <c r="R49" s="256">
        <f t="shared" si="61"/>
        <v>0</v>
      </c>
      <c r="S49" s="12"/>
      <c r="T49" s="2" t="s">
        <v>145</v>
      </c>
      <c r="U49" s="2" t="s">
        <v>146</v>
      </c>
      <c r="V49" s="254">
        <f t="shared" si="62"/>
        <v>636.20000000000005</v>
      </c>
      <c r="W49" s="236">
        <f t="shared" si="63"/>
        <v>600.20000000000005</v>
      </c>
      <c r="X49" s="236">
        <f t="shared" si="64"/>
        <v>582.20000000000005</v>
      </c>
      <c r="Y49" s="236">
        <f t="shared" si="65"/>
        <v>564.20000000000005</v>
      </c>
      <c r="Z49" s="255">
        <f t="shared" si="66"/>
        <v>564.20000000000005</v>
      </c>
      <c r="AA49" s="256">
        <f t="shared" si="67"/>
        <v>2947</v>
      </c>
      <c r="AB49" s="32"/>
      <c r="AD49" s="328"/>
      <c r="AE49" s="328"/>
      <c r="AH49" s="44"/>
      <c r="AI49" s="44"/>
      <c r="AJ49" s="44"/>
      <c r="AK49" s="44"/>
      <c r="AL49" s="44"/>
      <c r="AM49" s="44"/>
    </row>
    <row r="50" spans="1:39" s="67" customFormat="1" ht="18" customHeight="1" x14ac:dyDescent="0.2">
      <c r="A50" s="12"/>
      <c r="B50" s="2" t="s">
        <v>147</v>
      </c>
      <c r="C50" s="2" t="s">
        <v>148</v>
      </c>
      <c r="D50" s="254">
        <v>587.78099999999995</v>
      </c>
      <c r="E50" s="236">
        <v>712.04600000000005</v>
      </c>
      <c r="F50" s="236">
        <v>893.26900000000001</v>
      </c>
      <c r="G50" s="236">
        <v>762.04600000000005</v>
      </c>
      <c r="H50" s="255">
        <v>762.04600000000005</v>
      </c>
      <c r="I50" s="256">
        <f t="shared" si="39"/>
        <v>3717.1880000000001</v>
      </c>
      <c r="J50" s="66"/>
      <c r="K50" s="2" t="s">
        <v>147</v>
      </c>
      <c r="L50" s="2" t="s">
        <v>148</v>
      </c>
      <c r="M50" s="254">
        <v>0</v>
      </c>
      <c r="N50" s="236">
        <v>50</v>
      </c>
      <c r="O50" s="236">
        <v>53</v>
      </c>
      <c r="P50" s="236">
        <v>0</v>
      </c>
      <c r="Q50" s="255">
        <v>0</v>
      </c>
      <c r="R50" s="256">
        <f t="shared" si="61"/>
        <v>103</v>
      </c>
      <c r="S50" s="12"/>
      <c r="T50" s="2" t="s">
        <v>147</v>
      </c>
      <c r="U50" s="2" t="s">
        <v>148</v>
      </c>
      <c r="V50" s="254">
        <f t="shared" si="62"/>
        <v>587.78099999999995</v>
      </c>
      <c r="W50" s="236">
        <f t="shared" si="63"/>
        <v>762.04600000000005</v>
      </c>
      <c r="X50" s="236">
        <f t="shared" si="64"/>
        <v>946.26900000000001</v>
      </c>
      <c r="Y50" s="236">
        <f t="shared" si="65"/>
        <v>762.04600000000005</v>
      </c>
      <c r="Z50" s="255">
        <f t="shared" si="66"/>
        <v>762.04600000000005</v>
      </c>
      <c r="AA50" s="256">
        <f t="shared" si="67"/>
        <v>3820.1880000000001</v>
      </c>
      <c r="AB50" s="32"/>
      <c r="AD50" s="328"/>
      <c r="AE50" s="328"/>
      <c r="AH50" s="44"/>
      <c r="AI50" s="44"/>
      <c r="AJ50" s="44"/>
      <c r="AK50" s="44"/>
      <c r="AL50" s="44"/>
      <c r="AM50" s="44"/>
    </row>
    <row r="51" spans="1:39" s="67" customFormat="1" ht="18" customHeight="1" x14ac:dyDescent="0.2">
      <c r="A51" s="12"/>
      <c r="B51" s="2" t="s">
        <v>149</v>
      </c>
      <c r="C51" s="2" t="s">
        <v>150</v>
      </c>
      <c r="D51" s="254">
        <v>354</v>
      </c>
      <c r="E51" s="236">
        <v>2224</v>
      </c>
      <c r="F51" s="236">
        <v>7320</v>
      </c>
      <c r="G51" s="236">
        <v>3240</v>
      </c>
      <c r="H51" s="255">
        <v>486</v>
      </c>
      <c r="I51" s="256">
        <f t="shared" si="39"/>
        <v>13624</v>
      </c>
      <c r="J51" s="66"/>
      <c r="K51" s="2" t="s">
        <v>149</v>
      </c>
      <c r="L51" s="2" t="s">
        <v>150</v>
      </c>
      <c r="M51" s="254">
        <v>0</v>
      </c>
      <c r="N51" s="236">
        <v>0</v>
      </c>
      <c r="O51" s="236">
        <v>0</v>
      </c>
      <c r="P51" s="236">
        <v>0</v>
      </c>
      <c r="Q51" s="255">
        <v>0</v>
      </c>
      <c r="R51" s="256">
        <f t="shared" si="61"/>
        <v>0</v>
      </c>
      <c r="S51" s="12"/>
      <c r="T51" s="2" t="s">
        <v>149</v>
      </c>
      <c r="U51" s="2" t="s">
        <v>150</v>
      </c>
      <c r="V51" s="254">
        <f t="shared" si="62"/>
        <v>354</v>
      </c>
      <c r="W51" s="236">
        <f t="shared" si="63"/>
        <v>2224</v>
      </c>
      <c r="X51" s="236">
        <f t="shared" si="64"/>
        <v>7320</v>
      </c>
      <c r="Y51" s="236">
        <f t="shared" si="65"/>
        <v>3240</v>
      </c>
      <c r="Z51" s="255">
        <f t="shared" si="66"/>
        <v>486</v>
      </c>
      <c r="AA51" s="256">
        <f t="shared" si="67"/>
        <v>13624</v>
      </c>
      <c r="AB51" s="32"/>
      <c r="AD51" s="328"/>
      <c r="AE51" s="328"/>
      <c r="AH51" s="44"/>
      <c r="AI51" s="44"/>
      <c r="AJ51" s="44"/>
      <c r="AK51" s="44"/>
      <c r="AL51" s="44"/>
      <c r="AM51" s="44"/>
    </row>
    <row r="52" spans="1:39" s="67" customFormat="1" ht="18" customHeight="1" x14ac:dyDescent="0.2">
      <c r="A52" s="12"/>
      <c r="B52" s="2" t="s">
        <v>151</v>
      </c>
      <c r="C52" s="2" t="s">
        <v>152</v>
      </c>
      <c r="D52" s="254">
        <v>65.099999999999994</v>
      </c>
      <c r="E52" s="236">
        <v>65.099999999999994</v>
      </c>
      <c r="F52" s="236">
        <v>13</v>
      </c>
      <c r="G52" s="236">
        <v>9.9999999999994316E-2</v>
      </c>
      <c r="H52" s="255">
        <v>69</v>
      </c>
      <c r="I52" s="256">
        <f t="shared" si="39"/>
        <v>212.29999999999998</v>
      </c>
      <c r="J52" s="70"/>
      <c r="K52" s="2" t="s">
        <v>151</v>
      </c>
      <c r="L52" s="2" t="s">
        <v>152</v>
      </c>
      <c r="M52" s="254">
        <v>0</v>
      </c>
      <c r="N52" s="236">
        <v>0</v>
      </c>
      <c r="O52" s="236">
        <v>7</v>
      </c>
      <c r="P52" s="236">
        <v>67</v>
      </c>
      <c r="Q52" s="255">
        <v>0</v>
      </c>
      <c r="R52" s="256">
        <f t="shared" si="61"/>
        <v>74</v>
      </c>
      <c r="S52" s="12"/>
      <c r="T52" s="2" t="s">
        <v>151</v>
      </c>
      <c r="U52" s="2" t="s">
        <v>152</v>
      </c>
      <c r="V52" s="254">
        <f t="shared" si="62"/>
        <v>65.099999999999994</v>
      </c>
      <c r="W52" s="236">
        <f t="shared" si="63"/>
        <v>65.099999999999994</v>
      </c>
      <c r="X52" s="236">
        <f t="shared" si="64"/>
        <v>20</v>
      </c>
      <c r="Y52" s="236">
        <f t="shared" si="65"/>
        <v>67.099999999999994</v>
      </c>
      <c r="Z52" s="255">
        <f t="shared" si="66"/>
        <v>69</v>
      </c>
      <c r="AA52" s="256">
        <f t="shared" si="67"/>
        <v>286.29999999999995</v>
      </c>
      <c r="AB52" s="32"/>
      <c r="AD52" s="328"/>
      <c r="AE52" s="328"/>
      <c r="AH52" s="44"/>
      <c r="AI52" s="44"/>
      <c r="AJ52" s="44"/>
      <c r="AK52" s="44"/>
      <c r="AL52" s="44"/>
      <c r="AM52" s="44"/>
    </row>
    <row r="53" spans="1:39" s="78" customFormat="1" ht="18" customHeight="1" thickBot="1" x14ac:dyDescent="0.25">
      <c r="A53" s="77"/>
      <c r="B53" s="237" t="s">
        <v>164</v>
      </c>
      <c r="C53" s="237"/>
      <c r="D53" s="257">
        <f t="shared" ref="D53:I53" si="68">SUM(D43:D52)</f>
        <v>2380.7279999999996</v>
      </c>
      <c r="E53" s="258">
        <f t="shared" si="68"/>
        <v>4304.6110000000008</v>
      </c>
      <c r="F53" s="258">
        <f t="shared" si="68"/>
        <v>9631.5519999999997</v>
      </c>
      <c r="G53" s="258">
        <f t="shared" si="68"/>
        <v>5433.8200000000006</v>
      </c>
      <c r="H53" s="259">
        <f t="shared" si="68"/>
        <v>2649.6019999999999</v>
      </c>
      <c r="I53" s="258">
        <f t="shared" si="68"/>
        <v>24400.312999999998</v>
      </c>
      <c r="J53" s="79"/>
      <c r="K53" s="237" t="s">
        <v>164</v>
      </c>
      <c r="L53" s="237"/>
      <c r="M53" s="257">
        <f t="shared" ref="M53:R53" si="69">SUM(M43:M52)</f>
        <v>0</v>
      </c>
      <c r="N53" s="258">
        <f t="shared" si="69"/>
        <v>50</v>
      </c>
      <c r="O53" s="258">
        <f t="shared" si="69"/>
        <v>80</v>
      </c>
      <c r="P53" s="258">
        <f t="shared" si="69"/>
        <v>67</v>
      </c>
      <c r="Q53" s="259">
        <f t="shared" si="69"/>
        <v>0</v>
      </c>
      <c r="R53" s="258">
        <f t="shared" si="69"/>
        <v>197</v>
      </c>
      <c r="S53" s="12"/>
      <c r="T53" s="237" t="s">
        <v>164</v>
      </c>
      <c r="U53" s="237"/>
      <c r="V53" s="257">
        <f t="shared" ref="V53:AA53" si="70">SUM(V43:V52)</f>
        <v>2380.7279999999996</v>
      </c>
      <c r="W53" s="258">
        <f t="shared" si="70"/>
        <v>4354.6110000000008</v>
      </c>
      <c r="X53" s="258">
        <f t="shared" si="70"/>
        <v>9711.5519999999997</v>
      </c>
      <c r="Y53" s="258">
        <f t="shared" si="70"/>
        <v>5500.8200000000006</v>
      </c>
      <c r="Z53" s="259">
        <f t="shared" si="70"/>
        <v>2649.6019999999999</v>
      </c>
      <c r="AA53" s="258">
        <f t="shared" si="70"/>
        <v>24597.312999999998</v>
      </c>
      <c r="AB53" s="32"/>
      <c r="AC53" s="67"/>
      <c r="AD53" s="328"/>
      <c r="AE53" s="328"/>
      <c r="AH53" s="44"/>
      <c r="AI53" s="44"/>
      <c r="AJ53" s="44"/>
      <c r="AK53" s="44"/>
      <c r="AL53" s="44"/>
      <c r="AM53" s="44"/>
    </row>
    <row r="54" spans="1:39" x14ac:dyDescent="0.2">
      <c r="A54" s="12"/>
      <c r="B54" s="2"/>
      <c r="C54" s="2"/>
      <c r="D54" s="516"/>
      <c r="E54" s="516"/>
      <c r="F54" s="516"/>
      <c r="G54" s="516"/>
      <c r="H54" s="516"/>
      <c r="I54" s="516"/>
      <c r="J54" s="70"/>
      <c r="K54" s="2"/>
      <c r="L54" s="2"/>
      <c r="M54" s="516"/>
      <c r="N54" s="516"/>
      <c r="O54" s="516"/>
      <c r="P54" s="516"/>
      <c r="Q54" s="516"/>
      <c r="R54" s="516"/>
      <c r="S54" s="12"/>
      <c r="T54" s="2"/>
      <c r="U54" s="2" t="s">
        <v>11</v>
      </c>
      <c r="V54" s="516">
        <f>V53-M53-D53</f>
        <v>0</v>
      </c>
      <c r="W54" s="516">
        <f t="shared" ref="W54:AA54" si="71">W53-N53-E53</f>
        <v>0</v>
      </c>
      <c r="X54" s="516">
        <f t="shared" si="71"/>
        <v>0</v>
      </c>
      <c r="Y54" s="516">
        <f t="shared" si="71"/>
        <v>0</v>
      </c>
      <c r="Z54" s="516">
        <f t="shared" si="71"/>
        <v>0</v>
      </c>
      <c r="AA54" s="516">
        <f t="shared" si="71"/>
        <v>0</v>
      </c>
      <c r="AB54" s="32"/>
      <c r="AC54" s="67"/>
      <c r="AD54" s="328"/>
      <c r="AE54" s="328"/>
    </row>
    <row r="55" spans="1:39" ht="21.75" customHeight="1" x14ac:dyDescent="0.2">
      <c r="A55" s="12"/>
      <c r="B55" s="343" t="s">
        <v>1</v>
      </c>
      <c r="C55" s="343"/>
      <c r="D55" s="343"/>
      <c r="E55" s="343"/>
      <c r="F55" s="343"/>
      <c r="G55" s="343"/>
      <c r="H55" s="343"/>
      <c r="I55" s="343"/>
      <c r="J55" s="188"/>
      <c r="K55" s="343" t="s">
        <v>1</v>
      </c>
      <c r="L55" s="343"/>
      <c r="M55" s="343"/>
      <c r="N55" s="343"/>
      <c r="O55" s="343"/>
      <c r="P55" s="343"/>
      <c r="Q55" s="343"/>
      <c r="R55" s="343"/>
      <c r="S55" s="342"/>
      <c r="T55" s="343" t="s">
        <v>1</v>
      </c>
      <c r="U55" s="343"/>
      <c r="V55" s="343"/>
      <c r="W55" s="343"/>
      <c r="X55" s="343"/>
      <c r="Y55" s="343"/>
      <c r="Z55" s="343"/>
      <c r="AA55" s="343"/>
      <c r="AB55" s="32"/>
      <c r="AD55" s="328"/>
      <c r="AE55" s="328"/>
    </row>
    <row r="56" spans="1:39" s="67" customFormat="1" ht="18" customHeight="1" x14ac:dyDescent="0.2">
      <c r="A56" s="12"/>
      <c r="B56" s="2" t="s">
        <v>153</v>
      </c>
      <c r="C56" s="2" t="s">
        <v>154</v>
      </c>
      <c r="D56" s="254">
        <v>99.5</v>
      </c>
      <c r="E56" s="236">
        <v>99.5</v>
      </c>
      <c r="F56" s="236">
        <v>99.5</v>
      </c>
      <c r="G56" s="236">
        <v>99.5</v>
      </c>
      <c r="H56" s="255">
        <v>0</v>
      </c>
      <c r="I56" s="256">
        <f t="shared" ref="I56:I58" si="72">SUM(D56:H56)</f>
        <v>398</v>
      </c>
      <c r="J56" s="70"/>
      <c r="K56" s="2" t="s">
        <v>153</v>
      </c>
      <c r="L56" s="2" t="s">
        <v>154</v>
      </c>
      <c r="M56" s="254">
        <v>0</v>
      </c>
      <c r="N56" s="236">
        <v>0</v>
      </c>
      <c r="O56" s="236">
        <v>0</v>
      </c>
      <c r="P56" s="236">
        <v>0</v>
      </c>
      <c r="Q56" s="255">
        <v>0</v>
      </c>
      <c r="R56" s="256">
        <f t="shared" ref="R56:R58" si="73">SUM(M56:Q56)</f>
        <v>0</v>
      </c>
      <c r="S56" s="12"/>
      <c r="T56" s="2" t="s">
        <v>153</v>
      </c>
      <c r="U56" s="2" t="s">
        <v>154</v>
      </c>
      <c r="V56" s="254">
        <f t="shared" ref="V56:Z58" si="74">D56+M56</f>
        <v>99.5</v>
      </c>
      <c r="W56" s="236">
        <f t="shared" si="74"/>
        <v>99.5</v>
      </c>
      <c r="X56" s="236">
        <f t="shared" si="74"/>
        <v>99.5</v>
      </c>
      <c r="Y56" s="236">
        <f t="shared" si="74"/>
        <v>99.5</v>
      </c>
      <c r="Z56" s="255">
        <f t="shared" si="74"/>
        <v>0</v>
      </c>
      <c r="AA56" s="256">
        <f t="shared" ref="AA56:AA58" si="75">SUM(V56:Z56)</f>
        <v>398</v>
      </c>
      <c r="AB56" s="32"/>
      <c r="AC56" s="80"/>
      <c r="AD56" s="328"/>
      <c r="AE56" s="328"/>
      <c r="AH56" s="44"/>
      <c r="AI56" s="44"/>
      <c r="AJ56" s="44"/>
      <c r="AK56" s="44"/>
      <c r="AL56" s="44"/>
      <c r="AM56" s="44"/>
    </row>
    <row r="57" spans="1:39" s="67" customFormat="1" ht="18" customHeight="1" x14ac:dyDescent="0.2">
      <c r="A57" s="12"/>
      <c r="B57" s="2" t="s">
        <v>155</v>
      </c>
      <c r="C57" s="2" t="s">
        <v>156</v>
      </c>
      <c r="D57" s="254">
        <v>147.69999999999999</v>
      </c>
      <c r="E57" s="236">
        <v>136.1</v>
      </c>
      <c r="F57" s="236">
        <v>136.1</v>
      </c>
      <c r="G57" s="236">
        <v>62.599999999999994</v>
      </c>
      <c r="H57" s="255">
        <v>139</v>
      </c>
      <c r="I57" s="256">
        <f t="shared" si="72"/>
        <v>621.5</v>
      </c>
      <c r="J57" s="70"/>
      <c r="K57" s="2" t="s">
        <v>155</v>
      </c>
      <c r="L57" s="2" t="s">
        <v>156</v>
      </c>
      <c r="M57" s="254">
        <v>0</v>
      </c>
      <c r="N57" s="236">
        <v>0</v>
      </c>
      <c r="O57" s="236">
        <v>0</v>
      </c>
      <c r="P57" s="236">
        <v>88</v>
      </c>
      <c r="Q57" s="255">
        <v>0</v>
      </c>
      <c r="R57" s="256">
        <f t="shared" si="73"/>
        <v>88</v>
      </c>
      <c r="S57" s="12"/>
      <c r="T57" s="2" t="s">
        <v>155</v>
      </c>
      <c r="U57" s="2" t="s">
        <v>156</v>
      </c>
      <c r="V57" s="254">
        <f t="shared" si="74"/>
        <v>147.69999999999999</v>
      </c>
      <c r="W57" s="236">
        <f t="shared" si="74"/>
        <v>136.1</v>
      </c>
      <c r="X57" s="236">
        <f t="shared" si="74"/>
        <v>136.1</v>
      </c>
      <c r="Y57" s="236">
        <f t="shared" si="74"/>
        <v>150.6</v>
      </c>
      <c r="Z57" s="255">
        <f t="shared" si="74"/>
        <v>139</v>
      </c>
      <c r="AA57" s="256">
        <f t="shared" si="75"/>
        <v>709.5</v>
      </c>
      <c r="AB57" s="32"/>
      <c r="AC57" s="80"/>
      <c r="AD57" s="328"/>
      <c r="AE57" s="328"/>
      <c r="AH57" s="44"/>
      <c r="AI57" s="44"/>
      <c r="AJ57" s="44"/>
      <c r="AK57" s="44"/>
      <c r="AL57" s="44"/>
      <c r="AM57" s="44"/>
    </row>
    <row r="58" spans="1:39" s="67" customFormat="1" ht="18" customHeight="1" x14ac:dyDescent="0.2">
      <c r="A58" s="12"/>
      <c r="B58" s="2" t="s">
        <v>157</v>
      </c>
      <c r="C58" s="2" t="s">
        <v>158</v>
      </c>
      <c r="D58" s="254">
        <v>19.556000000000001</v>
      </c>
      <c r="E58" s="236">
        <v>19.556000000000001</v>
      </c>
      <c r="F58" s="236">
        <v>13.038</v>
      </c>
      <c r="G58" s="236">
        <v>0</v>
      </c>
      <c r="H58" s="255">
        <v>0</v>
      </c>
      <c r="I58" s="256">
        <f t="shared" si="72"/>
        <v>52.150000000000006</v>
      </c>
      <c r="J58" s="70"/>
      <c r="K58" s="2" t="s">
        <v>157</v>
      </c>
      <c r="L58" s="2" t="s">
        <v>158</v>
      </c>
      <c r="M58" s="260">
        <v>0</v>
      </c>
      <c r="N58" s="261">
        <v>0</v>
      </c>
      <c r="O58" s="261">
        <v>0</v>
      </c>
      <c r="P58" s="261">
        <v>0</v>
      </c>
      <c r="Q58" s="262">
        <v>0</v>
      </c>
      <c r="R58" s="256">
        <f t="shared" si="73"/>
        <v>0</v>
      </c>
      <c r="S58" s="12"/>
      <c r="T58" s="2" t="s">
        <v>157</v>
      </c>
      <c r="U58" s="2" t="s">
        <v>158</v>
      </c>
      <c r="V58" s="254">
        <f t="shared" si="74"/>
        <v>19.556000000000001</v>
      </c>
      <c r="W58" s="236">
        <f t="shared" si="74"/>
        <v>19.556000000000001</v>
      </c>
      <c r="X58" s="236">
        <f t="shared" si="74"/>
        <v>13.038</v>
      </c>
      <c r="Y58" s="236">
        <f t="shared" si="74"/>
        <v>0</v>
      </c>
      <c r="Z58" s="255">
        <f t="shared" si="74"/>
        <v>0</v>
      </c>
      <c r="AA58" s="256">
        <f t="shared" si="75"/>
        <v>52.150000000000006</v>
      </c>
      <c r="AB58" s="32"/>
      <c r="AC58" s="80"/>
      <c r="AD58" s="328"/>
      <c r="AE58" s="328"/>
      <c r="AH58" s="44"/>
      <c r="AI58" s="44"/>
      <c r="AJ58" s="44"/>
      <c r="AK58" s="44"/>
      <c r="AL58" s="44"/>
      <c r="AM58" s="44"/>
    </row>
    <row r="59" spans="1:39" s="82" customFormat="1" ht="15.75" thickBot="1" x14ac:dyDescent="0.3">
      <c r="A59" s="77"/>
      <c r="B59" s="237" t="s">
        <v>99</v>
      </c>
      <c r="C59" s="237"/>
      <c r="D59" s="257">
        <f t="shared" ref="D59:I59" si="76">SUM(D56:D58)</f>
        <v>266.75599999999997</v>
      </c>
      <c r="E59" s="258">
        <f t="shared" si="76"/>
        <v>255.15600000000001</v>
      </c>
      <c r="F59" s="258">
        <f t="shared" si="76"/>
        <v>248.63800000000001</v>
      </c>
      <c r="G59" s="258">
        <f t="shared" si="76"/>
        <v>162.1</v>
      </c>
      <c r="H59" s="258">
        <f t="shared" si="76"/>
        <v>139</v>
      </c>
      <c r="I59" s="257">
        <f t="shared" si="76"/>
        <v>1071.6500000000001</v>
      </c>
      <c r="J59" s="79"/>
      <c r="K59" s="237" t="s">
        <v>99</v>
      </c>
      <c r="L59" s="237"/>
      <c r="M59" s="482">
        <f t="shared" ref="M59:Q59" si="77">SUM(M56:M58)</f>
        <v>0</v>
      </c>
      <c r="N59" s="483">
        <f t="shared" si="77"/>
        <v>0</v>
      </c>
      <c r="O59" s="483">
        <f t="shared" si="77"/>
        <v>0</v>
      </c>
      <c r="P59" s="483">
        <f t="shared" si="77"/>
        <v>88</v>
      </c>
      <c r="Q59" s="483">
        <f t="shared" si="77"/>
        <v>0</v>
      </c>
      <c r="R59" s="257">
        <f t="shared" ref="R59" si="78">SUM(R56:R58)</f>
        <v>88</v>
      </c>
      <c r="S59" s="12"/>
      <c r="T59" s="237" t="s">
        <v>99</v>
      </c>
      <c r="U59" s="237"/>
      <c r="V59" s="257">
        <f t="shared" ref="V59:AA59" si="79">SUM(V56:V58)</f>
        <v>266.75599999999997</v>
      </c>
      <c r="W59" s="258">
        <f t="shared" si="79"/>
        <v>255.15600000000001</v>
      </c>
      <c r="X59" s="258">
        <f t="shared" si="79"/>
        <v>248.63800000000001</v>
      </c>
      <c r="Y59" s="258">
        <f t="shared" si="79"/>
        <v>250.1</v>
      </c>
      <c r="Z59" s="258">
        <f t="shared" si="79"/>
        <v>139</v>
      </c>
      <c r="AA59" s="257">
        <f t="shared" si="79"/>
        <v>1159.6500000000001</v>
      </c>
      <c r="AB59" s="32"/>
      <c r="AD59" s="328"/>
      <c r="AE59" s="328"/>
      <c r="AH59" s="44"/>
      <c r="AI59" s="44"/>
      <c r="AJ59" s="44"/>
      <c r="AK59" s="44"/>
      <c r="AL59" s="44"/>
      <c r="AM59" s="44"/>
    </row>
    <row r="60" spans="1:39" x14ac:dyDescent="0.2">
      <c r="A60" s="12"/>
      <c r="B60" s="2"/>
      <c r="C60" s="2"/>
      <c r="D60" s="516"/>
      <c r="E60" s="516"/>
      <c r="F60" s="516"/>
      <c r="G60" s="516"/>
      <c r="H60" s="516"/>
      <c r="I60" s="516"/>
      <c r="J60" s="32"/>
      <c r="K60" s="2"/>
      <c r="L60" s="2"/>
      <c r="M60" s="516"/>
      <c r="N60" s="516"/>
      <c r="O60" s="516"/>
      <c r="P60" s="516"/>
      <c r="Q60" s="516"/>
      <c r="R60" s="516"/>
      <c r="S60" s="12"/>
      <c r="T60" s="2"/>
      <c r="U60" s="2" t="s">
        <v>11</v>
      </c>
      <c r="V60" s="516">
        <f>V59-M59-D59</f>
        <v>0</v>
      </c>
      <c r="W60" s="516">
        <f t="shared" ref="W60" si="80">W59-N59-E59</f>
        <v>0</v>
      </c>
      <c r="X60" s="516">
        <f t="shared" ref="X60" si="81">X59-O59-F59</f>
        <v>0</v>
      </c>
      <c r="Y60" s="516">
        <f t="shared" ref="Y60" si="82">Y59-P59-G59</f>
        <v>0</v>
      </c>
      <c r="Z60" s="516">
        <f t="shared" ref="Z60" si="83">Z59-Q59-H59</f>
        <v>0</v>
      </c>
      <c r="AA60" s="516">
        <f t="shared" ref="AA60" si="84">AA59-R59-I59</f>
        <v>0</v>
      </c>
      <c r="AB60" s="32"/>
      <c r="AD60" s="328"/>
      <c r="AE60" s="328"/>
    </row>
    <row r="61" spans="1:39" ht="22.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D61" s="328"/>
      <c r="AE61" s="328"/>
    </row>
    <row r="62" spans="1:39" x14ac:dyDescent="0.2">
      <c r="D62" s="333"/>
      <c r="E62" s="333"/>
      <c r="F62" s="333"/>
      <c r="G62" s="333"/>
      <c r="H62" s="333"/>
      <c r="I62" s="333"/>
    </row>
    <row r="63" spans="1:39" x14ac:dyDescent="0.2">
      <c r="D63" s="333"/>
      <c r="E63" s="333"/>
      <c r="F63" s="333"/>
      <c r="G63" s="333"/>
      <c r="H63" s="333"/>
      <c r="I63" s="333"/>
    </row>
    <row r="65" spans="9:28" x14ac:dyDescent="0.2">
      <c r="I65" s="338"/>
    </row>
    <row r="68" spans="9:28" x14ac:dyDescent="0.2">
      <c r="V68" s="338"/>
      <c r="W68" s="338"/>
      <c r="X68" s="338"/>
      <c r="Y68" s="338"/>
      <c r="Z68" s="338"/>
      <c r="AA68" s="338"/>
      <c r="AB68" s="338"/>
    </row>
  </sheetData>
  <hyperlinks>
    <hyperlink ref="B3" location="Contents!A1" display="Contents!A1"/>
  </hyperlinks>
  <pageMargins left="0.7" right="0.7" top="0.75" bottom="0.75" header="0.3" footer="0.3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G9" sqref="G9"/>
    </sheetView>
  </sheetViews>
  <sheetFormatPr defaultRowHeight="14.25" x14ac:dyDescent="0.2"/>
  <cols>
    <col min="1" max="1" width="2.28515625" style="44" customWidth="1"/>
    <col min="2" max="2" width="26.5703125" style="44" customWidth="1"/>
    <col min="3" max="3" width="86.42578125" style="44" customWidth="1"/>
    <col min="4" max="9" width="7" style="44" customWidth="1"/>
    <col min="10" max="10" width="3.7109375" style="44" customWidth="1"/>
    <col min="11" max="16384" width="9.140625" style="44"/>
  </cols>
  <sheetData>
    <row r="1" spans="1:10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27.95" customHeight="1" x14ac:dyDescent="0.25">
      <c r="A2" s="63"/>
      <c r="B2" s="340" t="s">
        <v>40</v>
      </c>
      <c r="C2" s="340"/>
      <c r="D2" s="341"/>
      <c r="E2" s="341"/>
      <c r="F2" s="341"/>
      <c r="G2" s="341"/>
      <c r="H2" s="341"/>
      <c r="I2" s="341"/>
      <c r="J2" s="32"/>
    </row>
    <row r="3" spans="1:10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</row>
    <row r="4" spans="1:10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</row>
    <row r="5" spans="1:10" s="71" customFormat="1" ht="20.100000000000001" customHeight="1" x14ac:dyDescent="0.25">
      <c r="A5" s="69"/>
      <c r="B5" s="354" t="s">
        <v>40</v>
      </c>
      <c r="C5" s="354"/>
      <c r="D5" s="355"/>
      <c r="E5" s="355"/>
      <c r="F5" s="355"/>
      <c r="G5" s="355"/>
      <c r="H5" s="355"/>
      <c r="I5" s="355"/>
      <c r="J5" s="70"/>
    </row>
    <row r="6" spans="1:10" s="67" customFormat="1" ht="18" customHeight="1" x14ac:dyDescent="0.2">
      <c r="A6" s="66"/>
      <c r="B6" s="12"/>
      <c r="C6" s="12"/>
      <c r="D6" s="12"/>
      <c r="E6" s="12"/>
      <c r="F6" s="12"/>
      <c r="G6" s="12"/>
      <c r="H6" s="12"/>
      <c r="I6" s="12"/>
      <c r="J6" s="12"/>
    </row>
    <row r="7" spans="1:10" s="67" customFormat="1" ht="18" customHeight="1" x14ac:dyDescent="0.2">
      <c r="A7" s="66"/>
      <c r="B7" s="156" t="s">
        <v>41</v>
      </c>
      <c r="C7" s="157" t="s">
        <v>100</v>
      </c>
      <c r="D7" s="158">
        <v>2017</v>
      </c>
      <c r="E7" s="158">
        <v>2018</v>
      </c>
      <c r="F7" s="159">
        <v>2019</v>
      </c>
      <c r="G7" s="159">
        <v>2020</v>
      </c>
      <c r="H7" s="159">
        <v>2021</v>
      </c>
      <c r="I7" s="160">
        <v>2022</v>
      </c>
      <c r="J7" s="12"/>
    </row>
    <row r="8" spans="1:10" s="67" customFormat="1" ht="18" customHeight="1" x14ac:dyDescent="0.2">
      <c r="A8" s="66"/>
      <c r="B8" s="248" t="s">
        <v>18</v>
      </c>
      <c r="C8" s="161"/>
      <c r="D8" s="245">
        <f>AVERAGE(D9:D10)</f>
        <v>2.7859314930013821E-3</v>
      </c>
      <c r="E8" s="246">
        <f t="shared" ref="E8:I8" si="0">AVERAGE(E9:E10)</f>
        <v>8.049579633929908E-3</v>
      </c>
      <c r="F8" s="245">
        <f t="shared" si="0"/>
        <v>9.1811794847027894E-3</v>
      </c>
      <c r="G8" s="245">
        <f t="shared" si="0"/>
        <v>1.1306190522843301E-2</v>
      </c>
      <c r="H8" s="245">
        <f t="shared" si="0"/>
        <v>1.3824027038481708E-2</v>
      </c>
      <c r="I8" s="247">
        <f t="shared" si="0"/>
        <v>1.5404296472707225E-2</v>
      </c>
      <c r="J8" s="12"/>
    </row>
    <row r="9" spans="1:10" s="67" customFormat="1" ht="18" customHeight="1" x14ac:dyDescent="0.2">
      <c r="A9" s="66"/>
      <c r="B9" s="162" t="s">
        <v>67</v>
      </c>
      <c r="C9" s="163" t="s">
        <v>366</v>
      </c>
      <c r="D9" s="166">
        <v>7.5718629860027642E-3</v>
      </c>
      <c r="E9" s="165">
        <v>1.1099159267859817E-2</v>
      </c>
      <c r="F9" s="166">
        <v>9.3623589694055813E-3</v>
      </c>
      <c r="G9" s="166">
        <v>1.1612381045686604E-2</v>
      </c>
      <c r="H9" s="166">
        <v>1.6648054076963417E-2</v>
      </c>
      <c r="I9" s="167">
        <v>1.9808592945414451E-2</v>
      </c>
      <c r="J9" s="125"/>
    </row>
    <row r="10" spans="1:10" s="67" customFormat="1" ht="18" customHeight="1" x14ac:dyDescent="0.2">
      <c r="A10" s="66"/>
      <c r="B10" s="162" t="s">
        <v>68</v>
      </c>
      <c r="C10" s="164" t="s">
        <v>324</v>
      </c>
      <c r="D10" s="166">
        <v>-2E-3</v>
      </c>
      <c r="E10" s="165">
        <v>5.0000000000000001E-3</v>
      </c>
      <c r="F10" s="166">
        <v>8.9999999999999993E-3</v>
      </c>
      <c r="G10" s="166">
        <v>1.0999999999999999E-2</v>
      </c>
      <c r="H10" s="166">
        <v>1.0999999999999999E-2</v>
      </c>
      <c r="I10" s="167">
        <f>H10</f>
        <v>1.0999999999999999E-2</v>
      </c>
      <c r="J10" s="12"/>
    </row>
    <row r="11" spans="1:10" s="67" customFormat="1" ht="18" customHeight="1" x14ac:dyDescent="0.2">
      <c r="A11" s="66"/>
      <c r="B11" s="249" t="s">
        <v>19</v>
      </c>
      <c r="C11" s="250"/>
      <c r="D11" s="251">
        <v>0</v>
      </c>
      <c r="E11" s="252">
        <v>0</v>
      </c>
      <c r="F11" s="251">
        <v>0</v>
      </c>
      <c r="G11" s="251">
        <v>0</v>
      </c>
      <c r="H11" s="251">
        <v>0</v>
      </c>
      <c r="I11" s="253">
        <v>0</v>
      </c>
      <c r="J11" s="12"/>
    </row>
    <row r="12" spans="1:10" s="67" customFormat="1" ht="18" customHeight="1" x14ac:dyDescent="0.2">
      <c r="A12" s="66"/>
      <c r="B12" s="12"/>
      <c r="C12" s="12"/>
      <c r="D12" s="12"/>
      <c r="E12" s="12"/>
      <c r="F12" s="12"/>
      <c r="G12" s="12"/>
      <c r="H12" s="12"/>
      <c r="I12" s="12"/>
      <c r="J12" s="12"/>
    </row>
    <row r="13" spans="1:10" s="67" customFormat="1" ht="18" customHeight="1" x14ac:dyDescent="0.2">
      <c r="A13" s="66"/>
      <c r="B13" s="156" t="s">
        <v>42</v>
      </c>
      <c r="C13" s="157" t="s">
        <v>240</v>
      </c>
      <c r="D13" s="174">
        <f t="shared" ref="D13:I13" si="1">D7</f>
        <v>2017</v>
      </c>
      <c r="E13" s="175">
        <f t="shared" si="1"/>
        <v>2018</v>
      </c>
      <c r="F13" s="174">
        <f t="shared" si="1"/>
        <v>2019</v>
      </c>
      <c r="G13" s="174">
        <f t="shared" si="1"/>
        <v>2020</v>
      </c>
      <c r="H13" s="174">
        <f t="shared" si="1"/>
        <v>2021</v>
      </c>
      <c r="I13" s="176">
        <f t="shared" si="1"/>
        <v>2022</v>
      </c>
      <c r="J13" s="12"/>
    </row>
    <row r="14" spans="1:10" s="67" customFormat="1" ht="18" customHeight="1" x14ac:dyDescent="0.2">
      <c r="A14" s="66"/>
      <c r="B14" s="177" t="s">
        <v>18</v>
      </c>
      <c r="C14" s="320">
        <v>0.62</v>
      </c>
      <c r="D14" s="238">
        <f>D8</f>
        <v>2.7859314930013821E-3</v>
      </c>
      <c r="E14" s="243">
        <f>(1+D8)*(1+E8)-1</f>
        <v>1.0857936704338877E-2</v>
      </c>
      <c r="F14" s="242">
        <f>(1+D8)*(1+E8)*(1+F8)-1</f>
        <v>2.0138804854757719E-2</v>
      </c>
      <c r="G14" s="242">
        <f>(1+D8)*(1+E8)*(1+F8)*(1+G8)-1</f>
        <v>3.1672688542191185E-2</v>
      </c>
      <c r="H14" s="242">
        <f>(1+D8)*(1+E8)*(1+F8)*(1+G8)*(1+H8)-1</f>
        <v>4.5934559683461496E-2</v>
      </c>
      <c r="I14" s="244">
        <f>(1+D8)*(1+E8)*(1+F8)*(1+G8)*(1+H8)*(1+I8)-1</f>
        <v>6.2046445731876121E-2</v>
      </c>
      <c r="J14" s="12"/>
    </row>
    <row r="15" spans="1:10" s="67" customFormat="1" ht="18" customHeight="1" x14ac:dyDescent="0.2">
      <c r="A15" s="66"/>
      <c r="B15" s="168" t="s">
        <v>19</v>
      </c>
      <c r="C15" s="321">
        <v>0.38</v>
      </c>
      <c r="D15" s="170">
        <f>D11</f>
        <v>0</v>
      </c>
      <c r="E15" s="171">
        <f>(1+D11)*(1+E11)-1</f>
        <v>0</v>
      </c>
      <c r="F15" s="170">
        <f>(1+D11)*(1+E11)*(1+F11)-1</f>
        <v>0</v>
      </c>
      <c r="G15" s="170">
        <f>(1+D11)*(1+E11)*(1+F11)*(1+G11)-1</f>
        <v>0</v>
      </c>
      <c r="H15" s="170">
        <f>(1+D11)*(1+E11)*(1+F11)*(1+G11)*(1+H11)-1</f>
        <v>0</v>
      </c>
      <c r="I15" s="172">
        <f>(1+D11)*(1+E11)*(1+F11)*(1+G11)*(1+H11)*(1+I11)-1</f>
        <v>0</v>
      </c>
      <c r="J15" s="12"/>
    </row>
    <row r="16" spans="1:10" s="67" customFormat="1" ht="18" customHeight="1" x14ac:dyDescent="0.2">
      <c r="A16" s="66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8" customHeight="1" x14ac:dyDescent="0.2">
      <c r="A17" s="32"/>
      <c r="B17" s="156" t="s">
        <v>239</v>
      </c>
      <c r="C17" s="173"/>
      <c r="D17" s="158">
        <f>D7</f>
        <v>2017</v>
      </c>
      <c r="E17" s="158">
        <f>E7</f>
        <v>2018</v>
      </c>
      <c r="F17" s="159">
        <f t="shared" ref="F17:I17" si="2">F7</f>
        <v>2019</v>
      </c>
      <c r="G17" s="159">
        <f t="shared" si="2"/>
        <v>2020</v>
      </c>
      <c r="H17" s="159">
        <f t="shared" si="2"/>
        <v>2021</v>
      </c>
      <c r="I17" s="160">
        <f t="shared" si="2"/>
        <v>2022</v>
      </c>
      <c r="J17" s="32"/>
    </row>
    <row r="18" spans="1:10" ht="18" customHeight="1" x14ac:dyDescent="0.2">
      <c r="A18" s="32"/>
      <c r="B18" s="168" t="s">
        <v>239</v>
      </c>
      <c r="C18" s="169"/>
      <c r="D18" s="398">
        <f>($C$14*D14)+($C$15*D15)</f>
        <v>1.7272775256608568E-3</v>
      </c>
      <c r="E18" s="405">
        <f t="shared" ref="E18:I18" si="3">($C$14*E14)+($C$15*E15)</f>
        <v>6.7319207566901044E-3</v>
      </c>
      <c r="F18" s="398">
        <f t="shared" si="3"/>
        <v>1.2486059009949787E-2</v>
      </c>
      <c r="G18" s="398">
        <f t="shared" si="3"/>
        <v>1.9637066896158534E-2</v>
      </c>
      <c r="H18" s="398">
        <f t="shared" si="3"/>
        <v>2.8479427003746127E-2</v>
      </c>
      <c r="I18" s="406">
        <f t="shared" si="3"/>
        <v>3.8468796353763192E-2</v>
      </c>
      <c r="J18" s="32"/>
    </row>
    <row r="19" spans="1:10" ht="18" customHeight="1" x14ac:dyDescent="0.2">
      <c r="A19" s="32"/>
      <c r="B19" s="318"/>
      <c r="C19" s="318"/>
      <c r="D19" s="319"/>
      <c r="E19" s="319"/>
      <c r="F19" s="319"/>
      <c r="G19" s="319"/>
      <c r="H19" s="319"/>
      <c r="I19" s="319"/>
      <c r="J19" s="32"/>
    </row>
    <row r="20" spans="1:10" ht="21.75" customHeight="1" x14ac:dyDescent="0.25">
      <c r="A20" s="32"/>
      <c r="B20" s="354" t="s">
        <v>308</v>
      </c>
      <c r="C20" s="364"/>
      <c r="D20" s="364"/>
      <c r="E20" s="364"/>
      <c r="F20" s="364"/>
      <c r="G20" s="364"/>
      <c r="H20" s="364"/>
      <c r="I20" s="364"/>
      <c r="J20" s="32"/>
    </row>
    <row r="21" spans="1:10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18" customHeight="1" x14ac:dyDescent="0.2">
      <c r="A22" s="32"/>
      <c r="B22" s="399" t="s">
        <v>309</v>
      </c>
      <c r="C22" s="400"/>
      <c r="D22" s="175">
        <v>2017</v>
      </c>
      <c r="E22" s="175">
        <v>2018</v>
      </c>
      <c r="F22" s="174">
        <v>2019</v>
      </c>
      <c r="G22" s="174">
        <v>2020</v>
      </c>
      <c r="H22" s="174">
        <v>2021</v>
      </c>
      <c r="I22" s="176">
        <v>2022</v>
      </c>
      <c r="J22" s="32"/>
    </row>
    <row r="23" spans="1:10" ht="18" customHeight="1" x14ac:dyDescent="0.2">
      <c r="A23" s="32"/>
      <c r="B23" s="177" t="s">
        <v>309</v>
      </c>
      <c r="C23" s="403"/>
      <c r="D23" s="243"/>
      <c r="E23" s="243">
        <v>2.3900000000000001E-2</v>
      </c>
      <c r="F23" s="242">
        <f t="shared" ref="F23:I23" si="4">E23</f>
        <v>2.3900000000000001E-2</v>
      </c>
      <c r="G23" s="242">
        <f t="shared" si="4"/>
        <v>2.3900000000000001E-2</v>
      </c>
      <c r="H23" s="242">
        <f t="shared" si="4"/>
        <v>2.3900000000000001E-2</v>
      </c>
      <c r="I23" s="244">
        <f t="shared" si="4"/>
        <v>2.3900000000000001E-2</v>
      </c>
      <c r="J23" s="32"/>
    </row>
    <row r="24" spans="1:10" ht="18" customHeight="1" x14ac:dyDescent="0.2">
      <c r="A24" s="32"/>
      <c r="B24" s="402" t="s">
        <v>378</v>
      </c>
      <c r="C24" s="401"/>
      <c r="D24" s="240"/>
      <c r="E24" s="240">
        <f>0.15*E23</f>
        <v>3.5850000000000001E-3</v>
      </c>
      <c r="F24" s="239">
        <f t="shared" ref="F24:I24" si="5">0.15*F23</f>
        <v>3.5850000000000001E-3</v>
      </c>
      <c r="G24" s="239">
        <f t="shared" si="5"/>
        <v>3.5850000000000001E-3</v>
      </c>
      <c r="H24" s="239">
        <f t="shared" si="5"/>
        <v>3.5850000000000001E-3</v>
      </c>
      <c r="I24" s="241">
        <f t="shared" si="5"/>
        <v>3.5850000000000001E-3</v>
      </c>
      <c r="J24" s="32"/>
    </row>
    <row r="25" spans="1:10" ht="18" customHeight="1" x14ac:dyDescent="0.2">
      <c r="A25" s="32"/>
      <c r="B25" s="168" t="s">
        <v>379</v>
      </c>
      <c r="C25" s="404"/>
      <c r="D25" s="405"/>
      <c r="E25" s="405">
        <f>D25*(1+E24)</f>
        <v>0</v>
      </c>
      <c r="F25" s="398">
        <f>F24</f>
        <v>3.5850000000000001E-3</v>
      </c>
      <c r="G25" s="398">
        <f>F25*(1+G24)</f>
        <v>3.5978522249999999E-3</v>
      </c>
      <c r="H25" s="398">
        <f t="shared" ref="H25:I25" si="6">G25*(1+H24)</f>
        <v>3.6107505252266246E-3</v>
      </c>
      <c r="I25" s="406">
        <f t="shared" si="6"/>
        <v>3.6236950658595619E-3</v>
      </c>
      <c r="J25" s="32"/>
    </row>
    <row r="26" spans="1:10" x14ac:dyDescent="0.2">
      <c r="A26" s="32"/>
      <c r="B26" s="32"/>
      <c r="C26" s="32"/>
      <c r="D26" s="32"/>
      <c r="E26" s="318"/>
      <c r="F26" s="32"/>
      <c r="G26" s="32"/>
      <c r="H26" s="32"/>
      <c r="I26" s="32"/>
      <c r="J26" s="32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zoomScale="80" zoomScaleNormal="80" workbookViewId="0">
      <selection activeCell="D24" sqref="D24"/>
    </sheetView>
  </sheetViews>
  <sheetFormatPr defaultRowHeight="14.25" x14ac:dyDescent="0.2"/>
  <cols>
    <col min="1" max="1" width="2.28515625" style="115" customWidth="1"/>
    <col min="2" max="2" width="75.42578125" style="115" customWidth="1"/>
    <col min="3" max="3" width="12.28515625" style="115" customWidth="1"/>
    <col min="4" max="5" width="11.5703125" style="115" bestFit="1" customWidth="1"/>
    <col min="6" max="6" width="12" style="115" bestFit="1" customWidth="1"/>
    <col min="7" max="7" width="12" style="115" customWidth="1"/>
    <col min="8" max="8" width="9.5703125" style="115" bestFit="1" customWidth="1"/>
    <col min="9" max="10" width="9.140625" style="115" customWidth="1"/>
    <col min="11" max="12" width="9.140625" style="115"/>
    <col min="13" max="13" width="3" style="115" customWidth="1"/>
    <col min="14" max="14" width="75.42578125" style="115" customWidth="1"/>
    <col min="15" max="15" width="8.42578125" style="115" bestFit="1" customWidth="1"/>
    <col min="16" max="17" width="9.140625" style="115"/>
    <col min="18" max="18" width="12" style="115" bestFit="1" customWidth="1"/>
    <col min="19" max="19" width="10.5703125" style="115" bestFit="1" customWidth="1"/>
    <col min="20" max="24" width="9.140625" style="115"/>
    <col min="25" max="25" width="3.42578125" style="115" customWidth="1"/>
    <col min="26" max="16384" width="9.140625" style="115"/>
  </cols>
  <sheetData>
    <row r="1" spans="1:2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ht="29.25" customHeight="1" x14ac:dyDescent="0.25">
      <c r="A2" s="32"/>
      <c r="B2" s="340" t="s">
        <v>61</v>
      </c>
      <c r="C2" s="353"/>
      <c r="D2" s="353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2"/>
    </row>
    <row r="3" spans="1:25" x14ac:dyDescent="0.2">
      <c r="A3" s="32"/>
      <c r="B3" s="46" t="s">
        <v>17</v>
      </c>
      <c r="C3" s="66"/>
      <c r="D3" s="66"/>
      <c r="E3" s="66"/>
      <c r="F3" s="66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x14ac:dyDescent="0.2">
      <c r="A4" s="32"/>
      <c r="B4" s="68"/>
      <c r="C4" s="12"/>
      <c r="D4" s="12"/>
      <c r="E4" s="12"/>
      <c r="F4" s="12"/>
      <c r="G4" s="32"/>
      <c r="H4" s="32"/>
      <c r="I4" s="32"/>
      <c r="J4" s="32"/>
      <c r="K4" s="32"/>
      <c r="L4" s="32"/>
      <c r="M4" s="32"/>
      <c r="N4" s="32"/>
      <c r="O4" s="12" t="s">
        <v>377</v>
      </c>
      <c r="P4" s="32"/>
      <c r="Q4" s="32"/>
      <c r="R4" s="32"/>
      <c r="S4" s="594">
        <v>1.0194235746924845</v>
      </c>
      <c r="T4" s="32"/>
      <c r="U4" s="32"/>
      <c r="V4" s="32"/>
      <c r="W4" s="32"/>
      <c r="X4" s="32"/>
      <c r="Y4" s="32"/>
    </row>
    <row r="5" spans="1:25" ht="26.25" customHeight="1" x14ac:dyDescent="0.2">
      <c r="A5" s="32"/>
      <c r="B5" s="340" t="s">
        <v>260</v>
      </c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32"/>
      <c r="N5" s="340" t="s">
        <v>261</v>
      </c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32"/>
    </row>
    <row r="6" spans="1:25" x14ac:dyDescent="0.2">
      <c r="A6" s="32"/>
      <c r="B6" s="68"/>
      <c r="C6" s="12"/>
      <c r="D6" s="12"/>
      <c r="E6" s="12"/>
      <c r="F6" s="1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ht="24.75" customHeight="1" x14ac:dyDescent="0.2">
      <c r="A7" s="32"/>
      <c r="B7" s="354" t="s">
        <v>62</v>
      </c>
      <c r="C7" s="354"/>
      <c r="D7" s="354"/>
      <c r="E7" s="355"/>
      <c r="F7" s="355"/>
      <c r="G7" s="355"/>
      <c r="H7" s="355"/>
      <c r="I7" s="355"/>
      <c r="J7" s="355"/>
      <c r="K7" s="355"/>
      <c r="L7" s="355"/>
      <c r="M7" s="32"/>
      <c r="N7" s="354" t="s">
        <v>62</v>
      </c>
      <c r="O7" s="354"/>
      <c r="P7" s="354"/>
      <c r="Q7" s="355"/>
      <c r="R7" s="355"/>
      <c r="S7" s="355"/>
      <c r="T7" s="355"/>
      <c r="U7" s="355"/>
      <c r="V7" s="355"/>
      <c r="W7" s="355"/>
      <c r="X7" s="355"/>
      <c r="Y7" s="32"/>
    </row>
    <row r="8" spans="1:25" ht="18" customHeight="1" x14ac:dyDescent="0.2">
      <c r="A8" s="32"/>
      <c r="B8" s="187"/>
      <c r="C8" s="187"/>
      <c r="D8" s="187"/>
      <c r="E8" s="188"/>
      <c r="F8" s="188"/>
      <c r="G8" s="188"/>
      <c r="H8" s="188"/>
      <c r="I8" s="188"/>
      <c r="J8" s="188"/>
      <c r="K8" s="188"/>
      <c r="L8" s="188"/>
      <c r="M8" s="32"/>
      <c r="N8" s="187"/>
      <c r="O8" s="187"/>
      <c r="P8" s="187"/>
      <c r="Q8" s="188"/>
      <c r="R8" s="188"/>
      <c r="S8" s="188"/>
      <c r="T8" s="188"/>
      <c r="U8" s="188"/>
      <c r="V8" s="188"/>
      <c r="W8" s="188"/>
      <c r="X8" s="188"/>
      <c r="Y8" s="32"/>
    </row>
    <row r="9" spans="1:25" ht="18" customHeight="1" x14ac:dyDescent="0.2">
      <c r="A9" s="32"/>
      <c r="B9" s="293" t="s">
        <v>83</v>
      </c>
      <c r="C9" s="124">
        <v>2013</v>
      </c>
      <c r="D9" s="124">
        <v>2014</v>
      </c>
      <c r="E9" s="124">
        <v>2015</v>
      </c>
      <c r="F9" s="445" t="s">
        <v>100</v>
      </c>
      <c r="G9" s="446"/>
      <c r="H9" s="446"/>
      <c r="I9" s="188"/>
      <c r="J9" s="188"/>
      <c r="K9" s="188"/>
      <c r="L9" s="188"/>
      <c r="M9" s="32"/>
      <c r="N9" s="293" t="s">
        <v>83</v>
      </c>
      <c r="O9" s="124">
        <v>2013</v>
      </c>
      <c r="P9" s="124">
        <v>2014</v>
      </c>
      <c r="Q9" s="124">
        <v>2015</v>
      </c>
      <c r="R9" s="447" t="s">
        <v>100</v>
      </c>
      <c r="S9" s="446"/>
      <c r="T9" s="446"/>
      <c r="U9" s="188"/>
      <c r="V9" s="188"/>
      <c r="W9" s="188"/>
      <c r="X9" s="188"/>
      <c r="Y9" s="32"/>
    </row>
    <row r="10" spans="1:25" ht="18" customHeight="1" x14ac:dyDescent="0.2">
      <c r="A10" s="32"/>
      <c r="B10" s="536" t="s">
        <v>398</v>
      </c>
      <c r="C10" s="428">
        <v>10.512148919052718</v>
      </c>
      <c r="D10" s="428">
        <v>11.21373011214839</v>
      </c>
      <c r="E10" s="428">
        <v>11.145232128004716</v>
      </c>
      <c r="F10" s="581" t="s">
        <v>319</v>
      </c>
      <c r="G10" s="582"/>
      <c r="H10" s="582"/>
      <c r="I10" s="201"/>
      <c r="J10" s="201"/>
      <c r="K10" s="201"/>
      <c r="L10" s="201"/>
      <c r="M10" s="32"/>
      <c r="N10" s="536" t="s">
        <v>398</v>
      </c>
      <c r="O10" s="428">
        <v>0.11185890096972269</v>
      </c>
      <c r="P10" s="428">
        <v>9.7361946702428356E-2</v>
      </c>
      <c r="Q10" s="428">
        <v>9.3865602574229948E-2</v>
      </c>
      <c r="R10" s="581" t="s">
        <v>319</v>
      </c>
      <c r="S10" s="582"/>
      <c r="T10" s="582"/>
      <c r="U10" s="188"/>
      <c r="V10" s="188"/>
      <c r="W10" s="188"/>
      <c r="X10" s="188"/>
      <c r="Y10" s="32"/>
    </row>
    <row r="11" spans="1:25" s="202" customFormat="1" ht="18" customHeight="1" thickBot="1" x14ac:dyDescent="0.3">
      <c r="A11" s="35"/>
      <c r="B11" s="429" t="s">
        <v>317</v>
      </c>
      <c r="C11" s="327">
        <f>C10*(1+CPI!F10)</f>
        <v>11.152378028071645</v>
      </c>
      <c r="D11" s="327">
        <f>D10*(1+CPI!F9)</f>
        <v>11.645027424154099</v>
      </c>
      <c r="E11" s="327">
        <f>E10*(1+CPI!F8)</f>
        <v>11.312829603613809</v>
      </c>
      <c r="F11" s="443"/>
      <c r="G11" s="188"/>
      <c r="H11" s="187"/>
      <c r="I11" s="72"/>
      <c r="J11" s="72"/>
      <c r="K11" s="72"/>
      <c r="L11" s="72"/>
      <c r="M11" s="32"/>
      <c r="N11" s="429" t="s">
        <v>317</v>
      </c>
      <c r="O11" s="587">
        <f>O10*(1+CPI!F10)</f>
        <v>0.11867152558673918</v>
      </c>
      <c r="P11" s="587">
        <f>P10*(1+CPI!F9)</f>
        <v>0.10110663696021407</v>
      </c>
      <c r="Q11" s="588">
        <f>Q10*(1+CPI!F8)</f>
        <v>9.5277115394895043E-2</v>
      </c>
      <c r="R11" s="443"/>
      <c r="S11" s="188"/>
      <c r="T11" s="188"/>
      <c r="U11" s="188"/>
      <c r="V11" s="188"/>
      <c r="W11" s="188"/>
      <c r="X11" s="188"/>
      <c r="Y11" s="32"/>
    </row>
    <row r="12" spans="1:25" ht="18" customHeight="1" x14ac:dyDescent="0.2">
      <c r="A12" s="32"/>
      <c r="B12" s="273"/>
      <c r="C12" s="426"/>
      <c r="D12" s="426"/>
      <c r="E12" s="426"/>
      <c r="F12" s="85"/>
      <c r="G12" s="427"/>
      <c r="H12" s="188"/>
      <c r="I12" s="188"/>
      <c r="J12" s="188"/>
      <c r="K12" s="188"/>
      <c r="L12" s="188"/>
      <c r="M12" s="32"/>
      <c r="N12" s="290"/>
      <c r="O12" s="291"/>
      <c r="P12" s="291"/>
      <c r="Q12" s="291"/>
      <c r="R12" s="290"/>
      <c r="S12" s="292"/>
      <c r="T12" s="188"/>
      <c r="U12" s="188"/>
      <c r="V12" s="188"/>
      <c r="W12" s="188"/>
      <c r="X12" s="188"/>
      <c r="Y12" s="32"/>
    </row>
    <row r="13" spans="1:25" ht="18" customHeight="1" x14ac:dyDescent="0.2">
      <c r="A13" s="32"/>
      <c r="B13" s="116" t="s">
        <v>223</v>
      </c>
      <c r="C13" s="185">
        <v>2013</v>
      </c>
      <c r="D13" s="186">
        <v>2014</v>
      </c>
      <c r="E13" s="186">
        <v>2015</v>
      </c>
      <c r="F13" s="189" t="s">
        <v>66</v>
      </c>
      <c r="G13" s="189" t="s">
        <v>191</v>
      </c>
      <c r="H13" s="188"/>
      <c r="I13" s="188"/>
      <c r="J13" s="188"/>
      <c r="K13" s="188"/>
      <c r="L13" s="188"/>
      <c r="M13" s="32"/>
      <c r="N13" s="116" t="s">
        <v>223</v>
      </c>
      <c r="O13" s="185">
        <v>2013</v>
      </c>
      <c r="P13" s="186">
        <v>2014</v>
      </c>
      <c r="Q13" s="186">
        <v>2015</v>
      </c>
      <c r="R13" s="189" t="s">
        <v>66</v>
      </c>
      <c r="S13" s="189" t="s">
        <v>191</v>
      </c>
      <c r="T13" s="188"/>
      <c r="U13" s="188"/>
      <c r="V13" s="188"/>
      <c r="W13" s="188"/>
      <c r="X13" s="188"/>
      <c r="Y13" s="32"/>
    </row>
    <row r="14" spans="1:25" ht="18" customHeight="1" x14ac:dyDescent="0.2">
      <c r="A14" s="32"/>
      <c r="B14" s="70" t="s">
        <v>84</v>
      </c>
      <c r="C14" s="222">
        <v>5.9008843907012656</v>
      </c>
      <c r="D14" s="223">
        <v>5.5032258056738232</v>
      </c>
      <c r="E14" s="224">
        <v>5.1635873099683076</v>
      </c>
      <c r="F14" s="205">
        <f>AVERAGE(C14:E14)</f>
        <v>5.5225658354477991</v>
      </c>
      <c r="G14" s="430">
        <f>F14/F$20</f>
        <v>0.48571044670966185</v>
      </c>
      <c r="H14" s="188"/>
      <c r="I14" s="188"/>
      <c r="J14" s="188"/>
      <c r="K14" s="188"/>
      <c r="L14" s="188"/>
      <c r="M14" s="32"/>
      <c r="N14" s="70" t="s">
        <v>84</v>
      </c>
      <c r="O14" s="222">
        <v>6.2790819248850202E-2</v>
      </c>
      <c r="P14" s="223">
        <v>4.7781137250929487E-2</v>
      </c>
      <c r="Q14" s="224">
        <v>4.3487944327059345E-2</v>
      </c>
      <c r="R14" s="205">
        <f>AVERAGE(O14:Q14)</f>
        <v>5.1353300275613016E-2</v>
      </c>
      <c r="S14" s="430">
        <f>R14/R$20</f>
        <v>0.48899323900637787</v>
      </c>
      <c r="T14" s="188"/>
      <c r="U14" s="188"/>
      <c r="V14" s="188"/>
      <c r="W14" s="188"/>
      <c r="X14" s="188"/>
      <c r="Y14" s="32"/>
    </row>
    <row r="15" spans="1:25" ht="18" customHeight="1" x14ac:dyDescent="0.2">
      <c r="A15" s="32"/>
      <c r="B15" s="70" t="s">
        <v>85</v>
      </c>
      <c r="C15" s="225">
        <v>2.3633987635829765</v>
      </c>
      <c r="D15" s="205">
        <v>2.796359719148767</v>
      </c>
      <c r="E15" s="226">
        <v>2.8768623128873161</v>
      </c>
      <c r="F15" s="205">
        <f t="shared" ref="F15:F19" si="0">AVERAGE(C15:E15)</f>
        <v>2.6788735985396865</v>
      </c>
      <c r="G15" s="430">
        <f t="shared" ref="G15:G19" si="1">F15/F$20</f>
        <v>0.23560731207107932</v>
      </c>
      <c r="H15" s="188"/>
      <c r="I15" s="188"/>
      <c r="J15" s="188"/>
      <c r="K15" s="188"/>
      <c r="L15" s="188"/>
      <c r="M15" s="32"/>
      <c r="N15" s="70" t="s">
        <v>85</v>
      </c>
      <c r="O15" s="225">
        <v>2.514872936859195E-2</v>
      </c>
      <c r="P15" s="205">
        <v>2.4279077810302217E-2</v>
      </c>
      <c r="Q15" s="226">
        <v>2.4229052515086967E-2</v>
      </c>
      <c r="R15" s="205">
        <f t="shared" ref="R15:R19" si="2">AVERAGE(O15:Q15)</f>
        <v>2.4552286564660381E-2</v>
      </c>
      <c r="S15" s="430">
        <f t="shared" ref="S15:S19" si="3">R15/R$20</f>
        <v>0.23379027380578093</v>
      </c>
      <c r="T15" s="188"/>
      <c r="U15" s="188"/>
      <c r="V15" s="188"/>
      <c r="W15" s="188"/>
      <c r="X15" s="188"/>
      <c r="Y15" s="32"/>
    </row>
    <row r="16" spans="1:25" ht="18" customHeight="1" x14ac:dyDescent="0.2">
      <c r="A16" s="32"/>
      <c r="B16" s="70" t="s">
        <v>86</v>
      </c>
      <c r="C16" s="225">
        <v>0.40423441106332447</v>
      </c>
      <c r="D16" s="205">
        <v>0.49114116641956074</v>
      </c>
      <c r="E16" s="226">
        <v>0.47425864592053113</v>
      </c>
      <c r="F16" s="205">
        <f t="shared" si="0"/>
        <v>0.45654474113447208</v>
      </c>
      <c r="G16" s="430">
        <f t="shared" si="1"/>
        <v>4.0153174587078656E-2</v>
      </c>
      <c r="H16" s="188"/>
      <c r="I16" s="188"/>
      <c r="J16" s="188"/>
      <c r="K16" s="188"/>
      <c r="L16" s="188"/>
      <c r="M16" s="32"/>
      <c r="N16" s="70" t="s">
        <v>86</v>
      </c>
      <c r="O16" s="225">
        <v>4.3014246947865008E-3</v>
      </c>
      <c r="P16" s="205">
        <v>4.2642777728800216E-3</v>
      </c>
      <c r="Q16" s="226">
        <v>3.9942257876811604E-3</v>
      </c>
      <c r="R16" s="205">
        <f t="shared" si="2"/>
        <v>4.1866427517825607E-3</v>
      </c>
      <c r="S16" s="430">
        <f t="shared" si="3"/>
        <v>3.9865792242547174E-2</v>
      </c>
      <c r="T16" s="188"/>
      <c r="U16" s="188"/>
      <c r="V16" s="188"/>
      <c r="W16" s="188"/>
      <c r="X16" s="188"/>
      <c r="Y16" s="32"/>
    </row>
    <row r="17" spans="1:25" ht="18" customHeight="1" x14ac:dyDescent="0.2">
      <c r="A17" s="32"/>
      <c r="B17" s="70" t="s">
        <v>87</v>
      </c>
      <c r="C17" s="225">
        <v>0.70912045655289113</v>
      </c>
      <c r="D17" s="205">
        <v>0.79192587217302235</v>
      </c>
      <c r="E17" s="226">
        <v>0.77999170176751098</v>
      </c>
      <c r="F17" s="205">
        <f t="shared" si="0"/>
        <v>0.76034601016447478</v>
      </c>
      <c r="G17" s="430">
        <f t="shared" si="1"/>
        <v>6.6872539188290309E-2</v>
      </c>
      <c r="H17" s="188"/>
      <c r="I17" s="188"/>
      <c r="J17" s="188"/>
      <c r="K17" s="188"/>
      <c r="L17" s="188"/>
      <c r="M17" s="32"/>
      <c r="N17" s="70" t="s">
        <v>87</v>
      </c>
      <c r="O17" s="225">
        <v>7.5456917073718826E-3</v>
      </c>
      <c r="P17" s="205">
        <v>6.8758070497214746E-3</v>
      </c>
      <c r="Q17" s="226">
        <v>6.5691221365717515E-3</v>
      </c>
      <c r="R17" s="205">
        <f t="shared" si="2"/>
        <v>6.9968736312217032E-3</v>
      </c>
      <c r="S17" s="430">
        <f t="shared" si="3"/>
        <v>6.6625199967414853E-2</v>
      </c>
      <c r="T17" s="188"/>
      <c r="U17" s="188"/>
      <c r="V17" s="188"/>
      <c r="W17" s="188"/>
      <c r="X17" s="188"/>
      <c r="Y17" s="32"/>
    </row>
    <row r="18" spans="1:25" ht="18" customHeight="1" x14ac:dyDescent="0.2">
      <c r="A18" s="32"/>
      <c r="B18" s="70" t="s">
        <v>88</v>
      </c>
      <c r="C18" s="225">
        <v>0.55232525959190504</v>
      </c>
      <c r="D18" s="205">
        <v>0.55103793942118939</v>
      </c>
      <c r="E18" s="226">
        <v>0.5330418498220918</v>
      </c>
      <c r="F18" s="205">
        <f t="shared" si="0"/>
        <v>0.54546834961172863</v>
      </c>
      <c r="G18" s="430">
        <f t="shared" si="1"/>
        <v>4.7974018535971337E-2</v>
      </c>
      <c r="H18" s="188"/>
      <c r="I18" s="188"/>
      <c r="J18" s="188"/>
      <c r="K18" s="188"/>
      <c r="L18" s="188"/>
      <c r="M18" s="32"/>
      <c r="N18" s="70" t="s">
        <v>88</v>
      </c>
      <c r="O18" s="225">
        <v>5.8772470777872787E-3</v>
      </c>
      <c r="P18" s="205">
        <v>4.784324747643065E-3</v>
      </c>
      <c r="Q18" s="226">
        <v>4.4893003444146529E-3</v>
      </c>
      <c r="R18" s="205">
        <f t="shared" si="2"/>
        <v>5.0502907232816653E-3</v>
      </c>
      <c r="S18" s="430">
        <f t="shared" si="3"/>
        <v>4.8089567865108054E-2</v>
      </c>
      <c r="T18" s="188"/>
      <c r="U18" s="188"/>
      <c r="V18" s="188"/>
      <c r="W18" s="188"/>
      <c r="X18" s="188"/>
      <c r="Y18" s="32"/>
    </row>
    <row r="19" spans="1:25" ht="18" customHeight="1" x14ac:dyDescent="0.2">
      <c r="A19" s="32"/>
      <c r="B19" s="70" t="s">
        <v>63</v>
      </c>
      <c r="C19" s="227">
        <v>1.2224147465792823</v>
      </c>
      <c r="D19" s="228">
        <v>1.5113369213177368</v>
      </c>
      <c r="E19" s="229">
        <v>1.4850877832480498</v>
      </c>
      <c r="F19" s="205">
        <f t="shared" si="0"/>
        <v>1.4062798170483564</v>
      </c>
      <c r="G19" s="431">
        <f t="shared" si="1"/>
        <v>0.12368250890791849</v>
      </c>
      <c r="H19" s="188"/>
      <c r="I19" s="188"/>
      <c r="J19" s="188"/>
      <c r="K19" s="188"/>
      <c r="L19" s="188"/>
      <c r="M19" s="32"/>
      <c r="N19" s="70" t="s">
        <v>63</v>
      </c>
      <c r="O19" s="227">
        <v>1.3007613489351373E-2</v>
      </c>
      <c r="P19" s="228">
        <v>1.3122012328737815E-2</v>
      </c>
      <c r="Q19" s="229">
        <v>1.2507470284081158E-2</v>
      </c>
      <c r="R19" s="205">
        <f t="shared" si="2"/>
        <v>1.2879032034056784E-2</v>
      </c>
      <c r="S19" s="431">
        <f t="shared" si="3"/>
        <v>0.12263592711277109</v>
      </c>
      <c r="T19" s="188"/>
      <c r="U19" s="188"/>
      <c r="V19" s="188"/>
      <c r="W19" s="188"/>
      <c r="X19" s="188"/>
      <c r="Y19" s="32"/>
    </row>
    <row r="20" spans="1:25" ht="18" customHeight="1" x14ac:dyDescent="0.2">
      <c r="A20" s="32"/>
      <c r="B20" s="119" t="s">
        <v>194</v>
      </c>
      <c r="C20" s="230">
        <f>SUM(C14:C19)</f>
        <v>11.152378028071647</v>
      </c>
      <c r="D20" s="231">
        <f t="shared" ref="D20:E20" si="4">SUM(D14:D19)</f>
        <v>11.645027424154099</v>
      </c>
      <c r="E20" s="232">
        <f t="shared" si="4"/>
        <v>11.312829603613807</v>
      </c>
      <c r="F20" s="439">
        <f>AVERAGE(C20:E20)</f>
        <v>11.370078351946518</v>
      </c>
      <c r="G20" s="432">
        <f>SUM(G14:G19)</f>
        <v>1</v>
      </c>
      <c r="H20" s="188"/>
      <c r="I20" s="188"/>
      <c r="J20" s="188"/>
      <c r="K20" s="188"/>
      <c r="L20" s="188"/>
      <c r="M20" s="32"/>
      <c r="N20" s="119" t="s">
        <v>194</v>
      </c>
      <c r="O20" s="230">
        <f>SUM(O14:O19)</f>
        <v>0.11867152558673918</v>
      </c>
      <c r="P20" s="231">
        <f t="shared" ref="P20:Q20" si="5">SUM(P14:P19)</f>
        <v>0.10110663696021407</v>
      </c>
      <c r="Q20" s="232">
        <f t="shared" si="5"/>
        <v>9.5277115394895029E-2</v>
      </c>
      <c r="R20" s="448">
        <f>SUM(R14:R19)</f>
        <v>0.10501842598061611</v>
      </c>
      <c r="S20" s="432">
        <f>SUM(S14:S19)</f>
        <v>1</v>
      </c>
      <c r="T20" s="188"/>
      <c r="U20" s="188"/>
      <c r="V20" s="188"/>
      <c r="W20" s="188"/>
      <c r="X20" s="188"/>
      <c r="Y20" s="32"/>
    </row>
    <row r="21" spans="1:25" s="438" customFormat="1" ht="18" customHeight="1" x14ac:dyDescent="0.2">
      <c r="A21" s="436"/>
      <c r="B21" s="436" t="s">
        <v>11</v>
      </c>
      <c r="C21" s="437">
        <f>C20-C11</f>
        <v>0</v>
      </c>
      <c r="D21" s="437">
        <f>D20-D11</f>
        <v>0</v>
      </c>
      <c r="E21" s="437">
        <f>E20-E11</f>
        <v>0</v>
      </c>
      <c r="F21" s="436"/>
      <c r="G21" s="436"/>
      <c r="H21" s="435"/>
      <c r="I21" s="435"/>
      <c r="J21" s="435"/>
      <c r="K21" s="435"/>
      <c r="L21" s="435"/>
      <c r="M21" s="436"/>
      <c r="N21" s="433" t="s">
        <v>11</v>
      </c>
      <c r="O21" s="434">
        <f>O20-O11</f>
        <v>0</v>
      </c>
      <c r="P21" s="434">
        <f>P20-P11</f>
        <v>0</v>
      </c>
      <c r="Q21" s="434">
        <f>Q20-Q11</f>
        <v>0</v>
      </c>
      <c r="R21" s="433"/>
      <c r="S21" s="433"/>
      <c r="T21" s="435"/>
      <c r="U21" s="435"/>
      <c r="V21" s="435"/>
      <c r="W21" s="435"/>
      <c r="X21" s="435"/>
      <c r="Y21" s="433"/>
    </row>
    <row r="22" spans="1:25" ht="18" customHeight="1" x14ac:dyDescent="0.2">
      <c r="A22" s="32"/>
      <c r="B22" s="32"/>
      <c r="C22" s="32"/>
      <c r="D22" s="32"/>
      <c r="E22" s="32"/>
      <c r="F22" s="32"/>
      <c r="G22" s="447" t="s">
        <v>100</v>
      </c>
      <c r="H22" s="188"/>
      <c r="I22" s="188"/>
      <c r="J22" s="188"/>
      <c r="K22" s="188"/>
      <c r="L22" s="188"/>
      <c r="M22" s="32"/>
      <c r="N22" s="32"/>
      <c r="O22" s="32"/>
      <c r="P22" s="32"/>
      <c r="Q22" s="32"/>
      <c r="R22" s="32"/>
      <c r="S22" s="447" t="s">
        <v>100</v>
      </c>
      <c r="T22" s="188"/>
      <c r="U22" s="188"/>
      <c r="V22" s="188"/>
      <c r="W22" s="188"/>
      <c r="X22" s="188"/>
      <c r="Y22" s="32"/>
    </row>
    <row r="23" spans="1:25" ht="18" customHeight="1" x14ac:dyDescent="0.2">
      <c r="A23" s="32"/>
      <c r="B23" s="119" t="s">
        <v>397</v>
      </c>
      <c r="C23" s="233">
        <f>(104057.648169053/1000)*(1+CPI!F10)</f>
        <v>110.3951473699187</v>
      </c>
      <c r="D23" s="234">
        <f>(113516.581222148/1000)*(1+CPI!F9)</f>
        <v>117.88260357684601</v>
      </c>
      <c r="E23" s="235">
        <f>(127243.632258005/1000)*(1+CPI!F8)</f>
        <v>129.15707033707272</v>
      </c>
      <c r="F23" s="296">
        <f>AVERAGE(C23:E23)</f>
        <v>119.14494042794581</v>
      </c>
      <c r="G23" s="583" t="s">
        <v>319</v>
      </c>
      <c r="H23" s="188"/>
      <c r="I23" s="188"/>
      <c r="J23" s="188"/>
      <c r="K23" s="188"/>
      <c r="L23" s="188"/>
      <c r="M23" s="32"/>
      <c r="N23" s="119" t="s">
        <v>320</v>
      </c>
      <c r="O23" s="233">
        <f>(1201.17552096972/1000)*(1+CPI!F10)</f>
        <v>1.274331593956088</v>
      </c>
      <c r="P23" s="234">
        <f>(1093.35088670243/1000)*(1+CPI!F9)</f>
        <v>1.1354028438832928</v>
      </c>
      <c r="Q23" s="235">
        <f>(1239.89708257423/1000)*(1+CPI!F8)</f>
        <v>1.2585421514851205</v>
      </c>
      <c r="R23" s="296">
        <f>AVERAGE(O23:Q23)</f>
        <v>1.2227588631081672</v>
      </c>
      <c r="S23" s="583" t="s">
        <v>319</v>
      </c>
      <c r="T23" s="188"/>
      <c r="U23" s="188"/>
      <c r="V23" s="188"/>
      <c r="W23" s="188"/>
      <c r="X23" s="188"/>
      <c r="Y23" s="32"/>
    </row>
    <row r="24" spans="1:25" ht="18" customHeight="1" x14ac:dyDescent="0.2">
      <c r="A24" s="32"/>
      <c r="B24" s="119" t="s">
        <v>69</v>
      </c>
      <c r="C24" s="233">
        <f>C23-C20</f>
        <v>99.242769341847051</v>
      </c>
      <c r="D24" s="234">
        <f>D23-D20</f>
        <v>106.23757615269191</v>
      </c>
      <c r="E24" s="235">
        <f>E23-E20</f>
        <v>117.84424073345892</v>
      </c>
      <c r="F24" s="584">
        <f>AVERAGE(C24:E24)</f>
        <v>107.77486207599929</v>
      </c>
      <c r="G24" s="200"/>
      <c r="H24" s="188"/>
      <c r="I24" s="188"/>
      <c r="J24" s="188"/>
      <c r="K24" s="188"/>
      <c r="L24" s="188"/>
      <c r="M24" s="32"/>
      <c r="N24" s="119" t="s">
        <v>69</v>
      </c>
      <c r="O24" s="233">
        <f>O23-O20</f>
        <v>1.1556600683693488</v>
      </c>
      <c r="P24" s="234">
        <f t="shared" ref="P24:Q24" si="6">P23-P20</f>
        <v>1.0342962069230788</v>
      </c>
      <c r="Q24" s="235">
        <f t="shared" si="6"/>
        <v>1.1632650360902255</v>
      </c>
      <c r="R24" s="297">
        <f>AVERAGE(O24:Q24)</f>
        <v>1.117740437127551</v>
      </c>
      <c r="S24" s="449"/>
      <c r="T24" s="188"/>
      <c r="U24" s="188"/>
      <c r="V24" s="188"/>
      <c r="W24" s="188"/>
      <c r="X24" s="188"/>
      <c r="Y24" s="32"/>
    </row>
    <row r="25" spans="1:25" ht="18" customHeight="1" x14ac:dyDescent="0.2">
      <c r="A25" s="32"/>
      <c r="B25" s="119" t="s">
        <v>65</v>
      </c>
      <c r="C25" s="192">
        <f>C20/C24</f>
        <v>0.11237471608290858</v>
      </c>
      <c r="D25" s="121">
        <f>D20/D24</f>
        <v>0.10961307520247891</v>
      </c>
      <c r="E25" s="193">
        <f>E20/E24</f>
        <v>9.5998154285717355E-2</v>
      </c>
      <c r="F25" s="585">
        <f>AVERAGE(C25:E25)</f>
        <v>0.10599531519036827</v>
      </c>
      <c r="G25" s="200"/>
      <c r="H25" s="32"/>
      <c r="I25" s="118"/>
      <c r="J25" s="118"/>
      <c r="K25" s="118"/>
      <c r="L25" s="118"/>
      <c r="M25" s="32"/>
      <c r="N25" s="119" t="s">
        <v>65</v>
      </c>
      <c r="O25" s="192">
        <f>O20/O24</f>
        <v>0.10268722510606967</v>
      </c>
      <c r="P25" s="121">
        <f>P20/P24</f>
        <v>9.7754044038308494E-2</v>
      </c>
      <c r="Q25" s="193">
        <f>Q20/Q24</f>
        <v>8.1904907685633493E-2</v>
      </c>
      <c r="R25" s="122">
        <f>AVERAGE(O25:Q25)</f>
        <v>9.411539227667054E-2</v>
      </c>
      <c r="S25" s="449"/>
      <c r="T25" s="32"/>
      <c r="U25" s="118"/>
      <c r="V25" s="118"/>
      <c r="W25" s="118"/>
      <c r="X25" s="118"/>
      <c r="Y25" s="32"/>
    </row>
    <row r="26" spans="1:25" ht="18" customHeight="1" x14ac:dyDescent="0.2">
      <c r="A26" s="32"/>
      <c r="B26" s="102"/>
      <c r="C26" s="194"/>
      <c r="D26" s="194"/>
      <c r="E26" s="194"/>
      <c r="F26" s="195"/>
      <c r="G26" s="117"/>
      <c r="H26" s="32"/>
      <c r="I26" s="36"/>
      <c r="J26" s="36"/>
      <c r="K26" s="36"/>
      <c r="L26" s="36"/>
      <c r="M26" s="32"/>
      <c r="N26" s="102"/>
      <c r="O26" s="194"/>
      <c r="P26" s="194"/>
      <c r="Q26" s="194"/>
      <c r="R26" s="195"/>
      <c r="S26" s="117"/>
      <c r="T26" s="32"/>
      <c r="U26" s="36"/>
      <c r="V26" s="36"/>
      <c r="W26" s="36"/>
      <c r="X26" s="36"/>
      <c r="Y26" s="32"/>
    </row>
    <row r="27" spans="1:25" ht="24.75" customHeight="1" x14ac:dyDescent="0.2">
      <c r="A27" s="32"/>
      <c r="B27" s="354" t="s">
        <v>318</v>
      </c>
      <c r="C27" s="354"/>
      <c r="D27" s="354"/>
      <c r="E27" s="355"/>
      <c r="F27" s="355"/>
      <c r="G27" s="355"/>
      <c r="H27" s="355"/>
      <c r="I27" s="355"/>
      <c r="J27" s="355"/>
      <c r="K27" s="355"/>
      <c r="L27" s="355"/>
      <c r="M27" s="32"/>
      <c r="N27" s="354" t="s">
        <v>318</v>
      </c>
      <c r="O27" s="354"/>
      <c r="P27" s="354"/>
      <c r="Q27" s="355"/>
      <c r="R27" s="355"/>
      <c r="S27" s="355"/>
      <c r="T27" s="355"/>
      <c r="U27" s="355"/>
      <c r="V27" s="355"/>
      <c r="W27" s="355"/>
      <c r="X27" s="355"/>
      <c r="Y27" s="32"/>
    </row>
    <row r="28" spans="1:25" ht="18" customHeight="1" x14ac:dyDescent="0.2">
      <c r="A28" s="32"/>
      <c r="B28" s="102"/>
      <c r="C28" s="194"/>
      <c r="D28" s="194"/>
      <c r="E28" s="194"/>
      <c r="F28" s="195"/>
      <c r="G28" s="117"/>
      <c r="H28" s="32"/>
      <c r="I28" s="36"/>
      <c r="J28" s="36"/>
      <c r="K28" s="36"/>
      <c r="L28" s="36"/>
      <c r="M28" s="32"/>
      <c r="N28" s="102"/>
      <c r="O28" s="194"/>
      <c r="P28" s="194"/>
      <c r="Q28" s="194"/>
      <c r="R28" s="195"/>
      <c r="S28" s="117"/>
      <c r="T28" s="32"/>
      <c r="U28" s="36"/>
      <c r="V28" s="36"/>
      <c r="W28" s="36"/>
      <c r="X28" s="36"/>
      <c r="Y28" s="32"/>
    </row>
    <row r="29" spans="1:25" ht="18" customHeight="1" x14ac:dyDescent="0.2">
      <c r="A29" s="32"/>
      <c r="B29" s="102"/>
      <c r="C29" s="657" t="s">
        <v>91</v>
      </c>
      <c r="D29" s="658"/>
      <c r="E29" s="657">
        <v>2013</v>
      </c>
      <c r="F29" s="658"/>
      <c r="G29" s="657">
        <v>2014</v>
      </c>
      <c r="H29" s="658"/>
      <c r="I29" s="657">
        <v>2015</v>
      </c>
      <c r="J29" s="658"/>
      <c r="K29" s="657" t="s">
        <v>66</v>
      </c>
      <c r="L29" s="658"/>
      <c r="M29" s="32"/>
      <c r="N29" s="102"/>
      <c r="O29" s="657" t="s">
        <v>91</v>
      </c>
      <c r="P29" s="658"/>
      <c r="Q29" s="657">
        <v>2013</v>
      </c>
      <c r="R29" s="658"/>
      <c r="S29" s="657">
        <v>2014</v>
      </c>
      <c r="T29" s="658"/>
      <c r="U29" s="657">
        <v>2015</v>
      </c>
      <c r="V29" s="658"/>
      <c r="W29" s="657" t="s">
        <v>66</v>
      </c>
      <c r="X29" s="658"/>
      <c r="Y29" s="32"/>
    </row>
    <row r="30" spans="1:25" ht="18" customHeight="1" x14ac:dyDescent="0.2">
      <c r="A30" s="32"/>
      <c r="B30" s="116" t="s">
        <v>223</v>
      </c>
      <c r="C30" s="361" t="s">
        <v>89</v>
      </c>
      <c r="D30" s="362" t="s">
        <v>90</v>
      </c>
      <c r="E30" s="190" t="s">
        <v>89</v>
      </c>
      <c r="F30" s="362" t="s">
        <v>90</v>
      </c>
      <c r="G30" s="190" t="s">
        <v>89</v>
      </c>
      <c r="H30" s="190" t="s">
        <v>90</v>
      </c>
      <c r="I30" s="361" t="s">
        <v>89</v>
      </c>
      <c r="J30" s="362" t="s">
        <v>90</v>
      </c>
      <c r="K30" s="361" t="s">
        <v>89</v>
      </c>
      <c r="L30" s="362" t="s">
        <v>90</v>
      </c>
      <c r="M30" s="32"/>
      <c r="N30" s="116" t="s">
        <v>223</v>
      </c>
      <c r="O30" s="485" t="s">
        <v>89</v>
      </c>
      <c r="P30" s="486" t="s">
        <v>90</v>
      </c>
      <c r="Q30" s="190" t="s">
        <v>89</v>
      </c>
      <c r="R30" s="486" t="s">
        <v>90</v>
      </c>
      <c r="S30" s="190" t="s">
        <v>89</v>
      </c>
      <c r="T30" s="190" t="s">
        <v>90</v>
      </c>
      <c r="U30" s="485" t="s">
        <v>89</v>
      </c>
      <c r="V30" s="486" t="s">
        <v>90</v>
      </c>
      <c r="W30" s="485" t="s">
        <v>89</v>
      </c>
      <c r="X30" s="486" t="s">
        <v>90</v>
      </c>
      <c r="Y30" s="32"/>
    </row>
    <row r="31" spans="1:25" ht="18" customHeight="1" x14ac:dyDescent="0.2">
      <c r="A31" s="32"/>
      <c r="B31" s="70" t="s">
        <v>84</v>
      </c>
      <c r="C31" s="179">
        <v>0.85</v>
      </c>
      <c r="D31" s="181">
        <v>0.15</v>
      </c>
      <c r="E31" s="263">
        <f t="shared" ref="E31:E36" si="7">C31*C14</f>
        <v>5.0157517320960761</v>
      </c>
      <c r="F31" s="264">
        <f t="shared" ref="F31:F36" si="8">D31*C14</f>
        <v>0.88513265860518986</v>
      </c>
      <c r="G31" s="263">
        <f t="shared" ref="G31:G36" si="9">C31*D14</f>
        <v>4.67774193482275</v>
      </c>
      <c r="H31" s="263">
        <f t="shared" ref="H31:H36" si="10">D31*D14</f>
        <v>0.82548387085107344</v>
      </c>
      <c r="I31" s="265">
        <f t="shared" ref="I31:I36" si="11">C31*E14</f>
        <v>4.3890492134730614</v>
      </c>
      <c r="J31" s="264">
        <f t="shared" ref="J31:J36" si="12">D31*E14</f>
        <v>0.77453809649524608</v>
      </c>
      <c r="K31" s="265">
        <f>AVERAGE(E31,G31,I31)</f>
        <v>4.6941809601306295</v>
      </c>
      <c r="L31" s="264">
        <f>AVERAGE(F31,H31,J31)</f>
        <v>0.82838487531716976</v>
      </c>
      <c r="M31" s="32"/>
      <c r="N31" s="70" t="s">
        <v>84</v>
      </c>
      <c r="O31" s="179">
        <v>0.85</v>
      </c>
      <c r="P31" s="181">
        <v>0.15</v>
      </c>
      <c r="Q31" s="263">
        <f t="shared" ref="Q31:Q36" si="13">O31*O14</f>
        <v>5.337219636152267E-2</v>
      </c>
      <c r="R31" s="264">
        <f>P31*O14</f>
        <v>9.4186228873275307E-3</v>
      </c>
      <c r="S31" s="263">
        <f t="shared" ref="S31:S36" si="14">O31*P14</f>
        <v>4.0613966663290063E-2</v>
      </c>
      <c r="T31" s="263">
        <f>P31*P14</f>
        <v>7.1671705876394229E-3</v>
      </c>
      <c r="U31" s="265">
        <f t="shared" ref="U31:U36" si="15">O31*Q14</f>
        <v>3.6964752678000444E-2</v>
      </c>
      <c r="V31" s="264">
        <f>P31*Q14</f>
        <v>6.5231916490589015E-3</v>
      </c>
      <c r="W31" s="265">
        <f>AVERAGE(Q31,S31,U31)</f>
        <v>4.3650305234271054E-2</v>
      </c>
      <c r="X31" s="264">
        <f>AVERAGE(R31,T31,V31)</f>
        <v>7.7029950413419514E-3</v>
      </c>
      <c r="Y31" s="32"/>
    </row>
    <row r="32" spans="1:25" ht="18" customHeight="1" x14ac:dyDescent="0.2">
      <c r="A32" s="32"/>
      <c r="B32" s="70" t="s">
        <v>85</v>
      </c>
      <c r="C32" s="179">
        <v>0.75</v>
      </c>
      <c r="D32" s="181">
        <v>0.25</v>
      </c>
      <c r="E32" s="263">
        <f t="shared" si="7"/>
        <v>1.7725490726872324</v>
      </c>
      <c r="F32" s="264">
        <f t="shared" si="8"/>
        <v>0.59084969089574413</v>
      </c>
      <c r="G32" s="263">
        <f t="shared" si="9"/>
        <v>2.097269789361575</v>
      </c>
      <c r="H32" s="263">
        <f t="shared" si="10"/>
        <v>0.69908992978719176</v>
      </c>
      <c r="I32" s="265">
        <f t="shared" si="11"/>
        <v>2.1576467346654873</v>
      </c>
      <c r="J32" s="264">
        <f t="shared" si="12"/>
        <v>0.71921557822182902</v>
      </c>
      <c r="K32" s="265">
        <f t="shared" ref="K32:L36" si="16">AVERAGE(E32,G32,I32)</f>
        <v>2.0091551989047649</v>
      </c>
      <c r="L32" s="264">
        <f t="shared" si="16"/>
        <v>0.66971839963492164</v>
      </c>
      <c r="M32" s="32"/>
      <c r="N32" s="70" t="s">
        <v>85</v>
      </c>
      <c r="O32" s="179">
        <v>0.75</v>
      </c>
      <c r="P32" s="181">
        <v>0.25</v>
      </c>
      <c r="Q32" s="263">
        <f t="shared" si="13"/>
        <v>1.8861547026443964E-2</v>
      </c>
      <c r="R32" s="264">
        <f t="shared" ref="R32:R36" si="17">P32*O15</f>
        <v>6.2871823421479876E-3</v>
      </c>
      <c r="S32" s="263">
        <f t="shared" si="14"/>
        <v>1.8209308357726661E-2</v>
      </c>
      <c r="T32" s="263">
        <f t="shared" ref="T32:T36" si="18">P32*P15</f>
        <v>6.0697694525755543E-3</v>
      </c>
      <c r="U32" s="265">
        <f t="shared" si="15"/>
        <v>1.8171789386315224E-2</v>
      </c>
      <c r="V32" s="264">
        <f t="shared" ref="V32:V36" si="19">P32*Q15</f>
        <v>6.0572631287717418E-3</v>
      </c>
      <c r="W32" s="265">
        <f t="shared" ref="W32:X36" si="20">AVERAGE(Q32,S32,U32)</f>
        <v>1.8414214923495282E-2</v>
      </c>
      <c r="X32" s="264">
        <f t="shared" si="20"/>
        <v>6.1380716411650951E-3</v>
      </c>
      <c r="Y32" s="32"/>
    </row>
    <row r="33" spans="1:25" ht="18" customHeight="1" x14ac:dyDescent="0.2">
      <c r="A33" s="32"/>
      <c r="B33" s="70" t="s">
        <v>86</v>
      </c>
      <c r="C33" s="179">
        <v>0.75</v>
      </c>
      <c r="D33" s="181">
        <v>0.25</v>
      </c>
      <c r="E33" s="263">
        <f t="shared" si="7"/>
        <v>0.30317580829749335</v>
      </c>
      <c r="F33" s="264">
        <f t="shared" si="8"/>
        <v>0.10105860276583112</v>
      </c>
      <c r="G33" s="263">
        <f t="shared" si="9"/>
        <v>0.36835587481467058</v>
      </c>
      <c r="H33" s="263">
        <f t="shared" si="10"/>
        <v>0.12278529160489018</v>
      </c>
      <c r="I33" s="265">
        <f t="shared" si="11"/>
        <v>0.35569398444039835</v>
      </c>
      <c r="J33" s="264">
        <f t="shared" si="12"/>
        <v>0.11856466148013278</v>
      </c>
      <c r="K33" s="265">
        <f t="shared" si="16"/>
        <v>0.34240855585085406</v>
      </c>
      <c r="L33" s="264">
        <f t="shared" si="16"/>
        <v>0.11413618528361802</v>
      </c>
      <c r="M33" s="32"/>
      <c r="N33" s="70" t="s">
        <v>86</v>
      </c>
      <c r="O33" s="179">
        <v>0.75</v>
      </c>
      <c r="P33" s="181">
        <v>0.25</v>
      </c>
      <c r="Q33" s="263">
        <f t="shared" si="13"/>
        <v>3.2260685210898756E-3</v>
      </c>
      <c r="R33" s="264">
        <f t="shared" si="17"/>
        <v>1.0753561736966252E-3</v>
      </c>
      <c r="S33" s="263">
        <f t="shared" si="14"/>
        <v>3.1982083296600164E-3</v>
      </c>
      <c r="T33" s="263">
        <f t="shared" si="18"/>
        <v>1.0660694432200054E-3</v>
      </c>
      <c r="U33" s="265">
        <f t="shared" si="15"/>
        <v>2.9956693407608703E-3</v>
      </c>
      <c r="V33" s="264">
        <f t="shared" si="19"/>
        <v>9.9855644692029011E-4</v>
      </c>
      <c r="W33" s="265">
        <f t="shared" si="20"/>
        <v>3.1399820638369209E-3</v>
      </c>
      <c r="X33" s="264">
        <f t="shared" si="20"/>
        <v>1.0466606879456402E-3</v>
      </c>
      <c r="Y33" s="32"/>
    </row>
    <row r="34" spans="1:25" ht="18" customHeight="1" x14ac:dyDescent="0.2">
      <c r="A34" s="32"/>
      <c r="B34" s="70" t="s">
        <v>87</v>
      </c>
      <c r="C34" s="179">
        <v>0.5</v>
      </c>
      <c r="D34" s="181">
        <v>0.5</v>
      </c>
      <c r="E34" s="263">
        <f t="shared" si="7"/>
        <v>0.35456022827644557</v>
      </c>
      <c r="F34" s="264">
        <f t="shared" si="8"/>
        <v>0.35456022827644557</v>
      </c>
      <c r="G34" s="263">
        <f t="shared" si="9"/>
        <v>0.39596293608651117</v>
      </c>
      <c r="H34" s="263">
        <f t="shared" si="10"/>
        <v>0.39596293608651117</v>
      </c>
      <c r="I34" s="265">
        <f t="shared" si="11"/>
        <v>0.38999585088375549</v>
      </c>
      <c r="J34" s="264">
        <f t="shared" si="12"/>
        <v>0.38999585088375549</v>
      </c>
      <c r="K34" s="265">
        <f t="shared" si="16"/>
        <v>0.38017300508223739</v>
      </c>
      <c r="L34" s="264">
        <f t="shared" si="16"/>
        <v>0.38017300508223739</v>
      </c>
      <c r="M34" s="32"/>
      <c r="N34" s="70" t="s">
        <v>87</v>
      </c>
      <c r="O34" s="179">
        <v>0.5</v>
      </c>
      <c r="P34" s="181">
        <v>0.5</v>
      </c>
      <c r="Q34" s="263">
        <f t="shared" si="13"/>
        <v>3.7728458536859413E-3</v>
      </c>
      <c r="R34" s="264">
        <f t="shared" si="17"/>
        <v>3.7728458536859413E-3</v>
      </c>
      <c r="S34" s="263">
        <f t="shared" si="14"/>
        <v>3.4379035248607373E-3</v>
      </c>
      <c r="T34" s="263">
        <f t="shared" si="18"/>
        <v>3.4379035248607373E-3</v>
      </c>
      <c r="U34" s="265">
        <f t="shared" si="15"/>
        <v>3.2845610682858757E-3</v>
      </c>
      <c r="V34" s="264">
        <f t="shared" si="19"/>
        <v>3.2845610682858757E-3</v>
      </c>
      <c r="W34" s="265">
        <f t="shared" si="20"/>
        <v>3.4984368156108516E-3</v>
      </c>
      <c r="X34" s="264">
        <f t="shared" si="20"/>
        <v>3.4984368156108516E-3</v>
      </c>
      <c r="Y34" s="32"/>
    </row>
    <row r="35" spans="1:25" ht="18" customHeight="1" x14ac:dyDescent="0.2">
      <c r="A35" s="32"/>
      <c r="B35" s="70" t="s">
        <v>88</v>
      </c>
      <c r="C35" s="179">
        <v>0.7</v>
      </c>
      <c r="D35" s="181">
        <v>0.3</v>
      </c>
      <c r="E35" s="263">
        <f t="shared" si="7"/>
        <v>0.38662768171433348</v>
      </c>
      <c r="F35" s="264">
        <f t="shared" si="8"/>
        <v>0.1656975778775715</v>
      </c>
      <c r="G35" s="263">
        <f t="shared" si="9"/>
        <v>0.38572655759483254</v>
      </c>
      <c r="H35" s="263">
        <f t="shared" si="10"/>
        <v>0.16531138182635682</v>
      </c>
      <c r="I35" s="265">
        <f t="shared" si="11"/>
        <v>0.37312929487546426</v>
      </c>
      <c r="J35" s="264">
        <f t="shared" si="12"/>
        <v>0.15991255494662754</v>
      </c>
      <c r="K35" s="265">
        <f t="shared" si="16"/>
        <v>0.38182784472821013</v>
      </c>
      <c r="L35" s="264">
        <f t="shared" si="16"/>
        <v>0.16364050488351861</v>
      </c>
      <c r="M35" s="32"/>
      <c r="N35" s="70" t="s">
        <v>88</v>
      </c>
      <c r="O35" s="179">
        <v>0.7</v>
      </c>
      <c r="P35" s="181">
        <v>0.3</v>
      </c>
      <c r="Q35" s="263">
        <f t="shared" si="13"/>
        <v>4.1140729544510944E-3</v>
      </c>
      <c r="R35" s="264">
        <f t="shared" si="17"/>
        <v>1.7631741233361834E-3</v>
      </c>
      <c r="S35" s="263">
        <f t="shared" si="14"/>
        <v>3.3490273233501454E-3</v>
      </c>
      <c r="T35" s="263">
        <f t="shared" si="18"/>
        <v>1.4352974242929195E-3</v>
      </c>
      <c r="U35" s="265">
        <f t="shared" si="15"/>
        <v>3.142510241090257E-3</v>
      </c>
      <c r="V35" s="264">
        <f t="shared" si="19"/>
        <v>1.3467901033243958E-3</v>
      </c>
      <c r="W35" s="265">
        <f t="shared" si="20"/>
        <v>3.5352035062971659E-3</v>
      </c>
      <c r="X35" s="264">
        <f t="shared" si="20"/>
        <v>1.5150872169844996E-3</v>
      </c>
      <c r="Y35" s="32"/>
    </row>
    <row r="36" spans="1:25" ht="18" customHeight="1" x14ac:dyDescent="0.2">
      <c r="A36" s="32"/>
      <c r="B36" s="70" t="s">
        <v>63</v>
      </c>
      <c r="C36" s="179">
        <v>1</v>
      </c>
      <c r="D36" s="181">
        <v>0</v>
      </c>
      <c r="E36" s="263">
        <f t="shared" si="7"/>
        <v>1.2224147465792823</v>
      </c>
      <c r="F36" s="264">
        <f t="shared" si="8"/>
        <v>0</v>
      </c>
      <c r="G36" s="263">
        <f t="shared" si="9"/>
        <v>1.5113369213177368</v>
      </c>
      <c r="H36" s="263">
        <f t="shared" si="10"/>
        <v>0</v>
      </c>
      <c r="I36" s="265">
        <f t="shared" si="11"/>
        <v>1.4850877832480498</v>
      </c>
      <c r="J36" s="264">
        <f t="shared" si="12"/>
        <v>0</v>
      </c>
      <c r="K36" s="265">
        <f t="shared" si="16"/>
        <v>1.4062798170483564</v>
      </c>
      <c r="L36" s="264">
        <f t="shared" si="16"/>
        <v>0</v>
      </c>
      <c r="M36" s="32"/>
      <c r="N36" s="70" t="s">
        <v>63</v>
      </c>
      <c r="O36" s="179">
        <v>1</v>
      </c>
      <c r="P36" s="181">
        <v>0</v>
      </c>
      <c r="Q36" s="263">
        <f t="shared" si="13"/>
        <v>1.3007613489351373E-2</v>
      </c>
      <c r="R36" s="264">
        <f t="shared" si="17"/>
        <v>0</v>
      </c>
      <c r="S36" s="263">
        <f t="shared" si="14"/>
        <v>1.3122012328737815E-2</v>
      </c>
      <c r="T36" s="263">
        <f t="shared" si="18"/>
        <v>0</v>
      </c>
      <c r="U36" s="265">
        <f t="shared" si="15"/>
        <v>1.2507470284081158E-2</v>
      </c>
      <c r="V36" s="264">
        <f t="shared" si="19"/>
        <v>0</v>
      </c>
      <c r="W36" s="265">
        <f t="shared" si="20"/>
        <v>1.2879032034056784E-2</v>
      </c>
      <c r="X36" s="264">
        <f t="shared" si="20"/>
        <v>0</v>
      </c>
      <c r="Y36" s="32"/>
    </row>
    <row r="37" spans="1:25" ht="18" customHeight="1" thickBot="1" x14ac:dyDescent="0.25">
      <c r="A37" s="32"/>
      <c r="B37" s="20" t="s">
        <v>92</v>
      </c>
      <c r="C37" s="197"/>
      <c r="D37" s="196"/>
      <c r="E37" s="266">
        <f t="shared" ref="E37:L37" si="21">SUM(E31:E36)</f>
        <v>9.0550792696508626</v>
      </c>
      <c r="F37" s="266">
        <f t="shared" si="21"/>
        <v>2.0972987584207821</v>
      </c>
      <c r="G37" s="267">
        <f t="shared" si="21"/>
        <v>9.4363940139980755</v>
      </c>
      <c r="H37" s="268">
        <f t="shared" si="21"/>
        <v>2.2086334101560232</v>
      </c>
      <c r="I37" s="267">
        <f t="shared" si="21"/>
        <v>9.1506028615862167</v>
      </c>
      <c r="J37" s="268">
        <f t="shared" si="21"/>
        <v>2.1622267420275909</v>
      </c>
      <c r="K37" s="267">
        <f t="shared" si="21"/>
        <v>9.2140253817450528</v>
      </c>
      <c r="L37" s="268">
        <f t="shared" si="21"/>
        <v>2.1560529702014652</v>
      </c>
      <c r="M37" s="32"/>
      <c r="N37" s="20" t="s">
        <v>92</v>
      </c>
      <c r="O37" s="197"/>
      <c r="P37" s="196"/>
      <c r="Q37" s="266">
        <f t="shared" ref="Q37:X37" si="22">SUM(Q31:Q36)</f>
        <v>9.6354344206544928E-2</v>
      </c>
      <c r="R37" s="266">
        <f t="shared" si="22"/>
        <v>2.231718138019427E-2</v>
      </c>
      <c r="S37" s="267">
        <f t="shared" si="22"/>
        <v>8.1930426527625444E-2</v>
      </c>
      <c r="T37" s="268">
        <f t="shared" si="22"/>
        <v>1.9176210432588638E-2</v>
      </c>
      <c r="U37" s="267">
        <f t="shared" si="22"/>
        <v>7.7066752998533827E-2</v>
      </c>
      <c r="V37" s="268">
        <f t="shared" si="22"/>
        <v>1.8210362396361205E-2</v>
      </c>
      <c r="W37" s="267">
        <f t="shared" si="22"/>
        <v>8.5117174577568067E-2</v>
      </c>
      <c r="X37" s="268">
        <f t="shared" si="22"/>
        <v>1.9901251403048034E-2</v>
      </c>
      <c r="Y37" s="32"/>
    </row>
    <row r="38" spans="1:25" ht="18" customHeight="1" x14ac:dyDescent="0.2">
      <c r="A38" s="32"/>
      <c r="B38" s="102"/>
      <c r="C38" s="194"/>
      <c r="D38" s="194"/>
      <c r="E38" s="32"/>
      <c r="F38" s="32"/>
      <c r="G38" s="32"/>
      <c r="H38" s="32"/>
      <c r="I38" s="32"/>
      <c r="J38" s="32"/>
      <c r="K38" s="32"/>
      <c r="L38" s="36"/>
      <c r="M38" s="32"/>
      <c r="N38" s="102"/>
      <c r="O38" s="194"/>
      <c r="P38" s="194"/>
      <c r="Q38" s="32"/>
      <c r="R38" s="32"/>
      <c r="S38" s="32"/>
      <c r="T38" s="32"/>
      <c r="U38" s="32"/>
      <c r="V38" s="32"/>
      <c r="W38" s="32"/>
      <c r="X38" s="36"/>
      <c r="Y38" s="32"/>
    </row>
    <row r="39" spans="1:25" ht="18" customHeight="1" x14ac:dyDescent="0.2">
      <c r="A39" s="32"/>
      <c r="B39" s="287" t="s">
        <v>224</v>
      </c>
      <c r="C39" s="121"/>
      <c r="D39" s="193"/>
      <c r="E39" s="192">
        <f>E37/(E37+F37)</f>
        <v>0.81194156500598591</v>
      </c>
      <c r="F39" s="294">
        <f>F37/(E37+F37)</f>
        <v>0.18805843499401406</v>
      </c>
      <c r="G39" s="192">
        <f>G37/(G37+H37)</f>
        <v>0.81033677897787693</v>
      </c>
      <c r="H39" s="295">
        <f>H37/(G37+H37)</f>
        <v>0.18966322102212305</v>
      </c>
      <c r="I39" s="121">
        <f>I37/(I37+J37)</f>
        <v>0.80886950322871642</v>
      </c>
      <c r="J39" s="294">
        <f>J37/(I37+J37)</f>
        <v>0.19113049677128366</v>
      </c>
      <c r="K39" s="192">
        <f>K37/(K37+L37)</f>
        <v>0.81037483617407469</v>
      </c>
      <c r="L39" s="295">
        <f>L37/(K37+L37)</f>
        <v>0.18962516382592531</v>
      </c>
      <c r="M39" s="32"/>
      <c r="N39" s="287" t="s">
        <v>224</v>
      </c>
      <c r="O39" s="121"/>
      <c r="P39" s="193"/>
      <c r="Q39" s="192">
        <f>Q37/(Q37+R37)</f>
        <v>0.81194156500598591</v>
      </c>
      <c r="R39" s="294">
        <f>R37/(Q37+R37)</f>
        <v>0.18805843499401406</v>
      </c>
      <c r="S39" s="192">
        <f>S37/(S37+T37)</f>
        <v>0.81033677897787704</v>
      </c>
      <c r="T39" s="295">
        <f>T37/(S37+T37)</f>
        <v>0.18966322102212305</v>
      </c>
      <c r="U39" s="121">
        <f>U37/(U37+V37)</f>
        <v>0.80886950322871642</v>
      </c>
      <c r="V39" s="294">
        <f>V37/(U37+V37)</f>
        <v>0.19113049677128366</v>
      </c>
      <c r="W39" s="192">
        <f>W37/(W37+X37)</f>
        <v>0.81049752729372149</v>
      </c>
      <c r="X39" s="295">
        <f>X37/(W37+X37)</f>
        <v>0.18950247270627851</v>
      </c>
      <c r="Y39" s="32"/>
    </row>
    <row r="40" spans="1:25" ht="18" customHeight="1" x14ac:dyDescent="0.2">
      <c r="A40" s="32"/>
      <c r="B40" s="102"/>
      <c r="C40" s="194"/>
      <c r="D40" s="194"/>
      <c r="E40" s="194"/>
      <c r="F40" s="195"/>
      <c r="G40" s="194"/>
      <c r="H40" s="66"/>
      <c r="I40" s="194"/>
      <c r="J40" s="184"/>
      <c r="K40" s="194"/>
      <c r="L40" s="36"/>
      <c r="M40" s="32"/>
      <c r="N40" s="102"/>
      <c r="O40" s="194"/>
      <c r="P40" s="194"/>
      <c r="Q40" s="194"/>
      <c r="R40" s="195"/>
      <c r="S40" s="194"/>
      <c r="T40" s="66"/>
      <c r="U40" s="194"/>
      <c r="V40" s="184"/>
      <c r="W40" s="194"/>
      <c r="X40" s="36"/>
      <c r="Y40" s="32"/>
    </row>
    <row r="41" spans="1:25" ht="18" customHeight="1" x14ac:dyDescent="0.2">
      <c r="A41" s="32"/>
      <c r="B41" s="309" t="s">
        <v>195</v>
      </c>
      <c r="C41" s="310"/>
      <c r="D41" s="311"/>
      <c r="E41" s="312">
        <f>E37/C24</f>
        <v>9.1241702843460115E-2</v>
      </c>
      <c r="F41" s="313">
        <f>F37/C24</f>
        <v>2.1133013239448446E-2</v>
      </c>
      <c r="G41" s="312">
        <f>G37/D24</f>
        <v>8.8823506293436549E-2</v>
      </c>
      <c r="H41" s="314">
        <f>H37/D24</f>
        <v>2.0789568909042353E-2</v>
      </c>
      <c r="I41" s="312">
        <f>I37/E24</f>
        <v>7.7649979367961863E-2</v>
      </c>
      <c r="J41" s="314">
        <f>J37/E24</f>
        <v>1.8348174917755491E-2</v>
      </c>
      <c r="K41" s="36"/>
      <c r="L41" s="36"/>
      <c r="M41" s="32"/>
      <c r="N41" s="309" t="s">
        <v>195</v>
      </c>
      <c r="O41" s="310"/>
      <c r="P41" s="311"/>
      <c r="Q41" s="312">
        <f>Q37/O24</f>
        <v>8.3376026258744185E-2</v>
      </c>
      <c r="R41" s="313">
        <f>R37/O24</f>
        <v>1.9311198847325496E-2</v>
      </c>
      <c r="S41" s="312">
        <f>S37/P24</f>
        <v>7.9213697178064438E-2</v>
      </c>
      <c r="T41" s="314">
        <f>T37/P24</f>
        <v>1.8540346860244052E-2</v>
      </c>
      <c r="U41" s="312">
        <f>U37/Q24</f>
        <v>6.6250381991672241E-2</v>
      </c>
      <c r="V41" s="314">
        <f>V37/Q24</f>
        <v>1.5654525693961259E-2</v>
      </c>
      <c r="W41" s="36"/>
      <c r="X41" s="36"/>
      <c r="Y41" s="32"/>
    </row>
    <row r="42" spans="1:25" ht="18" customHeight="1" x14ac:dyDescent="0.2">
      <c r="A42" s="32"/>
      <c r="B42" s="102"/>
      <c r="C42" s="194"/>
      <c r="D42" s="194"/>
      <c r="E42" s="194"/>
      <c r="F42" s="195"/>
      <c r="G42" s="117"/>
      <c r="H42" s="32"/>
      <c r="I42" s="36"/>
      <c r="J42" s="32"/>
      <c r="K42" s="36"/>
      <c r="L42" s="36"/>
      <c r="M42" s="32"/>
      <c r="N42" s="102"/>
      <c r="O42" s="194"/>
      <c r="P42" s="194"/>
      <c r="Q42" s="194"/>
      <c r="R42" s="195"/>
      <c r="S42" s="117"/>
      <c r="T42" s="32"/>
      <c r="U42" s="36"/>
      <c r="V42" s="32"/>
      <c r="W42" s="36"/>
      <c r="X42" s="36"/>
      <c r="Y42" s="32"/>
    </row>
    <row r="43" spans="1:25" ht="22.5" customHeight="1" x14ac:dyDescent="0.2">
      <c r="A43" s="36"/>
      <c r="B43" s="354" t="s">
        <v>424</v>
      </c>
      <c r="C43" s="354"/>
      <c r="D43" s="354"/>
      <c r="E43" s="355"/>
      <c r="F43" s="355"/>
      <c r="G43" s="355"/>
      <c r="H43" s="355"/>
      <c r="I43" s="355"/>
      <c r="J43" s="355"/>
      <c r="K43" s="355"/>
      <c r="L43" s="355"/>
      <c r="M43" s="32"/>
      <c r="N43" s="354" t="s">
        <v>424</v>
      </c>
      <c r="O43" s="354"/>
      <c r="P43" s="354"/>
      <c r="Q43" s="355"/>
      <c r="R43" s="355"/>
      <c r="S43" s="355"/>
      <c r="T43" s="355"/>
      <c r="U43" s="355"/>
      <c r="V43" s="355"/>
      <c r="W43" s="355"/>
      <c r="X43" s="355"/>
      <c r="Y43" s="32"/>
    </row>
    <row r="44" spans="1:25" ht="18" customHeight="1" x14ac:dyDescent="0.2">
      <c r="A44" s="36"/>
      <c r="B44" s="77"/>
      <c r="C44" s="120"/>
      <c r="D44" s="12"/>
      <c r="E44" s="12"/>
      <c r="F44" s="12"/>
      <c r="G44" s="117"/>
      <c r="H44" s="32"/>
      <c r="I44" s="32"/>
      <c r="J44" s="36"/>
      <c r="K44" s="36"/>
      <c r="L44" s="36"/>
      <c r="M44" s="32"/>
      <c r="N44" s="77"/>
      <c r="O44" s="120"/>
      <c r="P44" s="12"/>
      <c r="Q44" s="12"/>
      <c r="R44" s="12"/>
      <c r="S44" s="117"/>
      <c r="T44" s="32"/>
      <c r="U44" s="32"/>
      <c r="V44" s="36"/>
      <c r="W44" s="36"/>
      <c r="X44" s="36"/>
      <c r="Y44" s="32"/>
    </row>
    <row r="45" spans="1:25" ht="18" customHeight="1" x14ac:dyDescent="0.2">
      <c r="A45" s="36"/>
      <c r="B45" s="440" t="s">
        <v>246</v>
      </c>
      <c r="C45" s="441">
        <f>K39*F20</f>
        <v>9.2140253817450528</v>
      </c>
      <c r="D45" s="12"/>
      <c r="E45" s="12"/>
      <c r="F45" s="12"/>
      <c r="G45" s="117"/>
      <c r="H45" s="117"/>
      <c r="I45" s="117"/>
      <c r="J45" s="117"/>
      <c r="K45" s="117"/>
      <c r="L45" s="36"/>
      <c r="M45" s="32"/>
      <c r="N45" s="440" t="s">
        <v>246</v>
      </c>
      <c r="O45" s="441">
        <f>W39*R20</f>
        <v>8.511717457756808E-2</v>
      </c>
      <c r="P45" s="12"/>
      <c r="Q45" s="12"/>
      <c r="R45" s="12"/>
      <c r="S45" s="117"/>
      <c r="T45" s="117"/>
      <c r="U45" s="117"/>
      <c r="V45" s="117"/>
      <c r="W45" s="117"/>
      <c r="X45" s="36"/>
      <c r="Y45" s="32"/>
    </row>
    <row r="46" spans="1:25" ht="18" customHeight="1" x14ac:dyDescent="0.2">
      <c r="A46" s="36"/>
      <c r="B46" s="440" t="s">
        <v>225</v>
      </c>
      <c r="C46" s="442">
        <f>(F20-C45)/F24</f>
        <v>2.0005156384993443E-2</v>
      </c>
      <c r="D46" s="12"/>
      <c r="E46" s="12"/>
      <c r="F46" s="12"/>
      <c r="G46" s="117"/>
      <c r="H46" s="32"/>
      <c r="I46" s="32"/>
      <c r="J46" s="36"/>
      <c r="K46" s="36"/>
      <c r="L46" s="36"/>
      <c r="M46" s="32"/>
      <c r="N46" s="440" t="s">
        <v>225</v>
      </c>
      <c r="O46" s="442">
        <f>(R20-O45)/R24</f>
        <v>1.780489525295487E-2</v>
      </c>
      <c r="P46" s="12"/>
      <c r="Q46" s="12"/>
      <c r="R46" s="12"/>
      <c r="S46" s="117"/>
      <c r="T46" s="32"/>
      <c r="U46" s="32"/>
      <c r="V46" s="36"/>
      <c r="W46" s="36"/>
      <c r="X46" s="36"/>
      <c r="Y46" s="32"/>
    </row>
    <row r="47" spans="1:25" ht="18" customHeight="1" x14ac:dyDescent="0.2">
      <c r="A47" s="36"/>
      <c r="B47" s="77"/>
      <c r="C47" s="120"/>
      <c r="D47" s="12"/>
      <c r="E47" s="12"/>
      <c r="F47" s="12"/>
      <c r="G47" s="117"/>
      <c r="H47" s="32"/>
      <c r="I47" s="32"/>
      <c r="J47" s="36"/>
      <c r="K47" s="36"/>
      <c r="L47" s="36"/>
      <c r="M47" s="32"/>
      <c r="N47" s="77"/>
      <c r="O47" s="120"/>
      <c r="P47" s="12"/>
      <c r="Q47" s="12"/>
      <c r="R47" s="12"/>
      <c r="S47" s="117"/>
      <c r="T47" s="32"/>
      <c r="U47" s="32"/>
      <c r="V47" s="36"/>
      <c r="W47" s="36"/>
      <c r="X47" s="36"/>
      <c r="Y47" s="32"/>
    </row>
    <row r="48" spans="1:25" ht="18" customHeight="1" x14ac:dyDescent="0.2">
      <c r="A48" s="36"/>
      <c r="B48" s="191"/>
      <c r="C48" s="185">
        <v>2018</v>
      </c>
      <c r="D48" s="186">
        <v>2019</v>
      </c>
      <c r="E48" s="186">
        <v>2020</v>
      </c>
      <c r="F48" s="186">
        <v>2021</v>
      </c>
      <c r="G48" s="186">
        <v>2022</v>
      </c>
      <c r="H48" s="123" t="s">
        <v>92</v>
      </c>
      <c r="I48" s="118"/>
      <c r="J48" s="36"/>
      <c r="K48" s="36"/>
      <c r="L48" s="36"/>
      <c r="M48" s="32"/>
      <c r="N48" s="191"/>
      <c r="O48" s="185">
        <v>2018</v>
      </c>
      <c r="P48" s="186">
        <v>2019</v>
      </c>
      <c r="Q48" s="186">
        <v>2020</v>
      </c>
      <c r="R48" s="186">
        <v>2021</v>
      </c>
      <c r="S48" s="186">
        <v>2022</v>
      </c>
      <c r="T48" s="123" t="s">
        <v>92</v>
      </c>
      <c r="U48" s="118"/>
      <c r="V48" s="36"/>
      <c r="W48" s="36"/>
      <c r="X48" s="36"/>
      <c r="Y48" s="32"/>
    </row>
    <row r="49" spans="1:25" ht="18" customHeight="1" x14ac:dyDescent="0.2">
      <c r="A49" s="36"/>
      <c r="B49" s="288" t="s">
        <v>192</v>
      </c>
      <c r="C49" s="596">
        <f>$C$45*S4</f>
        <v>9.3929946919658249</v>
      </c>
      <c r="D49" s="597">
        <f>$C$45*S4</f>
        <v>9.3929946919658249</v>
      </c>
      <c r="E49" s="597">
        <f>$C$45*S4</f>
        <v>9.3929946919658249</v>
      </c>
      <c r="F49" s="597">
        <f>$C$45*S4</f>
        <v>9.3929946919658249</v>
      </c>
      <c r="G49" s="597">
        <f>$C$45*S4</f>
        <v>9.3929946919658249</v>
      </c>
      <c r="H49" s="55">
        <f>SUM(C49:G49)</f>
        <v>46.964973459829125</v>
      </c>
      <c r="I49" s="118"/>
      <c r="J49" s="36"/>
      <c r="K49" s="36"/>
      <c r="L49" s="36"/>
      <c r="M49" s="32"/>
      <c r="N49" s="288" t="s">
        <v>192</v>
      </c>
      <c r="O49" s="596">
        <f>$O$45*S4</f>
        <v>8.677045437558871E-2</v>
      </c>
      <c r="P49" s="597">
        <f>$O$45*S4</f>
        <v>8.677045437558871E-2</v>
      </c>
      <c r="Q49" s="597">
        <f>$O$45*S4</f>
        <v>8.677045437558871E-2</v>
      </c>
      <c r="R49" s="597">
        <f>$O$45*S4</f>
        <v>8.677045437558871E-2</v>
      </c>
      <c r="S49" s="597">
        <f>$O$45*S4</f>
        <v>8.677045437558871E-2</v>
      </c>
      <c r="T49" s="55">
        <f>SUM(O49:S49)</f>
        <v>0.43385227187794356</v>
      </c>
      <c r="U49" s="118"/>
      <c r="V49" s="36"/>
      <c r="W49" s="36"/>
      <c r="X49" s="36"/>
      <c r="Y49" s="32"/>
    </row>
    <row r="50" spans="1:25" ht="18" customHeight="1" x14ac:dyDescent="0.2">
      <c r="A50" s="36"/>
      <c r="B50" s="425" t="s">
        <v>193</v>
      </c>
      <c r="C50" s="55">
        <f>$C$46*'Capex Category Summary (Vic)'!AO76</f>
        <v>2.0349885498274536</v>
      </c>
      <c r="D50" s="54">
        <f>$C$46*'Capex Category Summary (Vic)'!AP76</f>
        <v>2.3895926586822518</v>
      </c>
      <c r="E50" s="54">
        <f>$C$46*'Capex Category Summary (Vic)'!AQ76</f>
        <v>2.2611188946680079</v>
      </c>
      <c r="F50" s="54">
        <f>$C$46*'Capex Category Summary (Vic)'!AR76</f>
        <v>1.8271517093358964</v>
      </c>
      <c r="G50" s="54">
        <f>$C$46*'Capex Category Summary (Vic)'!AS76</f>
        <v>1.2446433781422643</v>
      </c>
      <c r="H50" s="55">
        <f>SUM(C50:G50)</f>
        <v>9.7574951906558738</v>
      </c>
      <c r="I50" s="32"/>
      <c r="J50" s="36"/>
      <c r="K50" s="36"/>
      <c r="L50" s="36"/>
      <c r="M50" s="32"/>
      <c r="N50" s="288" t="s">
        <v>61</v>
      </c>
      <c r="O50" s="55">
        <f>$O$46*'Capex Category Summary (Alb)'!AO76</f>
        <v>3.8938925869095503E-2</v>
      </c>
      <c r="P50" s="54">
        <f>$O$46*'Capex Category Summary (Alb)'!AP76</f>
        <v>4.7745853482578475E-2</v>
      </c>
      <c r="Q50" s="54">
        <f>$O$46*'Capex Category Summary (Alb)'!AQ76</f>
        <v>4.3648611856483215E-2</v>
      </c>
      <c r="R50" s="54">
        <f>$O$46*'Capex Category Summary (Alb)'!AR76</f>
        <v>3.6758918776650149E-2</v>
      </c>
      <c r="S50" s="54">
        <f>$O$46*'Capex Category Summary (Alb)'!AS76</f>
        <v>3.5105167974026262E-2</v>
      </c>
      <c r="T50" s="55">
        <f>SUM(O50:S50)</f>
        <v>0.20219747795883361</v>
      </c>
      <c r="U50" s="32"/>
      <c r="V50" s="36"/>
      <c r="W50" s="36"/>
      <c r="X50" s="36"/>
      <c r="Y50" s="32"/>
    </row>
    <row r="51" spans="1:25" ht="18" customHeight="1" thickBot="1" x14ac:dyDescent="0.25">
      <c r="A51" s="36"/>
      <c r="B51" s="533" t="s">
        <v>376</v>
      </c>
      <c r="C51" s="48">
        <f>SUM(C49:C50)</f>
        <v>11.427983241793278</v>
      </c>
      <c r="D51" s="47">
        <f t="shared" ref="D51:G51" si="23">SUM(D49:D50)</f>
        <v>11.782587350648077</v>
      </c>
      <c r="E51" s="47">
        <f t="shared" si="23"/>
        <v>11.654113586633834</v>
      </c>
      <c r="F51" s="47">
        <f t="shared" si="23"/>
        <v>11.220146401301722</v>
      </c>
      <c r="G51" s="47">
        <f t="shared" si="23"/>
        <v>10.637638070108089</v>
      </c>
      <c r="H51" s="48">
        <f>SUM(C51:G51)</f>
        <v>56.722468650485006</v>
      </c>
      <c r="I51" s="32"/>
      <c r="J51" s="36"/>
      <c r="K51" s="36"/>
      <c r="L51" s="36"/>
      <c r="M51" s="32"/>
      <c r="N51" s="289" t="s">
        <v>222</v>
      </c>
      <c r="O51" s="48">
        <f>SUM(O49:O50)</f>
        <v>0.1257093802446842</v>
      </c>
      <c r="P51" s="47">
        <f t="shared" ref="P51:S51" si="24">SUM(P49:P50)</f>
        <v>0.13451630785816718</v>
      </c>
      <c r="Q51" s="47">
        <f t="shared" si="24"/>
        <v>0.13041906623207192</v>
      </c>
      <c r="R51" s="47">
        <f t="shared" si="24"/>
        <v>0.12352937315223886</v>
      </c>
      <c r="S51" s="47">
        <f t="shared" si="24"/>
        <v>0.12187562234961496</v>
      </c>
      <c r="T51" s="48">
        <f>SUM(O51:S51)</f>
        <v>0.6360497498367772</v>
      </c>
      <c r="U51" s="32"/>
      <c r="V51" s="36"/>
      <c r="W51" s="36"/>
      <c r="X51" s="36"/>
      <c r="Y51" s="32"/>
    </row>
    <row r="52" spans="1:25" ht="18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6"/>
      <c r="K52" s="36"/>
      <c r="L52" s="36"/>
      <c r="M52" s="32"/>
      <c r="N52" s="32"/>
      <c r="O52" s="32"/>
      <c r="P52" s="32"/>
      <c r="Q52" s="32"/>
      <c r="R52" s="32"/>
      <c r="S52" s="32"/>
      <c r="T52" s="32"/>
      <c r="U52" s="32"/>
      <c r="V52" s="36"/>
      <c r="W52" s="36"/>
      <c r="X52" s="36"/>
      <c r="Y52" s="32"/>
    </row>
    <row r="53" spans="1:25" ht="18" customHeight="1" x14ac:dyDescent="0.2">
      <c r="A53" s="32"/>
      <c r="B53" s="538" t="s">
        <v>382</v>
      </c>
      <c r="C53" s="442">
        <f>'Consolidated Summary (Vic)'!L52/'Consolidated Summary (Vic)'!L36-1</f>
        <v>0.11629438024038286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440" t="str">
        <f>B53</f>
        <v>Equivalent to applying the following overheads percentage to total escalated capex</v>
      </c>
      <c r="O53" s="442">
        <f>'Consolidated Summary (Alb)'!L52/'Consolidated Summary (Alb)'!L36-1</f>
        <v>5.6008607455616533E-2</v>
      </c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1:25" ht="18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ht="18" customHeight="1" x14ac:dyDescent="0.2"/>
    <row r="57" spans="1:25" ht="18" customHeight="1" x14ac:dyDescent="0.2"/>
    <row r="59" spans="1:25" ht="18" customHeight="1" x14ac:dyDescent="0.2"/>
    <row r="60" spans="1:25" ht="18" customHeight="1" x14ac:dyDescent="0.2"/>
    <row r="61" spans="1:25" ht="18" customHeight="1" x14ac:dyDescent="0.2"/>
    <row r="62" spans="1:25" ht="18" customHeight="1" x14ac:dyDescent="0.2"/>
    <row r="63" spans="1:25" ht="18" customHeight="1" x14ac:dyDescent="0.2"/>
    <row r="76" ht="18" customHeight="1" x14ac:dyDescent="0.2"/>
  </sheetData>
  <mergeCells count="10">
    <mergeCell ref="U29:V29"/>
    <mergeCell ref="W29:X29"/>
    <mergeCell ref="O29:P29"/>
    <mergeCell ref="Q29:R29"/>
    <mergeCell ref="S29:T29"/>
    <mergeCell ref="I29:J29"/>
    <mergeCell ref="K29:L29"/>
    <mergeCell ref="C29:D29"/>
    <mergeCell ref="E29:F29"/>
    <mergeCell ref="G29:H29"/>
  </mergeCells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Cover</vt:lpstr>
      <vt:lpstr>Contents</vt:lpstr>
      <vt:lpstr>Capex Model Category Index</vt:lpstr>
      <vt:lpstr>Mapping</vt:lpstr>
      <vt:lpstr>CPI</vt:lpstr>
      <vt:lpstr>Growth Capex Volumes</vt:lpstr>
      <vt:lpstr>Business Cases</vt:lpstr>
      <vt:lpstr>Real Cost Escalation</vt:lpstr>
      <vt:lpstr>Overheads</vt:lpstr>
      <vt:lpstr>Capex Category Summary (Vic)</vt:lpstr>
      <vt:lpstr>Capex Category Summary (Alb)</vt:lpstr>
      <vt:lpstr>Capex Category Summary (Comb)</vt:lpstr>
      <vt:lpstr>Overheads (Vic)</vt:lpstr>
      <vt:lpstr>Overheads (Alb)</vt:lpstr>
      <vt:lpstr>Overheads (Comb)</vt:lpstr>
      <vt:lpstr>Consolidated Summary (Vic)</vt:lpstr>
      <vt:lpstr>Consolidated Summary (Alb)</vt:lpstr>
      <vt:lpstr>Consolidated Summary (Comb) $17</vt:lpstr>
      <vt:lpstr>PTRM Input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2017-07-03T01:36:52Z</dcterms:created>
  <dcterms:modified xsi:type="dcterms:W3CDTF">2017-11-27T02:06:30Z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