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0" windowWidth="18195" windowHeight="8580" tabRatio="871"/>
  </bookViews>
  <sheets>
    <sheet name="PTRM Inputs" sheetId="20" r:id="rId1"/>
    <sheet name="Instructions" sheetId="15" r:id="rId2"/>
    <sheet name="DNSP Data Inputs 2013-15" sheetId="16" r:id="rId3"/>
    <sheet name="Data 2006-08" sheetId="3" r:id="rId4"/>
    <sheet name="Data 2009-12" sheetId="19" r:id="rId5"/>
    <sheet name="Data 2009-15 (Real $2008)" sheetId="4" r:id="rId6"/>
    <sheet name="Tariff Compliance" sheetId="14" r:id="rId7"/>
    <sheet name="AMI Building Blocks 2009-15" sheetId="13" r:id="rId8"/>
    <sheet name="AMI Tax Depn 2009-15" sheetId="17" r:id="rId9"/>
    <sheet name="AMI RAB 2009-15" sheetId="12" r:id="rId10"/>
    <sheet name="Offset of Costs and Rev 2006-08" sheetId="8" r:id="rId11"/>
    <sheet name="IMRO Decision 2006-10" sheetId="6" r:id="rId12"/>
  </sheets>
  <definedNames>
    <definedName name="conv" localSheetId="1">Instructions!$B$14</definedName>
    <definedName name="conv">#REF!</definedName>
    <definedName name="_xlnm.Print_Area" localSheetId="4">'Data 2009-12'!$A$1:$L$125</definedName>
    <definedName name="_xlnm.Print_Area" localSheetId="5">'Data 2009-15 (Real $2008)'!$A$1:$L$125</definedName>
    <definedName name="_xlnm.Print_Area" localSheetId="2">'DNSP Data Inputs 2013-15'!$A$1:$L$120</definedName>
    <definedName name="_xlnm.Print_Area" localSheetId="1">Instructions!$A$3:$G$13</definedName>
  </definedNames>
  <calcPr calcId="145621"/>
</workbook>
</file>

<file path=xl/calcChain.xml><?xml version="1.0" encoding="utf-8"?>
<calcChain xmlns="http://schemas.openxmlformats.org/spreadsheetml/2006/main">
  <c r="I14" i="20" l="1"/>
  <c r="I15" i="20" s="1"/>
  <c r="D7" i="20" s="1"/>
  <c r="D8" i="20" l="1"/>
  <c r="D5" i="20"/>
  <c r="D6" i="20"/>
  <c r="N153" i="4"/>
  <c r="J144" i="4" s="1"/>
  <c r="H14" i="20" s="1"/>
  <c r="A20" i="20"/>
  <c r="G14" i="20"/>
  <c r="F14" i="20"/>
  <c r="E14" i="20"/>
  <c r="D14" i="20"/>
  <c r="C14" i="20"/>
  <c r="B14" i="20"/>
  <c r="H13" i="20"/>
  <c r="G13" i="20"/>
  <c r="F13" i="20"/>
  <c r="E13" i="20"/>
  <c r="D13" i="20"/>
  <c r="C13" i="20"/>
  <c r="B13" i="20"/>
  <c r="H12" i="20"/>
  <c r="G12" i="20"/>
  <c r="F12" i="20"/>
  <c r="E12" i="20"/>
  <c r="D12" i="20"/>
  <c r="C12" i="20"/>
  <c r="B12" i="20"/>
  <c r="E8" i="20"/>
  <c r="E7" i="20"/>
  <c r="B54" i="20" s="1"/>
  <c r="E6" i="20"/>
  <c r="E5" i="20"/>
  <c r="B26" i="20" s="1"/>
  <c r="D77" i="20"/>
  <c r="D76" i="20"/>
  <c r="D75" i="20"/>
  <c r="D74" i="20"/>
  <c r="D73" i="20"/>
  <c r="D72" i="20"/>
  <c r="D71" i="20"/>
  <c r="D63" i="20"/>
  <c r="D62" i="20"/>
  <c r="D61" i="20"/>
  <c r="D60" i="20"/>
  <c r="D59" i="20"/>
  <c r="D58" i="20"/>
  <c r="D57" i="20"/>
  <c r="D49" i="20"/>
  <c r="D48" i="20"/>
  <c r="D47" i="20"/>
  <c r="D46" i="20"/>
  <c r="D45" i="20"/>
  <c r="D44" i="20"/>
  <c r="D43" i="20"/>
  <c r="D35" i="20"/>
  <c r="D34" i="20"/>
  <c r="D33" i="20"/>
  <c r="D32" i="20"/>
  <c r="D31" i="20"/>
  <c r="D30" i="20"/>
  <c r="D29" i="20"/>
  <c r="B8" i="20"/>
  <c r="A8" i="20"/>
  <c r="B7" i="20"/>
  <c r="A7" i="20"/>
  <c r="A53" i="20" s="1"/>
  <c r="B6" i="20"/>
  <c r="A6" i="20"/>
  <c r="A39" i="20" s="1"/>
  <c r="B5" i="20"/>
  <c r="A5" i="20"/>
  <c r="A25" i="20" s="1"/>
  <c r="B4" i="20"/>
  <c r="C76" i="20"/>
  <c r="C75" i="20" s="1"/>
  <c r="C74" i="20" s="1"/>
  <c r="C73" i="20" s="1"/>
  <c r="C72" i="20" s="1"/>
  <c r="C71" i="20" s="1"/>
  <c r="B72" i="20"/>
  <c r="B73" i="20" s="1"/>
  <c r="B74" i="20" s="1"/>
  <c r="B75" i="20" s="1"/>
  <c r="B76" i="20" s="1"/>
  <c r="B77" i="20" s="1"/>
  <c r="C62" i="20"/>
  <c r="C61" i="20" s="1"/>
  <c r="C60" i="20" s="1"/>
  <c r="C59" i="20" s="1"/>
  <c r="C58" i="20" s="1"/>
  <c r="C57" i="20" s="1"/>
  <c r="B59" i="20"/>
  <c r="B60" i="20" s="1"/>
  <c r="B61" i="20" s="1"/>
  <c r="B62" i="20" s="1"/>
  <c r="B63" i="20" s="1"/>
  <c r="B58" i="20"/>
  <c r="C48" i="20"/>
  <c r="C47" i="20" s="1"/>
  <c r="C46" i="20" s="1"/>
  <c r="C45" i="20" s="1"/>
  <c r="C44" i="20" s="1"/>
  <c r="C43" i="20" s="1"/>
  <c r="B44" i="20"/>
  <c r="B45" i="20" s="1"/>
  <c r="B46" i="20" s="1"/>
  <c r="B47" i="20" s="1"/>
  <c r="B48" i="20" s="1"/>
  <c r="B49" i="20" s="1"/>
  <c r="C34" i="20"/>
  <c r="C33" i="20" s="1"/>
  <c r="C32" i="20" s="1"/>
  <c r="C31" i="20" s="1"/>
  <c r="C30" i="20" s="1"/>
  <c r="C29" i="20" s="1"/>
  <c r="B30" i="20"/>
  <c r="B31" i="20" s="1"/>
  <c r="B32" i="20" s="1"/>
  <c r="B33" i="20" s="1"/>
  <c r="B34" i="20" s="1"/>
  <c r="B35" i="20" s="1"/>
  <c r="B15" i="20"/>
  <c r="C15" i="20" s="1"/>
  <c r="D15" i="20" s="1"/>
  <c r="E15" i="20" s="1"/>
  <c r="F15" i="20" s="1"/>
  <c r="G15" i="20" s="1"/>
  <c r="B68" i="20"/>
  <c r="A67" i="20"/>
  <c r="B40" i="20"/>
  <c r="B9" i="20"/>
  <c r="H15" i="20" l="1"/>
  <c r="F47" i="20"/>
  <c r="E47" i="20" s="1"/>
  <c r="F43" i="20"/>
  <c r="F46" i="20"/>
  <c r="E46" i="20" s="1"/>
  <c r="F45" i="20"/>
  <c r="E45" i="20" s="1"/>
  <c r="F49" i="20"/>
  <c r="E49" i="20" s="1"/>
  <c r="F48" i="20"/>
  <c r="E48" i="20" s="1"/>
  <c r="F44" i="20"/>
  <c r="E44" i="20" s="1"/>
  <c r="F59" i="20"/>
  <c r="E59" i="20" s="1"/>
  <c r="F63" i="20"/>
  <c r="E63" i="20" s="1"/>
  <c r="F62" i="20"/>
  <c r="E62" i="20" s="1"/>
  <c r="F58" i="20"/>
  <c r="E58" i="20" s="1"/>
  <c r="F61" i="20"/>
  <c r="E61" i="20" s="1"/>
  <c r="F57" i="20"/>
  <c r="F60" i="20"/>
  <c r="E60" i="20" s="1"/>
  <c r="F75" i="20"/>
  <c r="E75" i="20" s="1"/>
  <c r="F71" i="20"/>
  <c r="F74" i="20"/>
  <c r="E74" i="20" s="1"/>
  <c r="F73" i="20"/>
  <c r="E73" i="20" s="1"/>
  <c r="F77" i="20"/>
  <c r="E77" i="20" s="1"/>
  <c r="F76" i="20"/>
  <c r="E76" i="20" s="1"/>
  <c r="F72" i="20"/>
  <c r="E72" i="20" s="1"/>
  <c r="F31" i="20"/>
  <c r="E31" i="20" s="1"/>
  <c r="F35" i="20"/>
  <c r="E35" i="20" s="1"/>
  <c r="F34" i="20"/>
  <c r="E34" i="20" s="1"/>
  <c r="F30" i="20"/>
  <c r="E30" i="20" s="1"/>
  <c r="F33" i="20"/>
  <c r="E33" i="20" s="1"/>
  <c r="F29" i="20"/>
  <c r="F32" i="20"/>
  <c r="E32" i="20" s="1"/>
  <c r="I144" i="4"/>
  <c r="E71" i="20" l="1"/>
  <c r="E78" i="20" s="1"/>
  <c r="E29" i="20"/>
  <c r="E36" i="20" s="1"/>
  <c r="E57" i="20"/>
  <c r="E64" i="20" s="1"/>
  <c r="E43" i="20"/>
  <c r="E50" i="20" s="1"/>
  <c r="I116" i="16"/>
  <c r="I115" i="16"/>
  <c r="I114" i="16"/>
  <c r="I113" i="16"/>
  <c r="I112" i="16"/>
  <c r="I111" i="16"/>
  <c r="I110" i="16"/>
  <c r="I109" i="16"/>
  <c r="I108" i="16"/>
  <c r="I107" i="16"/>
  <c r="I106" i="16"/>
  <c r="I102" i="16"/>
  <c r="I101" i="16"/>
  <c r="I100" i="16"/>
  <c r="I99" i="16"/>
  <c r="I98" i="16"/>
  <c r="I97" i="16"/>
  <c r="I96" i="16"/>
  <c r="I95" i="16"/>
  <c r="I94" i="16"/>
  <c r="I93" i="16"/>
  <c r="I92" i="16"/>
  <c r="I88" i="16"/>
  <c r="I87" i="16"/>
  <c r="I86" i="16"/>
  <c r="I85" i="16"/>
  <c r="I84" i="16"/>
  <c r="I83" i="16"/>
  <c r="I82" i="16"/>
  <c r="I78" i="16"/>
  <c r="I77" i="16"/>
  <c r="I76" i="16"/>
  <c r="I75" i="16"/>
  <c r="I74" i="16"/>
  <c r="I73" i="16"/>
  <c r="I72" i="16"/>
  <c r="H59" i="16"/>
  <c r="G36" i="20" l="1"/>
  <c r="F36" i="20"/>
  <c r="G78" i="20"/>
  <c r="F78" i="20"/>
  <c r="G50" i="20"/>
  <c r="F50" i="20"/>
  <c r="G64" i="20"/>
  <c r="F64" i="20"/>
  <c r="F8" i="20"/>
  <c r="J8" i="20" s="1"/>
  <c r="D9" i="20"/>
  <c r="B24" i="20"/>
  <c r="F5" i="20"/>
  <c r="J5" i="20" s="1"/>
  <c r="F7" i="20"/>
  <c r="J7" i="20" s="1"/>
  <c r="F6" i="20"/>
  <c r="J6" i="20" s="1"/>
  <c r="G55" i="4"/>
  <c r="G48" i="4"/>
  <c r="G47" i="4"/>
  <c r="G46" i="4"/>
  <c r="G45" i="4"/>
  <c r="G44" i="4"/>
  <c r="G43" i="4"/>
  <c r="G39" i="4"/>
  <c r="G38" i="4"/>
  <c r="G37" i="4"/>
  <c r="G40" i="4" s="1"/>
  <c r="G36" i="4"/>
  <c r="G35" i="4"/>
  <c r="G34" i="4"/>
  <c r="G23" i="4"/>
  <c r="G15" i="4"/>
  <c r="G14" i="4"/>
  <c r="G13" i="4"/>
  <c r="G12" i="4"/>
  <c r="G11" i="4"/>
  <c r="G10" i="4"/>
  <c r="G60" i="4" l="1"/>
  <c r="H60" i="4"/>
  <c r="H8" i="14" s="1"/>
  <c r="G40" i="19" l="1"/>
  <c r="I114" i="4" l="1"/>
  <c r="I113" i="4"/>
  <c r="I112" i="4"/>
  <c r="N152" i="4" l="1"/>
  <c r="N151" i="4"/>
  <c r="H144" i="4" l="1"/>
  <c r="G8" i="14" l="1"/>
  <c r="F10" i="4"/>
  <c r="F60" i="4"/>
  <c r="E60" i="4"/>
  <c r="D60" i="4"/>
  <c r="F55" i="4"/>
  <c r="E55" i="4"/>
  <c r="D55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23" i="4"/>
  <c r="E23" i="4"/>
  <c r="D23" i="4"/>
  <c r="F15" i="4"/>
  <c r="E15" i="4"/>
  <c r="D15" i="4"/>
  <c r="F14" i="4"/>
  <c r="E14" i="4"/>
  <c r="D14" i="4"/>
  <c r="F13" i="4"/>
  <c r="E13" i="4"/>
  <c r="D13" i="4"/>
  <c r="F12" i="4"/>
  <c r="E12" i="4"/>
  <c r="D12" i="4"/>
  <c r="F11" i="4"/>
  <c r="E11" i="4"/>
  <c r="D11" i="4"/>
  <c r="E10" i="4"/>
  <c r="D10" i="4"/>
  <c r="H114" i="4"/>
  <c r="H113" i="4"/>
  <c r="H112" i="4"/>
  <c r="G114" i="4" l="1"/>
  <c r="G113" i="4"/>
  <c r="G112" i="4"/>
  <c r="N147" i="4" l="1"/>
  <c r="G144" i="4" s="1"/>
  <c r="E40" i="4"/>
  <c r="F8" i="14"/>
  <c r="G31" i="12" l="1"/>
  <c r="G41" i="12"/>
  <c r="Q116" i="4"/>
  <c r="N74" i="14" s="1"/>
  <c r="J116" i="4"/>
  <c r="H74" i="14" s="1"/>
  <c r="G74" i="14"/>
  <c r="J115" i="4"/>
  <c r="H73" i="14" s="1"/>
  <c r="G73" i="14"/>
  <c r="J113" i="4"/>
  <c r="H71" i="14" s="1"/>
  <c r="G71" i="14"/>
  <c r="Q111" i="4"/>
  <c r="N69" i="14" s="1"/>
  <c r="P111" i="4"/>
  <c r="M69" i="14" s="1"/>
  <c r="O111" i="4"/>
  <c r="G69" i="14"/>
  <c r="Q110" i="4"/>
  <c r="N68" i="14" s="1"/>
  <c r="P110" i="4"/>
  <c r="M68" i="14" s="1"/>
  <c r="J110" i="4"/>
  <c r="H68" i="14" s="1"/>
  <c r="G68" i="14"/>
  <c r="Q109" i="4"/>
  <c r="N67" i="14" s="1"/>
  <c r="J109" i="4"/>
  <c r="H67" i="14" s="1"/>
  <c r="G67" i="14"/>
  <c r="J108" i="4"/>
  <c r="H66" i="14" s="1"/>
  <c r="G66" i="14"/>
  <c r="O107" i="4"/>
  <c r="J107" i="4"/>
  <c r="H65" i="14" s="1"/>
  <c r="G65" i="14"/>
  <c r="P106" i="4"/>
  <c r="M64" i="14" s="1"/>
  <c r="O106" i="4"/>
  <c r="J106" i="4"/>
  <c r="H64" i="14" s="1"/>
  <c r="J102" i="4"/>
  <c r="H60" i="14" s="1"/>
  <c r="G60" i="14"/>
  <c r="O101" i="4"/>
  <c r="J101" i="4"/>
  <c r="H59" i="14" s="1"/>
  <c r="G59" i="14"/>
  <c r="P100" i="4"/>
  <c r="M58" i="14" s="1"/>
  <c r="O100" i="4"/>
  <c r="J100" i="4"/>
  <c r="H58" i="14" s="1"/>
  <c r="G58" i="14"/>
  <c r="Q99" i="4"/>
  <c r="N57" i="14" s="1"/>
  <c r="P99" i="4"/>
  <c r="M57" i="14" s="1"/>
  <c r="O99" i="4"/>
  <c r="G57" i="14"/>
  <c r="Q98" i="4"/>
  <c r="N56" i="14" s="1"/>
  <c r="P98" i="4"/>
  <c r="M56" i="14" s="1"/>
  <c r="O98" i="4"/>
  <c r="Q97" i="4"/>
  <c r="N55" i="14" s="1"/>
  <c r="P97" i="4"/>
  <c r="M55" i="14" s="1"/>
  <c r="O97" i="4"/>
  <c r="G55" i="14"/>
  <c r="Q96" i="4"/>
  <c r="N54" i="14" s="1"/>
  <c r="P96" i="4"/>
  <c r="M54" i="14" s="1"/>
  <c r="O96" i="4"/>
  <c r="J96" i="4"/>
  <c r="H54" i="14" s="1"/>
  <c r="G54" i="14"/>
  <c r="Q95" i="4"/>
  <c r="N53" i="14" s="1"/>
  <c r="J95" i="4"/>
  <c r="H53" i="14" s="1"/>
  <c r="G53" i="14"/>
  <c r="P94" i="4"/>
  <c r="M52" i="14" s="1"/>
  <c r="J94" i="4"/>
  <c r="H52" i="14" s="1"/>
  <c r="G52" i="14"/>
  <c r="O93" i="4"/>
  <c r="J93" i="4"/>
  <c r="H51" i="14" s="1"/>
  <c r="G51" i="14"/>
  <c r="P92" i="4"/>
  <c r="M50" i="14" s="1"/>
  <c r="O92" i="4"/>
  <c r="J92" i="4"/>
  <c r="H50" i="14" s="1"/>
  <c r="P88" i="4"/>
  <c r="M46" i="14" s="1"/>
  <c r="J88" i="4"/>
  <c r="H46" i="14" s="1"/>
  <c r="G46" i="14"/>
  <c r="O87" i="4"/>
  <c r="J87" i="4"/>
  <c r="H45" i="14" s="1"/>
  <c r="G45" i="14"/>
  <c r="P86" i="4"/>
  <c r="M44" i="14" s="1"/>
  <c r="O86" i="4"/>
  <c r="J86" i="4"/>
  <c r="H44" i="14" s="1"/>
  <c r="Q85" i="4"/>
  <c r="N43" i="14" s="1"/>
  <c r="P85" i="4"/>
  <c r="M43" i="14" s="1"/>
  <c r="O85" i="4"/>
  <c r="Q84" i="4"/>
  <c r="N42" i="14" s="1"/>
  <c r="P84" i="4"/>
  <c r="M42" i="14" s="1"/>
  <c r="O84" i="4"/>
  <c r="Q83" i="4"/>
  <c r="N41" i="14" s="1"/>
  <c r="P83" i="4"/>
  <c r="M41" i="14" s="1"/>
  <c r="O83" i="4"/>
  <c r="G41" i="14"/>
  <c r="Q82" i="4"/>
  <c r="N40" i="14" s="1"/>
  <c r="P82" i="4"/>
  <c r="M40" i="14" s="1"/>
  <c r="J82" i="4"/>
  <c r="H40" i="14" s="1"/>
  <c r="G40" i="14"/>
  <c r="Q78" i="4"/>
  <c r="N36" i="14" s="1"/>
  <c r="P78" i="4"/>
  <c r="M36" i="14" s="1"/>
  <c r="O78" i="4"/>
  <c r="Q77" i="4"/>
  <c r="N35" i="14" s="1"/>
  <c r="P77" i="4"/>
  <c r="M35" i="14" s="1"/>
  <c r="O77" i="4"/>
  <c r="G35" i="14"/>
  <c r="Q76" i="4"/>
  <c r="N34" i="14" s="1"/>
  <c r="P76" i="4"/>
  <c r="M34" i="14" s="1"/>
  <c r="J76" i="4"/>
  <c r="H34" i="14" s="1"/>
  <c r="G34" i="14"/>
  <c r="Q75" i="4"/>
  <c r="N33" i="14" s="1"/>
  <c r="P75" i="4"/>
  <c r="M33" i="14" s="1"/>
  <c r="J75" i="4"/>
  <c r="H33" i="14" s="1"/>
  <c r="G33" i="14"/>
  <c r="Q74" i="4"/>
  <c r="N32" i="14" s="1"/>
  <c r="J74" i="4"/>
  <c r="H32" i="14" s="1"/>
  <c r="G32" i="14"/>
  <c r="Q73" i="4"/>
  <c r="N31" i="14" s="1"/>
  <c r="O73" i="4"/>
  <c r="J73" i="4"/>
  <c r="H31" i="14" s="1"/>
  <c r="G31" i="14"/>
  <c r="P72" i="4"/>
  <c r="M30" i="14" s="1"/>
  <c r="O72" i="4"/>
  <c r="J72" i="4"/>
  <c r="H30" i="14" s="1"/>
  <c r="G73" i="12"/>
  <c r="F53" i="12"/>
  <c r="E53" i="12"/>
  <c r="E33" i="12"/>
  <c r="F23" i="12"/>
  <c r="E32" i="12"/>
  <c r="P116" i="4"/>
  <c r="M74" i="14" s="1"/>
  <c r="O116" i="4"/>
  <c r="P115" i="4"/>
  <c r="M73" i="14" s="1"/>
  <c r="O115" i="4"/>
  <c r="J111" i="4"/>
  <c r="H69" i="14" s="1"/>
  <c r="O110" i="4"/>
  <c r="P109" i="4"/>
  <c r="M67" i="14" s="1"/>
  <c r="O109" i="4"/>
  <c r="Q108" i="4"/>
  <c r="N66" i="14" s="1"/>
  <c r="P108" i="4"/>
  <c r="M66" i="14" s="1"/>
  <c r="O108" i="4"/>
  <c r="Q107" i="4"/>
  <c r="N65" i="14" s="1"/>
  <c r="P107" i="4"/>
  <c r="M65" i="14" s="1"/>
  <c r="Q106" i="4"/>
  <c r="N64" i="14" s="1"/>
  <c r="G64" i="14"/>
  <c r="Q102" i="4"/>
  <c r="N60" i="14" s="1"/>
  <c r="P102" i="4"/>
  <c r="M60" i="14" s="1"/>
  <c r="O102" i="4"/>
  <c r="Q101" i="4"/>
  <c r="N59" i="14" s="1"/>
  <c r="P101" i="4"/>
  <c r="M59" i="14" s="1"/>
  <c r="Q100" i="4"/>
  <c r="N58" i="14" s="1"/>
  <c r="J99" i="4"/>
  <c r="H57" i="14" s="1"/>
  <c r="J98" i="4"/>
  <c r="H56" i="14" s="1"/>
  <c r="G56" i="14"/>
  <c r="J97" i="4"/>
  <c r="H55" i="14" s="1"/>
  <c r="P95" i="4"/>
  <c r="M53" i="14" s="1"/>
  <c r="O95" i="4"/>
  <c r="Q94" i="4"/>
  <c r="N52" i="14" s="1"/>
  <c r="O94" i="4"/>
  <c r="Q93" i="4"/>
  <c r="N51" i="14" s="1"/>
  <c r="P93" i="4"/>
  <c r="M51" i="14" s="1"/>
  <c r="Q92" i="4"/>
  <c r="N50" i="14" s="1"/>
  <c r="G50" i="14"/>
  <c r="Q88" i="4"/>
  <c r="N46" i="14" s="1"/>
  <c r="O88" i="4"/>
  <c r="Q87" i="4"/>
  <c r="N45" i="14" s="1"/>
  <c r="P87" i="4"/>
  <c r="M45" i="14" s="1"/>
  <c r="Q86" i="4"/>
  <c r="N44" i="14" s="1"/>
  <c r="G44" i="14"/>
  <c r="J85" i="4"/>
  <c r="H43" i="14" s="1"/>
  <c r="G43" i="14"/>
  <c r="J84" i="4"/>
  <c r="H42" i="14" s="1"/>
  <c r="G42" i="14"/>
  <c r="J83" i="4"/>
  <c r="H41" i="14" s="1"/>
  <c r="O82" i="4"/>
  <c r="J78" i="4"/>
  <c r="H36" i="14" s="1"/>
  <c r="G36" i="14"/>
  <c r="J77" i="4"/>
  <c r="H35" i="14" s="1"/>
  <c r="O76" i="4"/>
  <c r="O75" i="4"/>
  <c r="P74" i="4"/>
  <c r="M32" i="14" s="1"/>
  <c r="O74" i="4"/>
  <c r="P73" i="4"/>
  <c r="M31" i="14" s="1"/>
  <c r="Q72" i="4"/>
  <c r="N30" i="14" s="1"/>
  <c r="G30" i="14"/>
  <c r="A27" i="6"/>
  <c r="D40" i="6"/>
  <c r="D63" i="6"/>
  <c r="E63" i="6"/>
  <c r="E278" i="6" s="1"/>
  <c r="F63" i="6"/>
  <c r="G63" i="6"/>
  <c r="H63" i="6"/>
  <c r="D64" i="6"/>
  <c r="E64" i="6"/>
  <c r="F64" i="6"/>
  <c r="G64" i="6"/>
  <c r="H64" i="6"/>
  <c r="D65" i="6"/>
  <c r="E65" i="6"/>
  <c r="F65" i="6"/>
  <c r="G65" i="6"/>
  <c r="H65" i="6"/>
  <c r="D67" i="6"/>
  <c r="E67" i="6"/>
  <c r="F67" i="6"/>
  <c r="G67" i="6"/>
  <c r="H67" i="6"/>
  <c r="D71" i="6"/>
  <c r="D73" i="6"/>
  <c r="D75" i="6" s="1"/>
  <c r="D74" i="6"/>
  <c r="D76" i="6"/>
  <c r="D104" i="6"/>
  <c r="D106" i="6" s="1"/>
  <c r="D114" i="6" s="1"/>
  <c r="E104" i="6"/>
  <c r="F104" i="6"/>
  <c r="F106" i="6" s="1"/>
  <c r="G104" i="6"/>
  <c r="G106" i="6" s="1"/>
  <c r="H104" i="6"/>
  <c r="D105" i="6"/>
  <c r="E105" i="6"/>
  <c r="E196" i="3" s="1"/>
  <c r="E198" i="3" s="1"/>
  <c r="E106" i="6"/>
  <c r="E114" i="6" s="1"/>
  <c r="E55" i="6" s="1"/>
  <c r="E9" i="6" s="1"/>
  <c r="E18" i="6" s="1"/>
  <c r="F105" i="6"/>
  <c r="F196" i="3" s="1"/>
  <c r="G105" i="6"/>
  <c r="H105" i="6"/>
  <c r="H106" i="6"/>
  <c r="D109" i="6"/>
  <c r="E109" i="6"/>
  <c r="F109" i="6"/>
  <c r="G109" i="6"/>
  <c r="G112" i="6" s="1"/>
  <c r="G114" i="6" s="1"/>
  <c r="H109" i="6"/>
  <c r="D111" i="6"/>
  <c r="E111" i="6"/>
  <c r="F111" i="6"/>
  <c r="G111" i="6"/>
  <c r="H111" i="6"/>
  <c r="D122" i="6"/>
  <c r="D263" i="6"/>
  <c r="E122" i="6"/>
  <c r="F122" i="6"/>
  <c r="G122" i="6"/>
  <c r="H122" i="6"/>
  <c r="D123" i="6"/>
  <c r="E123" i="6"/>
  <c r="F123" i="6"/>
  <c r="F150" i="6"/>
  <c r="G123" i="6"/>
  <c r="H123" i="6"/>
  <c r="H125" i="6"/>
  <c r="D127" i="6"/>
  <c r="E127" i="6"/>
  <c r="F127" i="6"/>
  <c r="F160" i="6" s="1"/>
  <c r="G127" i="6"/>
  <c r="G160" i="6"/>
  <c r="H127" i="6"/>
  <c r="D128" i="6"/>
  <c r="D302" i="6" s="1"/>
  <c r="D301" i="6" s="1"/>
  <c r="E128" i="6"/>
  <c r="F128" i="6"/>
  <c r="G128" i="6"/>
  <c r="H128" i="6"/>
  <c r="E140" i="6"/>
  <c r="F209" i="6" s="1"/>
  <c r="G140" i="6"/>
  <c r="H140" i="6"/>
  <c r="D150" i="6"/>
  <c r="H150" i="6"/>
  <c r="D170" i="6"/>
  <c r="H170" i="6"/>
  <c r="D179" i="6"/>
  <c r="D181" i="6"/>
  <c r="E181" i="6"/>
  <c r="F181" i="6"/>
  <c r="G181" i="6"/>
  <c r="H181" i="6"/>
  <c r="C208" i="6"/>
  <c r="C209" i="6"/>
  <c r="H209" i="6" s="1"/>
  <c r="C210" i="6"/>
  <c r="C211" i="6"/>
  <c r="C212" i="6"/>
  <c r="H212" i="6"/>
  <c r="C218" i="6"/>
  <c r="C219" i="6"/>
  <c r="C220" i="6"/>
  <c r="C221" i="6"/>
  <c r="C222" i="6"/>
  <c r="H222" i="6" s="1"/>
  <c r="C228" i="6"/>
  <c r="C229" i="6"/>
  <c r="F229" i="6"/>
  <c r="G229" i="6"/>
  <c r="H229" i="6"/>
  <c r="C230" i="6"/>
  <c r="C231" i="6"/>
  <c r="G231" i="6"/>
  <c r="H231" i="6"/>
  <c r="C232" i="6"/>
  <c r="C238" i="6"/>
  <c r="C239" i="6"/>
  <c r="C240" i="6"/>
  <c r="C241" i="6"/>
  <c r="C242" i="6"/>
  <c r="H242" i="6" s="1"/>
  <c r="D255" i="6"/>
  <c r="D256" i="6"/>
  <c r="D257" i="6"/>
  <c r="D258" i="6"/>
  <c r="E263" i="6"/>
  <c r="H263" i="6"/>
  <c r="D267" i="6"/>
  <c r="E267" i="6"/>
  <c r="F267" i="6"/>
  <c r="G267" i="6"/>
  <c r="H267" i="6"/>
  <c r="D269" i="6"/>
  <c r="E269" i="6"/>
  <c r="F269" i="6"/>
  <c r="G269" i="6"/>
  <c r="H269" i="6"/>
  <c r="D270" i="6"/>
  <c r="E270" i="6"/>
  <c r="F270" i="6"/>
  <c r="G270" i="6"/>
  <c r="H270" i="6"/>
  <c r="D271" i="6"/>
  <c r="E271" i="6"/>
  <c r="F271" i="6"/>
  <c r="G271" i="6"/>
  <c r="G274" i="6" s="1"/>
  <c r="G262" i="6" s="1"/>
  <c r="H271" i="6"/>
  <c r="D272" i="6"/>
  <c r="D274" i="6" s="1"/>
  <c r="D262" i="6" s="1"/>
  <c r="E272" i="6"/>
  <c r="F272" i="6"/>
  <c r="G272" i="6"/>
  <c r="H272" i="6"/>
  <c r="D273" i="6"/>
  <c r="E273" i="6"/>
  <c r="E274" i="6" s="1"/>
  <c r="E262" i="6" s="1"/>
  <c r="F273" i="6"/>
  <c r="G273" i="6"/>
  <c r="H273" i="6"/>
  <c r="H274" i="6" s="1"/>
  <c r="D278" i="6"/>
  <c r="D303" i="6"/>
  <c r="E300" i="6" s="1"/>
  <c r="D306" i="6"/>
  <c r="J356" i="6"/>
  <c r="D228" i="3" s="1"/>
  <c r="K356" i="6"/>
  <c r="L356" i="6"/>
  <c r="M356" i="6"/>
  <c r="G110" i="6" s="1"/>
  <c r="N356" i="6"/>
  <c r="J358" i="6"/>
  <c r="K358" i="6"/>
  <c r="L358" i="6"/>
  <c r="M358" i="6"/>
  <c r="N358" i="6"/>
  <c r="J359" i="6"/>
  <c r="K359" i="6"/>
  <c r="L359" i="6"/>
  <c r="M359" i="6"/>
  <c r="N359" i="6"/>
  <c r="J360" i="6"/>
  <c r="K360" i="6"/>
  <c r="E110" i="6" s="1"/>
  <c r="E112" i="6" s="1"/>
  <c r="L360" i="6"/>
  <c r="M360" i="6"/>
  <c r="N360" i="6"/>
  <c r="J361" i="6"/>
  <c r="K361" i="6"/>
  <c r="L361" i="6"/>
  <c r="M361" i="6"/>
  <c r="N361" i="6"/>
  <c r="H110" i="6" s="1"/>
  <c r="H112" i="6" s="1"/>
  <c r="H114" i="6" s="1"/>
  <c r="J362" i="6"/>
  <c r="K362" i="6"/>
  <c r="L362" i="6"/>
  <c r="M362" i="6"/>
  <c r="N362" i="6"/>
  <c r="J374" i="6"/>
  <c r="K374" i="6"/>
  <c r="L374" i="6"/>
  <c r="M374" i="6"/>
  <c r="N374" i="6"/>
  <c r="D385" i="6"/>
  <c r="J385" i="6"/>
  <c r="K385" i="6"/>
  <c r="L385" i="6"/>
  <c r="M385" i="6"/>
  <c r="N385" i="6"/>
  <c r="N389" i="6" s="1"/>
  <c r="D386" i="6"/>
  <c r="E386" i="6" s="1"/>
  <c r="F386" i="6" s="1"/>
  <c r="G386" i="6" s="1"/>
  <c r="G412" i="6" s="1"/>
  <c r="J386" i="6"/>
  <c r="K386" i="6"/>
  <c r="L386" i="6"/>
  <c r="L389" i="6"/>
  <c r="M386" i="6"/>
  <c r="N386" i="6"/>
  <c r="D387" i="6"/>
  <c r="J387" i="6"/>
  <c r="K387" i="6"/>
  <c r="L387" i="6"/>
  <c r="M387" i="6"/>
  <c r="N387" i="6"/>
  <c r="D388" i="6"/>
  <c r="J388" i="6"/>
  <c r="K388" i="6"/>
  <c r="K389" i="6" s="1"/>
  <c r="L388" i="6"/>
  <c r="M388" i="6"/>
  <c r="N388" i="6"/>
  <c r="D391" i="6"/>
  <c r="D392" i="6"/>
  <c r="D393" i="6"/>
  <c r="D419" i="6" s="1"/>
  <c r="D394" i="6"/>
  <c r="J395" i="6"/>
  <c r="K395" i="6"/>
  <c r="L395" i="6"/>
  <c r="M395" i="6"/>
  <c r="N395" i="6"/>
  <c r="D398" i="6"/>
  <c r="E398" i="6"/>
  <c r="D399" i="6"/>
  <c r="D402" i="6"/>
  <c r="D403" i="6"/>
  <c r="D429" i="6" s="1"/>
  <c r="E403" i="6"/>
  <c r="E429" i="6" s="1"/>
  <c r="D404" i="6"/>
  <c r="E404" i="6" s="1"/>
  <c r="D405" i="6"/>
  <c r="J406" i="6"/>
  <c r="K406" i="6"/>
  <c r="L406" i="6"/>
  <c r="M406" i="6"/>
  <c r="N406" i="6"/>
  <c r="D412" i="6"/>
  <c r="E412" i="6"/>
  <c r="D424" i="6"/>
  <c r="D430" i="6"/>
  <c r="A5" i="8"/>
  <c r="F49" i="8"/>
  <c r="F50" i="8"/>
  <c r="F51" i="8"/>
  <c r="D71" i="8"/>
  <c r="E71" i="8"/>
  <c r="F71" i="8"/>
  <c r="A91" i="8"/>
  <c r="F93" i="8"/>
  <c r="D95" i="8"/>
  <c r="D100" i="8"/>
  <c r="E100" i="8"/>
  <c r="F100" i="8"/>
  <c r="D101" i="8"/>
  <c r="E101" i="8"/>
  <c r="F101" i="8"/>
  <c r="A111" i="8"/>
  <c r="A114" i="8"/>
  <c r="A120" i="8"/>
  <c r="F122" i="8"/>
  <c r="F123" i="8"/>
  <c r="F124" i="8"/>
  <c r="F150" i="8" s="1"/>
  <c r="F127" i="8"/>
  <c r="F160" i="8" s="1"/>
  <c r="F128" i="8"/>
  <c r="F170" i="8" s="1"/>
  <c r="A136" i="8"/>
  <c r="F151" i="8"/>
  <c r="F181" i="8"/>
  <c r="D179" i="8"/>
  <c r="A197" i="8"/>
  <c r="D245" i="8"/>
  <c r="D246" i="8"/>
  <c r="D247" i="8"/>
  <c r="D248" i="8"/>
  <c r="A259" i="8"/>
  <c r="A260" i="8"/>
  <c r="A261" i="8"/>
  <c r="D261" i="8"/>
  <c r="E261" i="8"/>
  <c r="F261" i="8"/>
  <c r="A262" i="8"/>
  <c r="A265" i="8"/>
  <c r="A266" i="8"/>
  <c r="A267" i="8"/>
  <c r="A268" i="8"/>
  <c r="A271" i="8"/>
  <c r="A272" i="8"/>
  <c r="A273" i="8"/>
  <c r="A274" i="8"/>
  <c r="A277" i="8"/>
  <c r="D277" i="8"/>
  <c r="A278" i="8"/>
  <c r="A279" i="8"/>
  <c r="A280" i="8"/>
  <c r="C191" i="12"/>
  <c r="C203" i="12"/>
  <c r="D4" i="12"/>
  <c r="C192" i="12"/>
  <c r="C204" i="12"/>
  <c r="C193" i="12"/>
  <c r="C205" i="12"/>
  <c r="C194" i="12"/>
  <c r="C206" i="12"/>
  <c r="C195" i="12"/>
  <c r="C207" i="12"/>
  <c r="C196" i="12"/>
  <c r="C208" i="12"/>
  <c r="C197" i="12"/>
  <c r="C209" i="12"/>
  <c r="K171" i="12"/>
  <c r="L171" i="12"/>
  <c r="M171" i="12"/>
  <c r="N171" i="12"/>
  <c r="O171" i="12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E4" i="12"/>
  <c r="F4" i="12"/>
  <c r="G4" i="12"/>
  <c r="G29" i="12" s="1"/>
  <c r="H4" i="12"/>
  <c r="I4" i="12"/>
  <c r="J4" i="12"/>
  <c r="J103" i="12" s="1"/>
  <c r="J201" i="12"/>
  <c r="K4" i="12"/>
  <c r="L4" i="12"/>
  <c r="M4" i="12"/>
  <c r="M95" i="12" s="1"/>
  <c r="N4" i="12"/>
  <c r="O4" i="12"/>
  <c r="P4" i="12"/>
  <c r="Q4" i="12"/>
  <c r="R4" i="12"/>
  <c r="S4" i="12"/>
  <c r="S59" i="12" s="1"/>
  <c r="T4" i="12"/>
  <c r="U4" i="12"/>
  <c r="U81" i="12"/>
  <c r="V4" i="12"/>
  <c r="W4" i="12"/>
  <c r="W29" i="12" s="1"/>
  <c r="X4" i="12"/>
  <c r="X125" i="12"/>
  <c r="Y4" i="12"/>
  <c r="Z4" i="12"/>
  <c r="AA4" i="12"/>
  <c r="A19" i="12"/>
  <c r="D19" i="12"/>
  <c r="L19" i="12"/>
  <c r="M19" i="12"/>
  <c r="O19" i="12"/>
  <c r="Q19" i="12"/>
  <c r="W19" i="12"/>
  <c r="X19" i="12"/>
  <c r="Y19" i="12"/>
  <c r="A29" i="12"/>
  <c r="D29" i="12"/>
  <c r="E29" i="12"/>
  <c r="H29" i="12"/>
  <c r="L29" i="12"/>
  <c r="M29" i="12"/>
  <c r="O29" i="12"/>
  <c r="Q29" i="12"/>
  <c r="S29" i="12"/>
  <c r="Y29" i="12"/>
  <c r="A38" i="12"/>
  <c r="A39" i="12"/>
  <c r="D39" i="12"/>
  <c r="E39" i="12"/>
  <c r="L39" i="12"/>
  <c r="Q39" i="12"/>
  <c r="W39" i="12"/>
  <c r="Y39" i="12"/>
  <c r="A49" i="12"/>
  <c r="D49" i="12"/>
  <c r="L49" i="12"/>
  <c r="Q49" i="12"/>
  <c r="R49" i="12"/>
  <c r="S49" i="12"/>
  <c r="A59" i="12"/>
  <c r="D59" i="12"/>
  <c r="G59" i="12"/>
  <c r="L59" i="12"/>
  <c r="M59" i="12"/>
  <c r="O59" i="12"/>
  <c r="Q59" i="12"/>
  <c r="W59" i="12"/>
  <c r="X59" i="12"/>
  <c r="Y59" i="12"/>
  <c r="A69" i="12"/>
  <c r="D69" i="12"/>
  <c r="L69" i="12"/>
  <c r="N69" i="12"/>
  <c r="O69" i="12"/>
  <c r="Q69" i="12"/>
  <c r="R69" i="12"/>
  <c r="W69" i="12"/>
  <c r="Y69" i="12"/>
  <c r="A80" i="12"/>
  <c r="D81" i="12"/>
  <c r="G81" i="12"/>
  <c r="L81" i="12"/>
  <c r="O81" i="12"/>
  <c r="Q81" i="12"/>
  <c r="R81" i="12"/>
  <c r="S81" i="12"/>
  <c r="W81" i="12"/>
  <c r="Y81" i="12"/>
  <c r="Z81" i="12"/>
  <c r="G87" i="12"/>
  <c r="L87" i="12"/>
  <c r="Q87" i="12"/>
  <c r="R87" i="12"/>
  <c r="S87" i="12"/>
  <c r="W87" i="12"/>
  <c r="Y87" i="12"/>
  <c r="A88" i="12"/>
  <c r="G95" i="12"/>
  <c r="L95" i="12"/>
  <c r="Q95" i="12"/>
  <c r="S95" i="12"/>
  <c r="T95" i="12"/>
  <c r="U95" i="12"/>
  <c r="W95" i="12"/>
  <c r="Y95" i="12"/>
  <c r="A96" i="12"/>
  <c r="E103" i="12"/>
  <c r="I103" i="12"/>
  <c r="K103" i="12"/>
  <c r="L103" i="12"/>
  <c r="Q103" i="12"/>
  <c r="S103" i="12"/>
  <c r="U103" i="12"/>
  <c r="V103" i="12"/>
  <c r="A104" i="12"/>
  <c r="G111" i="12"/>
  <c r="H111" i="12"/>
  <c r="K111" i="12"/>
  <c r="L111" i="12"/>
  <c r="M111" i="12"/>
  <c r="Q111" i="12"/>
  <c r="S111" i="12"/>
  <c r="T111" i="12"/>
  <c r="U111" i="12"/>
  <c r="W111" i="12"/>
  <c r="Y111" i="12"/>
  <c r="A112" i="12"/>
  <c r="A124" i="12"/>
  <c r="D125" i="12"/>
  <c r="E125" i="12"/>
  <c r="J125" i="12"/>
  <c r="L125" i="12"/>
  <c r="Q125" i="12"/>
  <c r="S125" i="12"/>
  <c r="U125" i="12"/>
  <c r="Y125" i="12"/>
  <c r="A131" i="12"/>
  <c r="F131" i="12"/>
  <c r="L131" i="12"/>
  <c r="M131" i="12"/>
  <c r="Q131" i="12"/>
  <c r="R131" i="12"/>
  <c r="Y131" i="12"/>
  <c r="A132" i="12"/>
  <c r="G139" i="12"/>
  <c r="L139" i="12"/>
  <c r="M139" i="12"/>
  <c r="O139" i="12"/>
  <c r="Q139" i="12"/>
  <c r="R139" i="12"/>
  <c r="S139" i="12"/>
  <c r="W139" i="12"/>
  <c r="Y139" i="12"/>
  <c r="A140" i="12"/>
  <c r="E147" i="12"/>
  <c r="G147" i="12"/>
  <c r="L147" i="12"/>
  <c r="S147" i="12"/>
  <c r="W147" i="12"/>
  <c r="X147" i="12"/>
  <c r="A148" i="12"/>
  <c r="G155" i="12"/>
  <c r="H155" i="12"/>
  <c r="I155" i="12"/>
  <c r="K155" i="12"/>
  <c r="L155" i="12"/>
  <c r="M155" i="12"/>
  <c r="Q155" i="12"/>
  <c r="S155" i="12"/>
  <c r="T155" i="12"/>
  <c r="W155" i="12"/>
  <c r="X155" i="12"/>
  <c r="Y155" i="12"/>
  <c r="A156" i="12"/>
  <c r="A168" i="12"/>
  <c r="D169" i="12"/>
  <c r="E169" i="12"/>
  <c r="F169" i="12"/>
  <c r="G169" i="12"/>
  <c r="L169" i="12"/>
  <c r="M169" i="12"/>
  <c r="S169" i="12"/>
  <c r="U169" i="12"/>
  <c r="W169" i="12"/>
  <c r="Z169" i="12"/>
  <c r="D179" i="12"/>
  <c r="G179" i="12"/>
  <c r="L179" i="12"/>
  <c r="S179" i="12"/>
  <c r="U179" i="12"/>
  <c r="W179" i="12"/>
  <c r="X179" i="12"/>
  <c r="A182" i="12"/>
  <c r="D189" i="12"/>
  <c r="E189" i="12"/>
  <c r="G189" i="12"/>
  <c r="L189" i="12"/>
  <c r="M189" i="12"/>
  <c r="O189" i="12"/>
  <c r="S189" i="12"/>
  <c r="U189" i="12"/>
  <c r="W189" i="12"/>
  <c r="Y189" i="12"/>
  <c r="A190" i="12"/>
  <c r="D201" i="12"/>
  <c r="E201" i="12"/>
  <c r="G201" i="12"/>
  <c r="L201" i="12"/>
  <c r="M201" i="12"/>
  <c r="Q201" i="12"/>
  <c r="R201" i="12"/>
  <c r="S201" i="12"/>
  <c r="T201" i="12"/>
  <c r="U201" i="12"/>
  <c r="W201" i="12"/>
  <c r="Y201" i="12"/>
  <c r="A202" i="12"/>
  <c r="A213" i="12"/>
  <c r="D213" i="12"/>
  <c r="G213" i="12"/>
  <c r="H213" i="12"/>
  <c r="L213" i="12"/>
  <c r="Q213" i="12"/>
  <c r="R213" i="12"/>
  <c r="S213" i="12"/>
  <c r="W213" i="12"/>
  <c r="Y213" i="12"/>
  <c r="A214" i="12"/>
  <c r="C215" i="12"/>
  <c r="C216" i="12"/>
  <c r="C217" i="12"/>
  <c r="C218" i="12"/>
  <c r="C219" i="12"/>
  <c r="C220" i="12"/>
  <c r="C221" i="12"/>
  <c r="D225" i="12"/>
  <c r="G225" i="12"/>
  <c r="L225" i="12"/>
  <c r="M225" i="12"/>
  <c r="Q225" i="12"/>
  <c r="R225" i="12"/>
  <c r="S225" i="12"/>
  <c r="W225" i="12"/>
  <c r="Y225" i="12"/>
  <c r="A226" i="12"/>
  <c r="C227" i="12"/>
  <c r="C228" i="12"/>
  <c r="C229" i="12"/>
  <c r="C230" i="12"/>
  <c r="C231" i="12"/>
  <c r="C232" i="12"/>
  <c r="C233" i="12"/>
  <c r="D237" i="12"/>
  <c r="G237" i="12"/>
  <c r="L237" i="12"/>
  <c r="Q237" i="12"/>
  <c r="R237" i="12"/>
  <c r="T237" i="12"/>
  <c r="W237" i="12"/>
  <c r="Y237" i="12"/>
  <c r="A238" i="12"/>
  <c r="C239" i="12"/>
  <c r="C240" i="12"/>
  <c r="C241" i="12"/>
  <c r="C242" i="12"/>
  <c r="C243" i="12"/>
  <c r="C244" i="12"/>
  <c r="C245" i="12"/>
  <c r="D249" i="12"/>
  <c r="E249" i="12"/>
  <c r="G249" i="12"/>
  <c r="K249" i="12"/>
  <c r="L249" i="12"/>
  <c r="M249" i="12"/>
  <c r="Q249" i="12"/>
  <c r="S249" i="12"/>
  <c r="T249" i="12"/>
  <c r="U249" i="12"/>
  <c r="W249" i="12"/>
  <c r="Y249" i="12"/>
  <c r="A250" i="12"/>
  <c r="C251" i="12"/>
  <c r="C252" i="12"/>
  <c r="C253" i="12"/>
  <c r="C254" i="12"/>
  <c r="C255" i="12"/>
  <c r="C256" i="12"/>
  <c r="C257" i="12"/>
  <c r="A6" i="17"/>
  <c r="A7" i="17"/>
  <c r="A8" i="17"/>
  <c r="A9" i="17"/>
  <c r="D13" i="17"/>
  <c r="D54" i="17" s="1"/>
  <c r="E13" i="17"/>
  <c r="E54" i="17"/>
  <c r="F13" i="17"/>
  <c r="F54" i="17" s="1"/>
  <c r="G13" i="17"/>
  <c r="G54" i="17" s="1"/>
  <c r="H13" i="17"/>
  <c r="H54" i="17" s="1"/>
  <c r="I13" i="17"/>
  <c r="I54" i="17" s="1"/>
  <c r="J13" i="17"/>
  <c r="K13" i="17"/>
  <c r="L13" i="17"/>
  <c r="L54" i="17"/>
  <c r="M13" i="17"/>
  <c r="N13" i="17"/>
  <c r="O13" i="17"/>
  <c r="O54" i="17" s="1"/>
  <c r="P13" i="17"/>
  <c r="P54" i="17"/>
  <c r="Q13" i="17"/>
  <c r="Q54" i="17" s="1"/>
  <c r="R13" i="17"/>
  <c r="R54" i="17" s="1"/>
  <c r="S13" i="17"/>
  <c r="S54" i="17" s="1"/>
  <c r="T13" i="17"/>
  <c r="T54" i="17"/>
  <c r="U13" i="17"/>
  <c r="U54" i="17"/>
  <c r="V13" i="17"/>
  <c r="V54" i="17" s="1"/>
  <c r="W13" i="17"/>
  <c r="W54" i="17" s="1"/>
  <c r="X13" i="17"/>
  <c r="X54" i="17" s="1"/>
  <c r="Y13" i="17"/>
  <c r="Y54" i="17" s="1"/>
  <c r="Z13" i="17"/>
  <c r="Z54" i="17"/>
  <c r="AA13" i="17"/>
  <c r="A16" i="17"/>
  <c r="A17" i="17"/>
  <c r="A18" i="17"/>
  <c r="A19" i="17"/>
  <c r="A23" i="17"/>
  <c r="K26" i="17"/>
  <c r="L26" i="17"/>
  <c r="M26" i="17"/>
  <c r="M57" i="17" s="1"/>
  <c r="N26" i="17"/>
  <c r="O26" i="17"/>
  <c r="O57" i="17" s="1"/>
  <c r="P26" i="17"/>
  <c r="Q26" i="17"/>
  <c r="R26" i="17"/>
  <c r="S26" i="17"/>
  <c r="T26" i="17"/>
  <c r="T57" i="17" s="1"/>
  <c r="U26" i="17"/>
  <c r="V26" i="17"/>
  <c r="W26" i="17"/>
  <c r="X26" i="17"/>
  <c r="Y26" i="17"/>
  <c r="Z26" i="17"/>
  <c r="AA26" i="17"/>
  <c r="AA57" i="17"/>
  <c r="A29" i="17"/>
  <c r="A30" i="17"/>
  <c r="A31" i="17"/>
  <c r="A32" i="17"/>
  <c r="K32" i="17"/>
  <c r="K57" i="17" s="1"/>
  <c r="L32" i="17"/>
  <c r="M32" i="17"/>
  <c r="N32" i="17"/>
  <c r="N57" i="17" s="1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33" i="17"/>
  <c r="A35" i="17"/>
  <c r="A36" i="17"/>
  <c r="A37" i="17"/>
  <c r="A38" i="17"/>
  <c r="K38" i="17"/>
  <c r="L38" i="17"/>
  <c r="M38" i="17"/>
  <c r="N38" i="17"/>
  <c r="O38" i="17"/>
  <c r="P38" i="17"/>
  <c r="Q38" i="17"/>
  <c r="R38" i="17"/>
  <c r="R57" i="17" s="1"/>
  <c r="S38" i="17"/>
  <c r="T38" i="17"/>
  <c r="U38" i="17"/>
  <c r="V38" i="17"/>
  <c r="W38" i="17"/>
  <c r="X38" i="17"/>
  <c r="Y38" i="17"/>
  <c r="Z38" i="17"/>
  <c r="AA38" i="17"/>
  <c r="A39" i="17"/>
  <c r="A41" i="17"/>
  <c r="A42" i="17"/>
  <c r="A43" i="17"/>
  <c r="A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Y57" i="17" s="1"/>
  <c r="Z44" i="17"/>
  <c r="AA44" i="17"/>
  <c r="A45" i="17"/>
  <c r="A48" i="17"/>
  <c r="A49" i="17"/>
  <c r="A50" i="17"/>
  <c r="K50" i="17"/>
  <c r="L50" i="17"/>
  <c r="M50" i="17"/>
  <c r="N50" i="17"/>
  <c r="O50" i="17"/>
  <c r="P50" i="17"/>
  <c r="Q50" i="17"/>
  <c r="R50" i="17"/>
  <c r="S50" i="17"/>
  <c r="S57" i="17" s="1"/>
  <c r="T50" i="17"/>
  <c r="U50" i="17"/>
  <c r="V50" i="17"/>
  <c r="W50" i="17"/>
  <c r="X50" i="17"/>
  <c r="Y50" i="17"/>
  <c r="Z50" i="17"/>
  <c r="AA50" i="17"/>
  <c r="A51" i="17"/>
  <c r="J54" i="17"/>
  <c r="K54" i="17"/>
  <c r="M54" i="17"/>
  <c r="N54" i="17"/>
  <c r="AA54" i="17"/>
  <c r="A55" i="17"/>
  <c r="A56" i="17"/>
  <c r="A57" i="17"/>
  <c r="A58" i="17"/>
  <c r="D8" i="14"/>
  <c r="D51" i="13" s="1"/>
  <c r="Q115" i="4"/>
  <c r="N73" i="14" s="1"/>
  <c r="C6" i="13"/>
  <c r="A23" i="13"/>
  <c r="A24" i="13"/>
  <c r="D29" i="13"/>
  <c r="E29" i="13"/>
  <c r="F29" i="13"/>
  <c r="G29" i="13"/>
  <c r="H29" i="13"/>
  <c r="I29" i="13"/>
  <c r="J29" i="13"/>
  <c r="P29" i="13"/>
  <c r="Q29" i="13"/>
  <c r="R29" i="13"/>
  <c r="S29" i="13"/>
  <c r="T29" i="13"/>
  <c r="U29" i="13"/>
  <c r="V29" i="13"/>
  <c r="AA29" i="13"/>
  <c r="AB29" i="13"/>
  <c r="AC29" i="13"/>
  <c r="AD29" i="13"/>
  <c r="AE29" i="13"/>
  <c r="AF29" i="13"/>
  <c r="AG29" i="13"/>
  <c r="D43" i="13"/>
  <c r="E43" i="13"/>
  <c r="F43" i="13"/>
  <c r="G43" i="13"/>
  <c r="H43" i="13"/>
  <c r="I43" i="13"/>
  <c r="J43" i="13"/>
  <c r="D47" i="13"/>
  <c r="E47" i="13"/>
  <c r="F47" i="13"/>
  <c r="G47" i="13"/>
  <c r="H47" i="13"/>
  <c r="D48" i="13"/>
  <c r="E48" i="13"/>
  <c r="F48" i="13"/>
  <c r="G48" i="13"/>
  <c r="H48" i="13"/>
  <c r="D50" i="13"/>
  <c r="E50" i="13"/>
  <c r="F50" i="13"/>
  <c r="G50" i="13"/>
  <c r="H50" i="13"/>
  <c r="I50" i="13"/>
  <c r="J50" i="13"/>
  <c r="D62" i="13"/>
  <c r="E62" i="13"/>
  <c r="F62" i="13"/>
  <c r="G62" i="13"/>
  <c r="H62" i="13"/>
  <c r="I62" i="13"/>
  <c r="J62" i="13"/>
  <c r="A10" i="14"/>
  <c r="M27" i="14"/>
  <c r="N27" i="14"/>
  <c r="S27" i="14"/>
  <c r="T27" i="14"/>
  <c r="A29" i="14"/>
  <c r="G29" i="14"/>
  <c r="A30" i="14"/>
  <c r="A31" i="14"/>
  <c r="A32" i="14"/>
  <c r="A33" i="14"/>
  <c r="A34" i="14"/>
  <c r="A35" i="14"/>
  <c r="A36" i="14"/>
  <c r="A39" i="14"/>
  <c r="G39" i="14"/>
  <c r="A40" i="14"/>
  <c r="A41" i="14"/>
  <c r="A42" i="14"/>
  <c r="A43" i="14"/>
  <c r="A44" i="14"/>
  <c r="A45" i="14"/>
  <c r="A46" i="14"/>
  <c r="A49" i="14"/>
  <c r="G49" i="14"/>
  <c r="A50" i="14"/>
  <c r="A51" i="14"/>
  <c r="A52" i="14"/>
  <c r="A53" i="14"/>
  <c r="A54" i="14"/>
  <c r="A55" i="14"/>
  <c r="A56" i="14"/>
  <c r="A57" i="14"/>
  <c r="A58" i="14"/>
  <c r="A59" i="14"/>
  <c r="A60" i="14"/>
  <c r="A63" i="14"/>
  <c r="G63" i="14"/>
  <c r="A64" i="14"/>
  <c r="A65" i="14"/>
  <c r="A66" i="14"/>
  <c r="A67" i="14"/>
  <c r="A68" i="14"/>
  <c r="A69" i="14"/>
  <c r="A70" i="14"/>
  <c r="A71" i="14"/>
  <c r="A72" i="14"/>
  <c r="A73" i="14"/>
  <c r="A74" i="14"/>
  <c r="A1" i="4"/>
  <c r="O1" i="4"/>
  <c r="O67" i="4" s="1"/>
  <c r="P1" i="4"/>
  <c r="Q1" i="4"/>
  <c r="O3" i="4"/>
  <c r="O68" i="4"/>
  <c r="P3" i="4"/>
  <c r="Q3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C10" i="4"/>
  <c r="C11" i="4"/>
  <c r="C11" i="19" s="1"/>
  <c r="A12" i="4"/>
  <c r="A36" i="4"/>
  <c r="C12" i="4"/>
  <c r="C12" i="19" s="1"/>
  <c r="A13" i="4"/>
  <c r="C13" i="4"/>
  <c r="A14" i="4"/>
  <c r="C14" i="4"/>
  <c r="C14" i="19" s="1"/>
  <c r="A15" i="4"/>
  <c r="A39" i="4" s="1"/>
  <c r="C15" i="4"/>
  <c r="C15" i="19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A22" i="4"/>
  <c r="A23" i="4"/>
  <c r="C23" i="4"/>
  <c r="C23" i="19" s="1"/>
  <c r="A25" i="4"/>
  <c r="C26" i="19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A34" i="4"/>
  <c r="A35" i="4"/>
  <c r="A37" i="4"/>
  <c r="A43" i="4"/>
  <c r="A44" i="4"/>
  <c r="A45" i="4"/>
  <c r="A46" i="4"/>
  <c r="A48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8" i="4"/>
  <c r="E58" i="4"/>
  <c r="F58" i="4"/>
  <c r="G58" i="4"/>
  <c r="H58" i="4"/>
  <c r="I58" i="4"/>
  <c r="J58" i="4"/>
  <c r="E67" i="4"/>
  <c r="F67" i="4"/>
  <c r="G67" i="4"/>
  <c r="H67" i="4"/>
  <c r="I67" i="4"/>
  <c r="J67" i="4"/>
  <c r="P67" i="4"/>
  <c r="Q67" i="4"/>
  <c r="P68" i="4"/>
  <c r="Q68" i="4"/>
  <c r="E112" i="4"/>
  <c r="F112" i="4"/>
  <c r="E113" i="4"/>
  <c r="F113" i="4"/>
  <c r="E114" i="4"/>
  <c r="F114" i="4"/>
  <c r="C128" i="4"/>
  <c r="C7" i="13"/>
  <c r="C131" i="4"/>
  <c r="C8" i="13" s="1"/>
  <c r="C132" i="4"/>
  <c r="C9" i="13" s="1"/>
  <c r="C133" i="4"/>
  <c r="C139" i="4" s="1"/>
  <c r="C10" i="13"/>
  <c r="C134" i="4"/>
  <c r="H22" i="13" s="1"/>
  <c r="C11" i="13"/>
  <c r="D142" i="4"/>
  <c r="E142" i="4"/>
  <c r="F142" i="4"/>
  <c r="G142" i="4"/>
  <c r="H142" i="4"/>
  <c r="I142" i="4"/>
  <c r="J142" i="4"/>
  <c r="M143" i="4"/>
  <c r="J4" i="8"/>
  <c r="G22" i="13"/>
  <c r="M144" i="4"/>
  <c r="N146" i="4"/>
  <c r="F144" i="4" s="1"/>
  <c r="I4" i="8" s="1"/>
  <c r="C162" i="4"/>
  <c r="C163" i="4"/>
  <c r="D7" i="17"/>
  <c r="A164" i="4"/>
  <c r="A24" i="4" s="1"/>
  <c r="C164" i="4"/>
  <c r="D8" i="17"/>
  <c r="C165" i="4"/>
  <c r="D9" i="17"/>
  <c r="A166" i="4"/>
  <c r="C166" i="4"/>
  <c r="C26" i="4" s="1"/>
  <c r="D10" i="17"/>
  <c r="D169" i="4"/>
  <c r="E169" i="4"/>
  <c r="F169" i="4"/>
  <c r="G169" i="4"/>
  <c r="H169" i="4"/>
  <c r="I169" i="4"/>
  <c r="J169" i="4"/>
  <c r="D7" i="19"/>
  <c r="E7" i="19"/>
  <c r="F7" i="19"/>
  <c r="G7" i="19"/>
  <c r="H7" i="19"/>
  <c r="I7" i="19"/>
  <c r="J7" i="19"/>
  <c r="D8" i="19"/>
  <c r="E8" i="19"/>
  <c r="F8" i="19"/>
  <c r="G8" i="19"/>
  <c r="H8" i="19"/>
  <c r="I8" i="19"/>
  <c r="J8" i="19"/>
  <c r="D9" i="19"/>
  <c r="E9" i="19"/>
  <c r="F9" i="19"/>
  <c r="G9" i="19"/>
  <c r="H9" i="19"/>
  <c r="I9" i="19"/>
  <c r="J9" i="19"/>
  <c r="C10" i="19"/>
  <c r="C13" i="19"/>
  <c r="D16" i="19"/>
  <c r="E16" i="19"/>
  <c r="F16" i="19"/>
  <c r="G16" i="19"/>
  <c r="H16" i="19"/>
  <c r="I16" i="19"/>
  <c r="J16" i="19"/>
  <c r="D19" i="19"/>
  <c r="E19" i="19"/>
  <c r="F19" i="19"/>
  <c r="G19" i="19"/>
  <c r="H19" i="19"/>
  <c r="I19" i="19"/>
  <c r="J19" i="19"/>
  <c r="D20" i="19"/>
  <c r="E20" i="19"/>
  <c r="F20" i="19"/>
  <c r="G20" i="19"/>
  <c r="H20" i="19"/>
  <c r="I20" i="19"/>
  <c r="J20" i="19"/>
  <c r="D21" i="19"/>
  <c r="E21" i="19"/>
  <c r="F21" i="19"/>
  <c r="G21" i="19"/>
  <c r="H21" i="19"/>
  <c r="I21" i="19"/>
  <c r="J21" i="19"/>
  <c r="D22" i="19"/>
  <c r="E22" i="19"/>
  <c r="F22" i="19"/>
  <c r="G22" i="19"/>
  <c r="H22" i="19"/>
  <c r="I22" i="19"/>
  <c r="J22" i="19"/>
  <c r="D24" i="19"/>
  <c r="E24" i="19"/>
  <c r="F24" i="19"/>
  <c r="G24" i="19"/>
  <c r="H24" i="19"/>
  <c r="I24" i="19"/>
  <c r="J24" i="19"/>
  <c r="D25" i="19"/>
  <c r="E25" i="19"/>
  <c r="F25" i="19"/>
  <c r="G25" i="19"/>
  <c r="H25" i="19"/>
  <c r="I25" i="19"/>
  <c r="J25" i="19"/>
  <c r="D26" i="19"/>
  <c r="E26" i="19"/>
  <c r="F26" i="19"/>
  <c r="G26" i="19"/>
  <c r="H26" i="19"/>
  <c r="H27" i="19" s="1"/>
  <c r="I26" i="19"/>
  <c r="J26" i="19"/>
  <c r="D30" i="19"/>
  <c r="E30" i="19"/>
  <c r="F30" i="19"/>
  <c r="G30" i="19"/>
  <c r="H30" i="19"/>
  <c r="I30" i="19"/>
  <c r="J30" i="19"/>
  <c r="D31" i="19"/>
  <c r="E31" i="19"/>
  <c r="F31" i="19"/>
  <c r="G31" i="19"/>
  <c r="H31" i="19"/>
  <c r="I31" i="19"/>
  <c r="J31" i="19"/>
  <c r="D32" i="19"/>
  <c r="E32" i="19"/>
  <c r="F32" i="19"/>
  <c r="G32" i="19"/>
  <c r="H32" i="19"/>
  <c r="I32" i="19"/>
  <c r="J32" i="19"/>
  <c r="D40" i="19"/>
  <c r="E40" i="19"/>
  <c r="F40" i="19"/>
  <c r="H40" i="19"/>
  <c r="I40" i="19"/>
  <c r="J40" i="19"/>
  <c r="D49" i="19"/>
  <c r="E49" i="19"/>
  <c r="F49" i="19"/>
  <c r="G49" i="19"/>
  <c r="H49" i="19"/>
  <c r="I49" i="19"/>
  <c r="J49" i="19"/>
  <c r="D52" i="19"/>
  <c r="E52" i="19"/>
  <c r="F52" i="19"/>
  <c r="G52" i="19"/>
  <c r="H52" i="19"/>
  <c r="I52" i="19"/>
  <c r="J52" i="19"/>
  <c r="D53" i="19"/>
  <c r="E53" i="19"/>
  <c r="F53" i="19"/>
  <c r="G53" i="19"/>
  <c r="H53" i="19"/>
  <c r="I53" i="19"/>
  <c r="J53" i="19"/>
  <c r="D54" i="19"/>
  <c r="E54" i="19"/>
  <c r="F54" i="19"/>
  <c r="G54" i="19"/>
  <c r="H54" i="19"/>
  <c r="I54" i="19"/>
  <c r="J54" i="19"/>
  <c r="D58" i="19"/>
  <c r="E58" i="19"/>
  <c r="F58" i="19"/>
  <c r="G58" i="19"/>
  <c r="H58" i="19"/>
  <c r="I58" i="19"/>
  <c r="J58" i="19"/>
  <c r="A1" i="3"/>
  <c r="A1" i="19" s="1"/>
  <c r="A10" i="3"/>
  <c r="A11" i="3"/>
  <c r="A12" i="3"/>
  <c r="A13" i="3"/>
  <c r="D14" i="3"/>
  <c r="E14" i="3"/>
  <c r="F14" i="3"/>
  <c r="A19" i="3"/>
  <c r="C19" i="3"/>
  <c r="D19" i="3"/>
  <c r="D255" i="8"/>
  <c r="E19" i="3"/>
  <c r="E255" i="8" s="1"/>
  <c r="F19" i="3"/>
  <c r="F255" i="8"/>
  <c r="A20" i="3"/>
  <c r="C20" i="3"/>
  <c r="A21" i="3"/>
  <c r="C21" i="3"/>
  <c r="D21" i="3"/>
  <c r="D267" i="8" s="1"/>
  <c r="E21" i="3"/>
  <c r="F21" i="3"/>
  <c r="F267" i="8" s="1"/>
  <c r="A22" i="3"/>
  <c r="C22" i="3"/>
  <c r="D22" i="3"/>
  <c r="D273" i="8" s="1"/>
  <c r="D272" i="8" s="1"/>
  <c r="D274" i="8" s="1"/>
  <c r="E271" i="8" s="1"/>
  <c r="E22" i="3"/>
  <c r="E273" i="8" s="1"/>
  <c r="F22" i="3"/>
  <c r="D23" i="3"/>
  <c r="D42" i="3"/>
  <c r="E42" i="3"/>
  <c r="E50" i="3" s="1"/>
  <c r="E102" i="8" s="1"/>
  <c r="F42" i="3"/>
  <c r="D48" i="3"/>
  <c r="E48" i="3"/>
  <c r="F48" i="3"/>
  <c r="D53" i="3"/>
  <c r="E53" i="3"/>
  <c r="F53" i="3"/>
  <c r="A84" i="3"/>
  <c r="C84" i="3"/>
  <c r="C85" i="3"/>
  <c r="C86" i="3"/>
  <c r="C87" i="3"/>
  <c r="D88" i="3"/>
  <c r="E88" i="3"/>
  <c r="F88" i="3"/>
  <c r="F118" i="3"/>
  <c r="A94" i="3"/>
  <c r="D94" i="3"/>
  <c r="D99" i="3"/>
  <c r="E94" i="3"/>
  <c r="F94" i="3"/>
  <c r="A95" i="3"/>
  <c r="C95" i="3"/>
  <c r="A96" i="3"/>
  <c r="C96" i="3"/>
  <c r="D96" i="3"/>
  <c r="E96" i="3"/>
  <c r="F96" i="3"/>
  <c r="A97" i="3"/>
  <c r="D97" i="3"/>
  <c r="E97" i="3"/>
  <c r="F97" i="3"/>
  <c r="D98" i="3"/>
  <c r="E98" i="3"/>
  <c r="F98" i="3"/>
  <c r="D115" i="3"/>
  <c r="D15" i="8"/>
  <c r="E115" i="3"/>
  <c r="F115" i="3"/>
  <c r="F15" i="8"/>
  <c r="C136" i="3"/>
  <c r="C137" i="3"/>
  <c r="C138" i="3"/>
  <c r="F146" i="3"/>
  <c r="B155" i="3" s="1"/>
  <c r="F147" i="3"/>
  <c r="C155" i="3" s="1"/>
  <c r="F148" i="3"/>
  <c r="D155" i="3" s="1"/>
  <c r="D4" i="8" s="1"/>
  <c r="F149" i="3"/>
  <c r="E155" i="3" s="1"/>
  <c r="E4" i="8"/>
  <c r="F150" i="3"/>
  <c r="F151" i="3"/>
  <c r="D144" i="4"/>
  <c r="D145" i="4" s="1"/>
  <c r="C153" i="3"/>
  <c r="D153" i="3"/>
  <c r="E153" i="3" s="1"/>
  <c r="F153" i="3" s="1"/>
  <c r="F155" i="3"/>
  <c r="F4" i="8"/>
  <c r="C161" i="3"/>
  <c r="C162" i="3"/>
  <c r="C163" i="3"/>
  <c r="C164" i="3"/>
  <c r="C13" i="3" s="1"/>
  <c r="C170" i="3"/>
  <c r="D97" i="8" s="1"/>
  <c r="C171" i="3"/>
  <c r="D96" i="8" s="1"/>
  <c r="D196" i="3"/>
  <c r="D198" i="3"/>
  <c r="D197" i="3"/>
  <c r="E197" i="3"/>
  <c r="F197" i="3"/>
  <c r="D205" i="3"/>
  <c r="D190" i="3" s="1"/>
  <c r="E205" i="3"/>
  <c r="F205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3" i="3"/>
  <c r="E213" i="3"/>
  <c r="F213" i="3"/>
  <c r="D218" i="3"/>
  <c r="E218" i="3"/>
  <c r="F218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A1" i="16"/>
  <c r="P1" i="16"/>
  <c r="P67" i="16" s="1"/>
  <c r="Q1" i="16"/>
  <c r="Q67" i="16" s="1"/>
  <c r="P3" i="16"/>
  <c r="P68" i="16" s="1"/>
  <c r="Q3" i="16"/>
  <c r="Q68" i="16" s="1"/>
  <c r="H7" i="16"/>
  <c r="I7" i="16"/>
  <c r="J7" i="16"/>
  <c r="H8" i="16"/>
  <c r="I8" i="16"/>
  <c r="J8" i="16"/>
  <c r="H9" i="16"/>
  <c r="I9" i="16"/>
  <c r="J9" i="16"/>
  <c r="H19" i="16"/>
  <c r="I19" i="16"/>
  <c r="J19" i="16"/>
  <c r="H20" i="16"/>
  <c r="I20" i="16"/>
  <c r="J20" i="16"/>
  <c r="H21" i="16"/>
  <c r="I21" i="16"/>
  <c r="J21" i="16"/>
  <c r="H30" i="16"/>
  <c r="I30" i="16"/>
  <c r="J30" i="16"/>
  <c r="H31" i="16"/>
  <c r="I31" i="16"/>
  <c r="J31" i="16"/>
  <c r="H32" i="16"/>
  <c r="I32" i="16"/>
  <c r="J32" i="16"/>
  <c r="H52" i="16"/>
  <c r="I52" i="16"/>
  <c r="J52" i="16"/>
  <c r="H53" i="16"/>
  <c r="I53" i="16"/>
  <c r="J53" i="16"/>
  <c r="H54" i="16"/>
  <c r="I54" i="16"/>
  <c r="J54" i="16"/>
  <c r="H58" i="16"/>
  <c r="I58" i="16"/>
  <c r="J58" i="16"/>
  <c r="I67" i="16"/>
  <c r="J67" i="16"/>
  <c r="A1" i="15"/>
  <c r="G43" i="12"/>
  <c r="F22" i="13"/>
  <c r="D72" i="12"/>
  <c r="D73" i="12"/>
  <c r="D62" i="12"/>
  <c r="D51" i="12"/>
  <c r="D32" i="12"/>
  <c r="D53" i="12"/>
  <c r="D43" i="12"/>
  <c r="D49" i="4"/>
  <c r="D33" i="12"/>
  <c r="D63" i="12"/>
  <c r="D42" i="12"/>
  <c r="E190" i="8"/>
  <c r="C207" i="8"/>
  <c r="F190" i="8"/>
  <c r="C208" i="8"/>
  <c r="D190" i="8"/>
  <c r="C206" i="8" s="1"/>
  <c r="E156" i="3"/>
  <c r="E123" i="8" s="1"/>
  <c r="C10" i="3"/>
  <c r="N144" i="4"/>
  <c r="V155" i="12"/>
  <c r="V49" i="12"/>
  <c r="V19" i="12"/>
  <c r="V87" i="12"/>
  <c r="V189" i="12"/>
  <c r="V69" i="12"/>
  <c r="V213" i="12"/>
  <c r="N59" i="12"/>
  <c r="N155" i="12"/>
  <c r="N131" i="12"/>
  <c r="N139" i="12"/>
  <c r="N179" i="12"/>
  <c r="N213" i="12"/>
  <c r="N225" i="12"/>
  <c r="N29" i="12"/>
  <c r="N95" i="12"/>
  <c r="N201" i="12"/>
  <c r="N49" i="12"/>
  <c r="N39" i="12"/>
  <c r="N189" i="12"/>
  <c r="N19" i="12"/>
  <c r="N111" i="12"/>
  <c r="N169" i="12"/>
  <c r="N81" i="12"/>
  <c r="N125" i="12"/>
  <c r="N147" i="12"/>
  <c r="N237" i="12"/>
  <c r="N249" i="12"/>
  <c r="F59" i="12"/>
  <c r="F155" i="12"/>
  <c r="F49" i="12"/>
  <c r="F87" i="12"/>
  <c r="F95" i="12"/>
  <c r="F103" i="12"/>
  <c r="F139" i="12"/>
  <c r="F39" i="12"/>
  <c r="F147" i="12"/>
  <c r="F179" i="12"/>
  <c r="F225" i="12"/>
  <c r="F237" i="12"/>
  <c r="F69" i="12"/>
  <c r="F125" i="12"/>
  <c r="F213" i="12"/>
  <c r="F29" i="12"/>
  <c r="F201" i="12"/>
  <c r="F19" i="12"/>
  <c r="F249" i="12"/>
  <c r="F81" i="12"/>
  <c r="F111" i="12"/>
  <c r="F189" i="12"/>
  <c r="E193" i="8"/>
  <c r="C231" i="8"/>
  <c r="D193" i="8"/>
  <c r="C230" i="8"/>
  <c r="F193" i="8"/>
  <c r="C232" i="8" s="1"/>
  <c r="C98" i="3"/>
  <c r="A1" i="8"/>
  <c r="A1" i="12"/>
  <c r="A1" i="17"/>
  <c r="A10" i="17"/>
  <c r="C24" i="4"/>
  <c r="C24" i="19"/>
  <c r="D254" i="8"/>
  <c r="D256" i="8" s="1"/>
  <c r="E253" i="8" s="1"/>
  <c r="F403" i="6"/>
  <c r="F429" i="6" s="1"/>
  <c r="N145" i="4"/>
  <c r="E144" i="4"/>
  <c r="F190" i="3"/>
  <c r="G4" i="8"/>
  <c r="D22" i="13"/>
  <c r="E90" i="8"/>
  <c r="Q57" i="17"/>
  <c r="A92" i="8"/>
  <c r="E190" i="3"/>
  <c r="D191" i="8"/>
  <c r="C214" i="8" s="1"/>
  <c r="E191" i="8"/>
  <c r="C215" i="8" s="1"/>
  <c r="F191" i="8"/>
  <c r="C216" i="8" s="1"/>
  <c r="C11" i="3"/>
  <c r="E62" i="12"/>
  <c r="G53" i="12"/>
  <c r="E43" i="12"/>
  <c r="E22" i="12"/>
  <c r="A1" i="14"/>
  <c r="A1" i="13"/>
  <c r="X39" i="12"/>
  <c r="X189" i="12"/>
  <c r="X87" i="12"/>
  <c r="X95" i="12"/>
  <c r="X131" i="12"/>
  <c r="X201" i="12"/>
  <c r="X69" i="12"/>
  <c r="X139" i="12"/>
  <c r="X237" i="12"/>
  <c r="X29" i="12"/>
  <c r="X49" i="12"/>
  <c r="X81" i="12"/>
  <c r="X213" i="12"/>
  <c r="X225" i="12"/>
  <c r="X103" i="12"/>
  <c r="X249" i="12"/>
  <c r="X169" i="12"/>
  <c r="X111" i="12"/>
  <c r="P189" i="12"/>
  <c r="P69" i="12"/>
  <c r="P147" i="12"/>
  <c r="P213" i="12"/>
  <c r="P19" i="12"/>
  <c r="P249" i="12"/>
  <c r="H39" i="12"/>
  <c r="H189" i="12"/>
  <c r="H201" i="12"/>
  <c r="H19" i="12"/>
  <c r="H59" i="12"/>
  <c r="H249" i="12"/>
  <c r="H81" i="12"/>
  <c r="H103" i="12"/>
  <c r="H125" i="12"/>
  <c r="H139" i="12"/>
  <c r="H147" i="12"/>
  <c r="H179" i="12"/>
  <c r="H225" i="12"/>
  <c r="H237" i="12"/>
  <c r="H87" i="12"/>
  <c r="H131" i="12"/>
  <c r="H69" i="12"/>
  <c r="H95" i="12"/>
  <c r="H49" i="12"/>
  <c r="H169" i="12"/>
  <c r="L57" i="17"/>
  <c r="Z225" i="12"/>
  <c r="Z95" i="12"/>
  <c r="Z249" i="12"/>
  <c r="Z147" i="12"/>
  <c r="Z111" i="12"/>
  <c r="Z125" i="12"/>
  <c r="Z69" i="12"/>
  <c r="Z237" i="12"/>
  <c r="Z19" i="12"/>
  <c r="Z155" i="12"/>
  <c r="R29" i="12"/>
  <c r="R95" i="12"/>
  <c r="R19" i="12"/>
  <c r="R59" i="12"/>
  <c r="R249" i="12"/>
  <c r="R155" i="12"/>
  <c r="R39" i="12"/>
  <c r="R103" i="12"/>
  <c r="R111" i="12"/>
  <c r="R179" i="12"/>
  <c r="R125" i="12"/>
  <c r="R147" i="12"/>
  <c r="R169" i="12"/>
  <c r="R189" i="12"/>
  <c r="J29" i="12"/>
  <c r="J95" i="12"/>
  <c r="J249" i="12"/>
  <c r="J87" i="12"/>
  <c r="J169" i="12"/>
  <c r="J189" i="12"/>
  <c r="J19" i="12"/>
  <c r="J59" i="12"/>
  <c r="J111" i="12"/>
  <c r="J155" i="12"/>
  <c r="J49" i="12"/>
  <c r="M237" i="12"/>
  <c r="K213" i="12"/>
  <c r="K201" i="12"/>
  <c r="M179" i="12"/>
  <c r="M147" i="12"/>
  <c r="U139" i="12"/>
  <c r="S131" i="12"/>
  <c r="M125" i="12"/>
  <c r="M103" i="12"/>
  <c r="K95" i="12"/>
  <c r="E81" i="12"/>
  <c r="K29" i="12"/>
  <c r="Y147" i="12"/>
  <c r="Y169" i="12"/>
  <c r="Y179" i="12"/>
  <c r="Y49" i="12"/>
  <c r="Y103" i="12"/>
  <c r="Q147" i="12"/>
  <c r="Q169" i="12"/>
  <c r="Q179" i="12"/>
  <c r="Q189" i="12"/>
  <c r="I147" i="12"/>
  <c r="I19" i="12"/>
  <c r="U69" i="12"/>
  <c r="U87" i="12"/>
  <c r="U29" i="12"/>
  <c r="U147" i="12"/>
  <c r="U155" i="12"/>
  <c r="U213" i="12"/>
  <c r="M69" i="12"/>
  <c r="M87" i="12"/>
  <c r="M39" i="12"/>
  <c r="M213" i="12"/>
  <c r="E87" i="12"/>
  <c r="E131" i="12"/>
  <c r="E213" i="12"/>
  <c r="AA59" i="12"/>
  <c r="S19" i="12"/>
  <c r="S237" i="12"/>
  <c r="K19" i="12"/>
  <c r="K69" i="12"/>
  <c r="K125" i="12"/>
  <c r="K169" i="12"/>
  <c r="K237" i="12"/>
  <c r="W49" i="12"/>
  <c r="W103" i="12"/>
  <c r="W125" i="12"/>
  <c r="W131" i="12"/>
  <c r="O103" i="12"/>
  <c r="G49" i="12"/>
  <c r="G103" i="12"/>
  <c r="G125" i="12"/>
  <c r="G131" i="12"/>
  <c r="E296" i="6"/>
  <c r="F278" i="6"/>
  <c r="D87" i="12"/>
  <c r="C91" i="12" s="1"/>
  <c r="D95" i="12"/>
  <c r="D103" i="12"/>
  <c r="D111" i="12"/>
  <c r="D139" i="12"/>
  <c r="C142" i="12" s="1"/>
  <c r="D131" i="12"/>
  <c r="D147" i="12"/>
  <c r="C151" i="12" s="1"/>
  <c r="D155" i="12"/>
  <c r="G170" i="6"/>
  <c r="G241" i="6"/>
  <c r="D420" i="6"/>
  <c r="E394" i="6"/>
  <c r="F170" i="6"/>
  <c r="F302" i="6"/>
  <c r="E392" i="6"/>
  <c r="E418" i="6" s="1"/>
  <c r="D418" i="6"/>
  <c r="D431" i="6"/>
  <c r="E405" i="6"/>
  <c r="E391" i="6"/>
  <c r="D417" i="6"/>
  <c r="D421" i="6" s="1"/>
  <c r="F412" i="6"/>
  <c r="E385" i="6"/>
  <c r="E411" i="6" s="1"/>
  <c r="D411" i="6"/>
  <c r="H228" i="6"/>
  <c r="F228" i="6"/>
  <c r="E125" i="6"/>
  <c r="E130" i="6"/>
  <c r="E8" i="6" s="1"/>
  <c r="E17" i="6"/>
  <c r="E150" i="6"/>
  <c r="E71" i="6"/>
  <c r="D413" i="6"/>
  <c r="E387" i="6"/>
  <c r="G238" i="6"/>
  <c r="H238" i="6"/>
  <c r="E238" i="6"/>
  <c r="D238" i="6"/>
  <c r="D245" i="6"/>
  <c r="D172" i="6"/>
  <c r="D173" i="6" s="1"/>
  <c r="D175" i="6" s="1"/>
  <c r="F238" i="6"/>
  <c r="F140" i="6"/>
  <c r="M389" i="6"/>
  <c r="H262" i="6"/>
  <c r="H261" i="6" s="1"/>
  <c r="H284" i="6" s="1"/>
  <c r="H241" i="6"/>
  <c r="H240" i="6"/>
  <c r="E160" i="6"/>
  <c r="E229" i="6"/>
  <c r="D110" i="6"/>
  <c r="D112" i="6"/>
  <c r="E209" i="6"/>
  <c r="G209" i="6"/>
  <c r="A70" i="6"/>
  <c r="G125" i="6"/>
  <c r="G130" i="6" s="1"/>
  <c r="G8" i="6"/>
  <c r="G17" i="6"/>
  <c r="G150" i="6"/>
  <c r="G263" i="6"/>
  <c r="E169" i="6"/>
  <c r="G221" i="6"/>
  <c r="H221" i="6"/>
  <c r="F392" i="6"/>
  <c r="G392" i="6" s="1"/>
  <c r="E420" i="6"/>
  <c r="F394" i="6"/>
  <c r="F232" i="8"/>
  <c r="B115" i="12" s="1"/>
  <c r="C89" i="12"/>
  <c r="C90" i="12"/>
  <c r="E50" i="8"/>
  <c r="E151" i="8"/>
  <c r="E181" i="8"/>
  <c r="E124" i="8"/>
  <c r="E128" i="8"/>
  <c r="E51" i="8"/>
  <c r="E127" i="8"/>
  <c r="E160" i="8" s="1"/>
  <c r="D156" i="3"/>
  <c r="E68" i="6"/>
  <c r="E81" i="6" s="1"/>
  <c r="E37" i="6" s="1"/>
  <c r="C150" i="12"/>
  <c r="C149" i="12"/>
  <c r="D32" i="13"/>
  <c r="P32" i="13"/>
  <c r="AA32" i="13"/>
  <c r="D53" i="13"/>
  <c r="D8" i="12"/>
  <c r="D23" i="12"/>
  <c r="F387" i="6"/>
  <c r="E413" i="6"/>
  <c r="F385" i="6"/>
  <c r="F411" i="6" s="1"/>
  <c r="C133" i="12"/>
  <c r="C135" i="12"/>
  <c r="C134" i="12"/>
  <c r="G278" i="6"/>
  <c r="F296" i="6"/>
  <c r="F71" i="6"/>
  <c r="E417" i="6"/>
  <c r="F391" i="6"/>
  <c r="E431" i="6"/>
  <c r="F405" i="6"/>
  <c r="G405" i="6" s="1"/>
  <c r="H4" i="8"/>
  <c r="D24" i="4"/>
  <c r="D18" i="17" s="1"/>
  <c r="D38" i="17" s="1"/>
  <c r="E219" i="6"/>
  <c r="F219" i="6"/>
  <c r="G219" i="6"/>
  <c r="H219" i="6"/>
  <c r="C159" i="12"/>
  <c r="C157" i="12"/>
  <c r="C158" i="12"/>
  <c r="E82" i="8"/>
  <c r="C143" i="12"/>
  <c r="H386" i="6"/>
  <c r="H412" i="6"/>
  <c r="D17" i="17"/>
  <c r="D32" i="17" s="1"/>
  <c r="F413" i="6"/>
  <c r="G387" i="6"/>
  <c r="G413" i="6" s="1"/>
  <c r="F431" i="6"/>
  <c r="G385" i="6"/>
  <c r="H385" i="6" s="1"/>
  <c r="H411" i="6" s="1"/>
  <c r="F418" i="6"/>
  <c r="F80" i="6"/>
  <c r="F36" i="6" s="1"/>
  <c r="G296" i="6"/>
  <c r="H278" i="6"/>
  <c r="G302" i="6"/>
  <c r="H302" i="6"/>
  <c r="H387" i="6"/>
  <c r="H413" i="6"/>
  <c r="H405" i="6"/>
  <c r="H431" i="6" s="1"/>
  <c r="G431" i="6"/>
  <c r="G411" i="6"/>
  <c r="H392" i="6"/>
  <c r="H418" i="6" s="1"/>
  <c r="G418" i="6"/>
  <c r="H290" i="6"/>
  <c r="J112" i="4"/>
  <c r="H70" i="14" s="1"/>
  <c r="J114" i="4"/>
  <c r="H72" i="14" s="1"/>
  <c r="G70" i="14"/>
  <c r="G72" i="14"/>
  <c r="Q114" i="4"/>
  <c r="N72" i="14" s="1"/>
  <c r="P114" i="4"/>
  <c r="M72" i="14" s="1"/>
  <c r="O114" i="4"/>
  <c r="Q113" i="4"/>
  <c r="N71" i="14" s="1"/>
  <c r="P113" i="4"/>
  <c r="M71" i="14" s="1"/>
  <c r="O113" i="4"/>
  <c r="Q112" i="4"/>
  <c r="N70" i="14" s="1"/>
  <c r="O112" i="4"/>
  <c r="P112" i="4"/>
  <c r="M70" i="14" s="1"/>
  <c r="J47" i="13"/>
  <c r="I8" i="13"/>
  <c r="I6" i="13"/>
  <c r="I7" i="13"/>
  <c r="I9" i="13"/>
  <c r="I26" i="16"/>
  <c r="H25" i="16"/>
  <c r="G61" i="12"/>
  <c r="I25" i="16"/>
  <c r="G25" i="4"/>
  <c r="E41" i="12"/>
  <c r="E24" i="4"/>
  <c r="E8" i="14"/>
  <c r="E51" i="13" s="1"/>
  <c r="F21" i="12"/>
  <c r="G27" i="19" l="1"/>
  <c r="S44" i="14"/>
  <c r="S30" i="14"/>
  <c r="T32" i="14"/>
  <c r="F27" i="19"/>
  <c r="C16" i="13"/>
  <c r="C15" i="13" s="1"/>
  <c r="T60" i="14"/>
  <c r="E99" i="3"/>
  <c r="F125" i="8"/>
  <c r="F130" i="8" s="1"/>
  <c r="F50" i="3"/>
  <c r="F102" i="8" s="1"/>
  <c r="J26" i="16"/>
  <c r="I24" i="16"/>
  <c r="S33" i="14"/>
  <c r="S53" i="14"/>
  <c r="T66" i="14"/>
  <c r="S67" i="14"/>
  <c r="E27" i="19"/>
  <c r="C94" i="3"/>
  <c r="D6" i="17"/>
  <c r="C22" i="4"/>
  <c r="C22" i="19" s="1"/>
  <c r="A38" i="4"/>
  <c r="A47" i="4"/>
  <c r="H160" i="6"/>
  <c r="H180" i="6" s="1"/>
  <c r="H130" i="6"/>
  <c r="H8" i="6" s="1"/>
  <c r="H17" i="6" s="1"/>
  <c r="H232" i="6"/>
  <c r="H296" i="6"/>
  <c r="G68" i="6"/>
  <c r="G55" i="6"/>
  <c r="G9" i="6" s="1"/>
  <c r="G18" i="6" s="1"/>
  <c r="H308" i="6"/>
  <c r="G261" i="6"/>
  <c r="G284" i="6" s="1"/>
  <c r="G290" i="6"/>
  <c r="C99" i="12"/>
  <c r="C98" i="12"/>
  <c r="C97" i="12"/>
  <c r="C114" i="12"/>
  <c r="F231" i="8"/>
  <c r="D180" i="12"/>
  <c r="D22" i="4"/>
  <c r="D16" i="4"/>
  <c r="D6" i="12" s="1"/>
  <c r="D21" i="12"/>
  <c r="D22" i="12"/>
  <c r="J48" i="13"/>
  <c r="I48" i="13"/>
  <c r="D55" i="6"/>
  <c r="D9" i="6" s="1"/>
  <c r="D18" i="6" s="1"/>
  <c r="D68" i="6"/>
  <c r="D81" i="6" s="1"/>
  <c r="D37" i="6" s="1"/>
  <c r="F220" i="6"/>
  <c r="G220" i="6"/>
  <c r="E145" i="4"/>
  <c r="F145" i="4" s="1"/>
  <c r="G145" i="4" s="1"/>
  <c r="H145" i="4" s="1"/>
  <c r="E22" i="13"/>
  <c r="G211" i="6"/>
  <c r="G180" i="6"/>
  <c r="D261" i="6"/>
  <c r="D284" i="6" s="1"/>
  <c r="D290" i="6" s="1"/>
  <c r="D289" i="6" s="1"/>
  <c r="D291" i="6" s="1"/>
  <c r="E288" i="6" s="1"/>
  <c r="H245" i="6"/>
  <c r="H172" i="6" s="1"/>
  <c r="F273" i="8"/>
  <c r="F279" i="8" s="1"/>
  <c r="F23" i="3"/>
  <c r="E402" i="6"/>
  <c r="D428" i="6"/>
  <c r="D432" i="6" s="1"/>
  <c r="H55" i="6"/>
  <c r="H9" i="6" s="1"/>
  <c r="H18" i="6" s="1"/>
  <c r="H68" i="6"/>
  <c r="D122" i="8"/>
  <c r="D128" i="8"/>
  <c r="E230" i="8" s="1"/>
  <c r="D151" i="8"/>
  <c r="D181" i="8" s="1"/>
  <c r="B149" i="12"/>
  <c r="D124" i="8"/>
  <c r="D51" i="8"/>
  <c r="C156" i="3"/>
  <c r="B156" i="3" s="1"/>
  <c r="D123" i="8"/>
  <c r="D127" i="8"/>
  <c r="D50" i="8"/>
  <c r="D49" i="8"/>
  <c r="D184" i="12"/>
  <c r="B239" i="12" s="1"/>
  <c r="D61" i="12"/>
  <c r="D25" i="4"/>
  <c r="D19" i="17" s="1"/>
  <c r="D44" i="17" s="1"/>
  <c r="F140" i="8"/>
  <c r="D93" i="8"/>
  <c r="F417" i="6"/>
  <c r="G391" i="6"/>
  <c r="AA103" i="12"/>
  <c r="AA147" i="12"/>
  <c r="AA155" i="12"/>
  <c r="AA49" i="12"/>
  <c r="AA111" i="12"/>
  <c r="AA95" i="12"/>
  <c r="AA189" i="12"/>
  <c r="AA249" i="12"/>
  <c r="AA29" i="12"/>
  <c r="AA179" i="12"/>
  <c r="AA201" i="12"/>
  <c r="AA69" i="12"/>
  <c r="AA139" i="12"/>
  <c r="AA19" i="12"/>
  <c r="AA39" i="12"/>
  <c r="AA81" i="12"/>
  <c r="AA213" i="12"/>
  <c r="AA237" i="12"/>
  <c r="AA87" i="12"/>
  <c r="AA169" i="12"/>
  <c r="D260" i="8"/>
  <c r="D425" i="6"/>
  <c r="E399" i="6"/>
  <c r="H210" i="6"/>
  <c r="G210" i="6"/>
  <c r="F210" i="6"/>
  <c r="F263" i="6"/>
  <c r="F125" i="6"/>
  <c r="F130" i="6" s="1"/>
  <c r="F8" i="6" s="1"/>
  <c r="F17" i="6" s="1"/>
  <c r="D125" i="6"/>
  <c r="D130" i="6" s="1"/>
  <c r="D8" i="6" s="1"/>
  <c r="D17" i="6" s="1"/>
  <c r="D140" i="6"/>
  <c r="E18" i="17"/>
  <c r="E38" i="17" s="1"/>
  <c r="F185" i="3"/>
  <c r="G71" i="6"/>
  <c r="G403" i="6"/>
  <c r="F235" i="6"/>
  <c r="F162" i="6" s="1"/>
  <c r="C139" i="3"/>
  <c r="F90" i="8"/>
  <c r="D90" i="8"/>
  <c r="C141" i="3"/>
  <c r="E272" i="8"/>
  <c r="E274" i="8" s="1"/>
  <c r="F271" i="8" s="1"/>
  <c r="AA131" i="12"/>
  <c r="AA125" i="12"/>
  <c r="E301" i="6"/>
  <c r="E303" i="6" s="1"/>
  <c r="F300" i="6" s="1"/>
  <c r="G230" i="6"/>
  <c r="H230" i="6"/>
  <c r="H235" i="6" s="1"/>
  <c r="H162" i="6" s="1"/>
  <c r="F230" i="6"/>
  <c r="F420" i="6"/>
  <c r="G394" i="6"/>
  <c r="D192" i="8"/>
  <c r="C222" i="8" s="1"/>
  <c r="F192" i="8"/>
  <c r="C224" i="8" s="1"/>
  <c r="E192" i="8"/>
  <c r="C223" i="8" s="1"/>
  <c r="C12" i="3"/>
  <c r="W57" i="17"/>
  <c r="E170" i="8"/>
  <c r="E231" i="8"/>
  <c r="D191" i="3"/>
  <c r="X57" i="17"/>
  <c r="P57" i="17"/>
  <c r="V57" i="17"/>
  <c r="AA225" i="12"/>
  <c r="F216" i="8"/>
  <c r="B99" i="12" s="1"/>
  <c r="E239" i="6"/>
  <c r="E245" i="6" s="1"/>
  <c r="E172" i="6" s="1"/>
  <c r="E302" i="6"/>
  <c r="E170" i="6"/>
  <c r="E180" i="6" s="1"/>
  <c r="E254" i="8"/>
  <c r="E150" i="8"/>
  <c r="F215" i="8" s="1"/>
  <c r="A98" i="3"/>
  <c r="A47" i="17"/>
  <c r="A20" i="17"/>
  <c r="A26" i="4"/>
  <c r="F404" i="6"/>
  <c r="E430" i="6"/>
  <c r="D42" i="17"/>
  <c r="P111" i="12"/>
  <c r="P95" i="12"/>
  <c r="P169" i="12"/>
  <c r="P103" i="12"/>
  <c r="P237" i="12"/>
  <c r="P131" i="12"/>
  <c r="P87" i="12"/>
  <c r="P125" i="12"/>
  <c r="P225" i="12"/>
  <c r="P39" i="12"/>
  <c r="P81" i="12"/>
  <c r="P155" i="12"/>
  <c r="P49" i="12"/>
  <c r="P59" i="12"/>
  <c r="P179" i="12"/>
  <c r="P29" i="12"/>
  <c r="P201" i="12"/>
  <c r="P139" i="12"/>
  <c r="I49" i="12"/>
  <c r="I87" i="12"/>
  <c r="I139" i="12"/>
  <c r="I189" i="12"/>
  <c r="I225" i="12"/>
  <c r="I39" i="12"/>
  <c r="I81" i="12"/>
  <c r="I131" i="12"/>
  <c r="I213" i="12"/>
  <c r="I237" i="12"/>
  <c r="I29" i="12"/>
  <c r="I69" i="12"/>
  <c r="I179" i="12"/>
  <c r="I111" i="12"/>
  <c r="I95" i="12"/>
  <c r="I59" i="12"/>
  <c r="I201" i="12"/>
  <c r="I249" i="12"/>
  <c r="I169" i="12"/>
  <c r="I125" i="12"/>
  <c r="F274" i="6"/>
  <c r="F262" i="6" s="1"/>
  <c r="G240" i="6"/>
  <c r="F240" i="6"/>
  <c r="H220" i="6"/>
  <c r="E185" i="3"/>
  <c r="E80" i="6"/>
  <c r="E36" i="6" s="1"/>
  <c r="C113" i="12"/>
  <c r="D193" i="3"/>
  <c r="D200" i="3" s="1"/>
  <c r="D201" i="3" s="1"/>
  <c r="D266" i="8"/>
  <c r="D268" i="8" s="1"/>
  <c r="E265" i="8" s="1"/>
  <c r="H218" i="6"/>
  <c r="E218" i="6"/>
  <c r="E225" i="6" s="1"/>
  <c r="E152" i="6" s="1"/>
  <c r="F218" i="6"/>
  <c r="F225" i="6" s="1"/>
  <c r="F152" i="6" s="1"/>
  <c r="G218" i="6"/>
  <c r="G225" i="6" s="1"/>
  <c r="G152" i="6" s="1"/>
  <c r="D218" i="6"/>
  <c r="D225" i="6" s="1"/>
  <c r="D152" i="6" s="1"/>
  <c r="D153" i="6" s="1"/>
  <c r="D192" i="3"/>
  <c r="E191" i="3"/>
  <c r="E267" i="8"/>
  <c r="E279" i="8" s="1"/>
  <c r="E23" i="3"/>
  <c r="E261" i="6"/>
  <c r="E284" i="6" s="1"/>
  <c r="H239" i="6"/>
  <c r="F239" i="6"/>
  <c r="G239" i="6"/>
  <c r="G245" i="6" s="1"/>
  <c r="G172" i="6" s="1"/>
  <c r="D160" i="6"/>
  <c r="D296" i="6"/>
  <c r="D295" i="6" s="1"/>
  <c r="D297" i="6" s="1"/>
  <c r="E294" i="6" s="1"/>
  <c r="G228" i="6"/>
  <c r="G235" i="6" s="1"/>
  <c r="G162" i="6" s="1"/>
  <c r="D228" i="6"/>
  <c r="D235" i="6" s="1"/>
  <c r="D162" i="6" s="1"/>
  <c r="E228" i="6"/>
  <c r="E235" i="6" s="1"/>
  <c r="E162" i="6" s="1"/>
  <c r="D185" i="3"/>
  <c r="D80" i="6"/>
  <c r="D36" i="6" s="1"/>
  <c r="E17" i="17"/>
  <c r="E32" i="17" s="1"/>
  <c r="F180" i="6"/>
  <c r="F191" i="3"/>
  <c r="V179" i="12"/>
  <c r="V81" i="12"/>
  <c r="V201" i="12"/>
  <c r="V125" i="12"/>
  <c r="V225" i="12"/>
  <c r="V237" i="12"/>
  <c r="V59" i="12"/>
  <c r="V131" i="12"/>
  <c r="V111" i="12"/>
  <c r="V249" i="12"/>
  <c r="V139" i="12"/>
  <c r="V169" i="12"/>
  <c r="V29" i="12"/>
  <c r="V39" i="12"/>
  <c r="V147" i="12"/>
  <c r="V95" i="12"/>
  <c r="O111" i="12"/>
  <c r="O155" i="12"/>
  <c r="O169" i="12"/>
  <c r="O95" i="12"/>
  <c r="O201" i="12"/>
  <c r="O249" i="12"/>
  <c r="O147" i="12"/>
  <c r="O39" i="12"/>
  <c r="O87" i="12"/>
  <c r="O225" i="12"/>
  <c r="O49" i="12"/>
  <c r="O213" i="12"/>
  <c r="O131" i="12"/>
  <c r="O237" i="12"/>
  <c r="O125" i="12"/>
  <c r="O179" i="12"/>
  <c r="F398" i="6"/>
  <c r="E424" i="6"/>
  <c r="T70" i="14"/>
  <c r="C141" i="12"/>
  <c r="Z201" i="12"/>
  <c r="Z39" i="12"/>
  <c r="Z131" i="12"/>
  <c r="Z213" i="12"/>
  <c r="Z29" i="12"/>
  <c r="Z49" i="12"/>
  <c r="Z189" i="12"/>
  <c r="Z139" i="12"/>
  <c r="Z87" i="12"/>
  <c r="Z103" i="12"/>
  <c r="Z179" i="12"/>
  <c r="Z59" i="12"/>
  <c r="T19" i="12"/>
  <c r="T29" i="12"/>
  <c r="T131" i="12"/>
  <c r="T213" i="12"/>
  <c r="T81" i="12"/>
  <c r="T87" i="12"/>
  <c r="T139" i="12"/>
  <c r="T225" i="12"/>
  <c r="T59" i="12"/>
  <c r="T69" i="12"/>
  <c r="T125" i="12"/>
  <c r="T169" i="12"/>
  <c r="T147" i="12"/>
  <c r="T179" i="12"/>
  <c r="T39" i="12"/>
  <c r="T103" i="12"/>
  <c r="T49" i="12"/>
  <c r="T189" i="12"/>
  <c r="E59" i="12"/>
  <c r="E19" i="12"/>
  <c r="E111" i="12"/>
  <c r="E155" i="12"/>
  <c r="E49" i="12"/>
  <c r="E95" i="12"/>
  <c r="E139" i="12"/>
  <c r="E179" i="12"/>
  <c r="E237" i="12"/>
  <c r="E225" i="12"/>
  <c r="E69" i="12"/>
  <c r="E388" i="6"/>
  <c r="D414" i="6"/>
  <c r="D415" i="6" s="1"/>
  <c r="D435" i="6" s="1"/>
  <c r="C115" i="12"/>
  <c r="I27" i="19"/>
  <c r="G45" i="13"/>
  <c r="F45" i="13"/>
  <c r="H45" i="13"/>
  <c r="E45" i="13"/>
  <c r="D45" i="13"/>
  <c r="H211" i="6"/>
  <c r="E49" i="8"/>
  <c r="E52" i="8" s="1"/>
  <c r="E93" i="8"/>
  <c r="E72" i="12"/>
  <c r="F52" i="12"/>
  <c r="G62" i="12"/>
  <c r="E52" i="12"/>
  <c r="D40" i="4"/>
  <c r="D7" i="12" s="1"/>
  <c r="D52" i="13" s="1"/>
  <c r="F63" i="12"/>
  <c r="G42" i="12"/>
  <c r="E63" i="12"/>
  <c r="F42" i="12"/>
  <c r="F17" i="17"/>
  <c r="F32" i="17" s="1"/>
  <c r="F43" i="12"/>
  <c r="C14" i="13"/>
  <c r="U57" i="17"/>
  <c r="U39" i="12"/>
  <c r="U49" i="12"/>
  <c r="U237" i="12"/>
  <c r="U19" i="12"/>
  <c r="U131" i="12"/>
  <c r="U225" i="12"/>
  <c r="U59" i="12"/>
  <c r="N103" i="12"/>
  <c r="N87" i="12"/>
  <c r="E122" i="8"/>
  <c r="E15" i="8"/>
  <c r="E118" i="3"/>
  <c r="C25" i="4"/>
  <c r="C25" i="19" s="1"/>
  <c r="C97" i="3"/>
  <c r="K59" i="12"/>
  <c r="K49" i="12"/>
  <c r="K87" i="12"/>
  <c r="K147" i="12"/>
  <c r="K189" i="12"/>
  <c r="K139" i="12"/>
  <c r="K179" i="12"/>
  <c r="K225" i="12"/>
  <c r="K39" i="12"/>
  <c r="K81" i="12"/>
  <c r="K131" i="12"/>
  <c r="F52" i="8"/>
  <c r="E393" i="6"/>
  <c r="J389" i="6"/>
  <c r="E228" i="3"/>
  <c r="E192" i="3" s="1"/>
  <c r="F22" i="12"/>
  <c r="F62" i="12"/>
  <c r="T35" i="14"/>
  <c r="D50" i="3"/>
  <c r="D279" i="8"/>
  <c r="D27" i="19"/>
  <c r="D426" i="6"/>
  <c r="G22" i="12"/>
  <c r="F72" i="12"/>
  <c r="E73" i="12"/>
  <c r="T55" i="14"/>
  <c r="F192" i="3"/>
  <c r="F99" i="3"/>
  <c r="D118" i="3"/>
  <c r="J27" i="19"/>
  <c r="Z57" i="17"/>
  <c r="J147" i="12"/>
  <c r="J139" i="12"/>
  <c r="J179" i="12"/>
  <c r="J225" i="12"/>
  <c r="J39" i="12"/>
  <c r="J81" i="12"/>
  <c r="J131" i="12"/>
  <c r="J213" i="12"/>
  <c r="J237" i="12"/>
  <c r="J69" i="12"/>
  <c r="F228" i="3"/>
  <c r="F110" i="6"/>
  <c r="F112" i="6" s="1"/>
  <c r="F114" i="6" s="1"/>
  <c r="F198" i="3"/>
  <c r="F73" i="12"/>
  <c r="K4" i="8"/>
  <c r="M49" i="12"/>
  <c r="G19" i="12"/>
  <c r="S39" i="12"/>
  <c r="M81" i="12"/>
  <c r="T52" i="14"/>
  <c r="T46" i="14"/>
  <c r="S69" i="12"/>
  <c r="G69" i="12"/>
  <c r="T30" i="14"/>
  <c r="S57" i="14"/>
  <c r="S74" i="14"/>
  <c r="G39" i="12"/>
  <c r="S56" i="14"/>
  <c r="T42" i="14"/>
  <c r="S31" i="14"/>
  <c r="S59" i="14"/>
  <c r="S65" i="14"/>
  <c r="J22" i="16"/>
  <c r="I47" i="13"/>
  <c r="S58" i="14"/>
  <c r="F41" i="12"/>
  <c r="I14" i="13"/>
  <c r="H22" i="16"/>
  <c r="I11" i="13"/>
  <c r="J22" i="13"/>
  <c r="T73" i="14"/>
  <c r="S43" i="14"/>
  <c r="T56" i="14"/>
  <c r="T36" i="14"/>
  <c r="T69" i="14"/>
  <c r="J16" i="16"/>
  <c r="E22" i="4"/>
  <c r="E16" i="17" s="1"/>
  <c r="T33" i="14"/>
  <c r="S34" i="14"/>
  <c r="S40" i="14"/>
  <c r="T44" i="14"/>
  <c r="S45" i="14"/>
  <c r="T50" i="14"/>
  <c r="S51" i="14"/>
  <c r="T58" i="14"/>
  <c r="T64" i="14"/>
  <c r="T67" i="14"/>
  <c r="S68" i="14"/>
  <c r="T74" i="14"/>
  <c r="H16" i="16"/>
  <c r="T31" i="14"/>
  <c r="S32" i="14"/>
  <c r="T34" i="14"/>
  <c r="T45" i="14"/>
  <c r="S46" i="14"/>
  <c r="T51" i="14"/>
  <c r="S52" i="14"/>
  <c r="S55" i="14"/>
  <c r="T59" i="14"/>
  <c r="S60" i="14"/>
  <c r="T65" i="14"/>
  <c r="S66" i="14"/>
  <c r="S71" i="14"/>
  <c r="S73" i="14"/>
  <c r="S64" i="14"/>
  <c r="H26" i="16"/>
  <c r="S42" i="14"/>
  <c r="F32" i="12"/>
  <c r="I40" i="16"/>
  <c r="I16" i="16"/>
  <c r="I49" i="16"/>
  <c r="F31" i="12"/>
  <c r="I22" i="16"/>
  <c r="G49" i="4"/>
  <c r="G8" i="12" s="1"/>
  <c r="G21" i="12"/>
  <c r="AC32" i="13"/>
  <c r="F32" i="13"/>
  <c r="R32" i="13"/>
  <c r="F53" i="13"/>
  <c r="I22" i="13"/>
  <c r="E31" i="12"/>
  <c r="E181" i="12"/>
  <c r="B204" i="12" s="1"/>
  <c r="E21" i="12"/>
  <c r="E53" i="13"/>
  <c r="AB32" i="13"/>
  <c r="Q32" i="13"/>
  <c r="E32" i="13"/>
  <c r="I139" i="4"/>
  <c r="I10" i="13"/>
  <c r="T72" i="14"/>
  <c r="G72" i="12"/>
  <c r="G185" i="12"/>
  <c r="B254" i="12" s="1"/>
  <c r="H40" i="16"/>
  <c r="J40" i="16"/>
  <c r="F181" i="12"/>
  <c r="H24" i="16"/>
  <c r="J25" i="16"/>
  <c r="T68" i="14"/>
  <c r="H49" i="16"/>
  <c r="E51" i="12"/>
  <c r="J49" i="16"/>
  <c r="I16" i="13"/>
  <c r="AD32" i="13"/>
  <c r="T71" i="14"/>
  <c r="T43" i="14"/>
  <c r="T53" i="14"/>
  <c r="S54" i="14"/>
  <c r="S35" i="14"/>
  <c r="T40" i="14"/>
  <c r="S41" i="14"/>
  <c r="T54" i="14"/>
  <c r="S69" i="14"/>
  <c r="J24" i="16"/>
  <c r="S72" i="14"/>
  <c r="G23" i="12"/>
  <c r="S70" i="14"/>
  <c r="G63" i="12"/>
  <c r="G32" i="12"/>
  <c r="S50" i="14"/>
  <c r="T57" i="14"/>
  <c r="S36" i="14"/>
  <c r="T41" i="14"/>
  <c r="E46" i="13" l="1"/>
  <c r="F46" i="13"/>
  <c r="I145" i="4"/>
  <c r="H47" i="4"/>
  <c r="H63" i="12" s="1"/>
  <c r="H45" i="4"/>
  <c r="H43" i="12" s="1"/>
  <c r="H38" i="4"/>
  <c r="H62" i="12" s="1"/>
  <c r="H36" i="4"/>
  <c r="H42" i="12" s="1"/>
  <c r="H15" i="4"/>
  <c r="H11" i="4"/>
  <c r="H31" i="12" s="1"/>
  <c r="H55" i="4"/>
  <c r="AE32" i="13" s="1"/>
  <c r="H48" i="4"/>
  <c r="H73" i="12" s="1"/>
  <c r="H46" i="4"/>
  <c r="H53" i="12" s="1"/>
  <c r="H44" i="4"/>
  <c r="H33" i="12" s="1"/>
  <c r="H39" i="4"/>
  <c r="H72" i="12" s="1"/>
  <c r="H37" i="4"/>
  <c r="H52" i="12" s="1"/>
  <c r="H35" i="4"/>
  <c r="H32" i="12" s="1"/>
  <c r="H23" i="4"/>
  <c r="H17" i="17" s="1"/>
  <c r="H32" i="17" s="1"/>
  <c r="H14" i="4"/>
  <c r="H12" i="4"/>
  <c r="H10" i="4"/>
  <c r="H21" i="12" s="1"/>
  <c r="H43" i="4"/>
  <c r="H23" i="12" s="1"/>
  <c r="H34" i="4"/>
  <c r="H22" i="12" s="1"/>
  <c r="H13" i="4"/>
  <c r="H24" i="4" s="1"/>
  <c r="I27" i="16"/>
  <c r="F82" i="8"/>
  <c r="G53" i="13"/>
  <c r="G32" i="13"/>
  <c r="S32" i="13"/>
  <c r="F40" i="4"/>
  <c r="F7" i="12" s="1"/>
  <c r="F52" i="13" s="1"/>
  <c r="H46" i="13"/>
  <c r="I13" i="13"/>
  <c r="D46" i="13"/>
  <c r="G46" i="13"/>
  <c r="G19" i="17"/>
  <c r="G44" i="17" s="1"/>
  <c r="G180" i="12"/>
  <c r="B194" i="12" s="1"/>
  <c r="E183" i="12"/>
  <c r="B228" i="12" s="1"/>
  <c r="E228" i="12" s="1"/>
  <c r="F228" i="12" s="1"/>
  <c r="F68" i="6"/>
  <c r="F81" i="6" s="1"/>
  <c r="F37" i="6" s="1"/>
  <c r="F201" i="3"/>
  <c r="F55" i="6"/>
  <c r="F9" i="6" s="1"/>
  <c r="F18" i="6" s="1"/>
  <c r="D35" i="6"/>
  <c r="D16" i="6"/>
  <c r="F272" i="8"/>
  <c r="F274" i="8" s="1"/>
  <c r="D48" i="17" s="1"/>
  <c r="E289" i="6"/>
  <c r="E291" i="6" s="1"/>
  <c r="F288" i="6" s="1"/>
  <c r="F301" i="6"/>
  <c r="F303" i="6" s="1"/>
  <c r="G300" i="6" s="1"/>
  <c r="G398" i="6"/>
  <c r="F424" i="6"/>
  <c r="D115" i="12"/>
  <c r="E223" i="8"/>
  <c r="B106" i="12" s="1"/>
  <c r="C106" i="12"/>
  <c r="F223" i="8"/>
  <c r="G184" i="12"/>
  <c r="B242" i="12" s="1"/>
  <c r="G242" i="12" s="1"/>
  <c r="H242" i="12" s="1"/>
  <c r="F193" i="3"/>
  <c r="F200" i="3" s="1"/>
  <c r="C107" i="12"/>
  <c r="F224" i="8"/>
  <c r="B107" i="12" s="1"/>
  <c r="D5" i="8"/>
  <c r="D6" i="8" s="1"/>
  <c r="B143" i="12"/>
  <c r="D27" i="6"/>
  <c r="B158" i="12"/>
  <c r="E5" i="8"/>
  <c r="E6" i="8" s="1"/>
  <c r="B151" i="12"/>
  <c r="B150" i="12"/>
  <c r="B152" i="12" s="1"/>
  <c r="D60" i="12" s="1"/>
  <c r="B134" i="12"/>
  <c r="B159" i="12"/>
  <c r="F5" i="8"/>
  <c r="F6" i="8" s="1"/>
  <c r="B135" i="12"/>
  <c r="B142" i="12"/>
  <c r="H71" i="6"/>
  <c r="G185" i="3"/>
  <c r="G80" i="6"/>
  <c r="G36" i="6" s="1"/>
  <c r="F290" i="6"/>
  <c r="F261" i="6"/>
  <c r="F284" i="6" s="1"/>
  <c r="D262" i="8"/>
  <c r="D278" i="8"/>
  <c r="D103" i="8" s="1"/>
  <c r="D239" i="12"/>
  <c r="D246" i="12" s="1"/>
  <c r="B133" i="12"/>
  <c r="B191" i="12"/>
  <c r="I15" i="13"/>
  <c r="J46" i="13" s="1"/>
  <c r="F182" i="12"/>
  <c r="B217" i="12" s="1"/>
  <c r="F388" i="6"/>
  <c r="E414" i="6"/>
  <c r="E415" i="6" s="1"/>
  <c r="E295" i="6"/>
  <c r="E297" i="6" s="1"/>
  <c r="F294" i="6" s="1"/>
  <c r="E193" i="3"/>
  <c r="E200" i="3" s="1"/>
  <c r="E201" i="3" s="1"/>
  <c r="C201" i="3" s="1"/>
  <c r="E235" i="8"/>
  <c r="E172" i="8" s="1"/>
  <c r="G404" i="6"/>
  <c r="F430" i="6"/>
  <c r="F222" i="8"/>
  <c r="C105" i="12"/>
  <c r="E222" i="8"/>
  <c r="G417" i="6"/>
  <c r="H391" i="6"/>
  <c r="H417" i="6" s="1"/>
  <c r="B157" i="12"/>
  <c r="E308" i="6"/>
  <c r="E290" i="6"/>
  <c r="E43" i="8"/>
  <c r="E44" i="8"/>
  <c r="E45" i="8"/>
  <c r="F43" i="8"/>
  <c r="F45" i="8"/>
  <c r="D43" i="8"/>
  <c r="D44" i="8"/>
  <c r="F44" i="8"/>
  <c r="G308" i="6"/>
  <c r="C19" i="13"/>
  <c r="C13" i="13"/>
  <c r="C18" i="13" s="1"/>
  <c r="D45" i="8"/>
  <c r="E215" i="8"/>
  <c r="B98" i="12" s="1"/>
  <c r="D149" i="12"/>
  <c r="E149" i="12" s="1"/>
  <c r="F149" i="12" s="1"/>
  <c r="G149" i="12" s="1"/>
  <c r="H149" i="12" s="1"/>
  <c r="D283" i="6"/>
  <c r="D308" i="6"/>
  <c r="H27" i="16"/>
  <c r="F180" i="12"/>
  <c r="B193" i="12" s="1"/>
  <c r="F193" i="12" s="1"/>
  <c r="E419" i="6"/>
  <c r="E421" i="6" s="1"/>
  <c r="F393" i="6"/>
  <c r="B114" i="12"/>
  <c r="D114" i="12" s="1"/>
  <c r="G81" i="6"/>
  <c r="G37" i="6" s="1"/>
  <c r="G7" i="12"/>
  <c r="G52" i="13" s="1"/>
  <c r="F22" i="4"/>
  <c r="F16" i="17" s="1"/>
  <c r="G182" i="12"/>
  <c r="B218" i="12" s="1"/>
  <c r="D102" i="8"/>
  <c r="D82" i="8"/>
  <c r="E125" i="8"/>
  <c r="E130" i="8" s="1"/>
  <c r="E140" i="8"/>
  <c r="D185" i="12"/>
  <c r="B251" i="12" s="1"/>
  <c r="D26" i="4"/>
  <c r="D20" i="17" s="1"/>
  <c r="D50" i="17" s="1"/>
  <c r="D71" i="12"/>
  <c r="F245" i="6"/>
  <c r="F172" i="6" s="1"/>
  <c r="E173" i="6"/>
  <c r="G420" i="6"/>
  <c r="H394" i="6"/>
  <c r="H420" i="6" s="1"/>
  <c r="E425" i="6"/>
  <c r="E426" i="6" s="1"/>
  <c r="F399" i="6"/>
  <c r="D160" i="8"/>
  <c r="D222" i="8"/>
  <c r="D227" i="8" s="1"/>
  <c r="D162" i="8" s="1"/>
  <c r="B141" i="12"/>
  <c r="D43" i="17"/>
  <c r="D45" i="17" s="1"/>
  <c r="E42" i="17" s="1"/>
  <c r="D155" i="6"/>
  <c r="E149" i="6"/>
  <c r="E153" i="6" s="1"/>
  <c r="D140" i="8"/>
  <c r="D125" i="8"/>
  <c r="D130" i="8" s="1"/>
  <c r="H403" i="6"/>
  <c r="H429" i="6" s="1"/>
  <c r="G429" i="6"/>
  <c r="H81" i="6"/>
  <c r="H37" i="6" s="1"/>
  <c r="D16" i="17"/>
  <c r="J27" i="16"/>
  <c r="D163" i="6"/>
  <c r="H225" i="6"/>
  <c r="H152" i="6" s="1"/>
  <c r="D52" i="8"/>
  <c r="F402" i="6"/>
  <c r="E428" i="6"/>
  <c r="E432" i="6" s="1"/>
  <c r="D41" i="12"/>
  <c r="D182" i="12"/>
  <c r="B215" i="12" s="1"/>
  <c r="D52" i="12"/>
  <c r="D183" i="12"/>
  <c r="B227" i="12" s="1"/>
  <c r="D31" i="12"/>
  <c r="D181" i="12"/>
  <c r="B203" i="12" s="1"/>
  <c r="E266" i="8"/>
  <c r="E268" i="8" s="1"/>
  <c r="F265" i="8" s="1"/>
  <c r="E256" i="8"/>
  <c r="E208" i="6"/>
  <c r="E215" i="6" s="1"/>
  <c r="E142" i="6" s="1"/>
  <c r="E182" i="6" s="1"/>
  <c r="E54" i="6" s="1"/>
  <c r="D180" i="6"/>
  <c r="F208" i="6"/>
  <c r="F215" i="6" s="1"/>
  <c r="F142" i="6" s="1"/>
  <c r="H208" i="6"/>
  <c r="H215" i="6" s="1"/>
  <c r="H142" i="6" s="1"/>
  <c r="H182" i="6" s="1"/>
  <c r="H54" i="6" s="1"/>
  <c r="G208" i="6"/>
  <c r="G215" i="6" s="1"/>
  <c r="G142" i="6" s="1"/>
  <c r="G182" i="6" s="1"/>
  <c r="G54" i="6" s="1"/>
  <c r="D208" i="6"/>
  <c r="D215" i="6" s="1"/>
  <c r="D142" i="6" s="1"/>
  <c r="D182" i="6" s="1"/>
  <c r="D54" i="6" s="1"/>
  <c r="F180" i="8"/>
  <c r="F208" i="8"/>
  <c r="B91" i="12" s="1"/>
  <c r="D150" i="8"/>
  <c r="D170" i="8"/>
  <c r="D230" i="8"/>
  <c r="D235" i="8" s="1"/>
  <c r="D172" i="8" s="1"/>
  <c r="F230" i="8"/>
  <c r="F235" i="8" s="1"/>
  <c r="F172" i="8" s="1"/>
  <c r="D99" i="12"/>
  <c r="H51" i="13"/>
  <c r="G24" i="4"/>
  <c r="G18" i="17" s="1"/>
  <c r="G38" i="17" s="1"/>
  <c r="G51" i="12"/>
  <c r="F16" i="4"/>
  <c r="F6" i="12" s="1"/>
  <c r="E16" i="4"/>
  <c r="E6" i="12" s="1"/>
  <c r="F185" i="12"/>
  <c r="B253" i="12" s="1"/>
  <c r="F253" i="12" s="1"/>
  <c r="G253" i="12" s="1"/>
  <c r="F71" i="12"/>
  <c r="F26" i="4"/>
  <c r="F20" i="17" s="1"/>
  <c r="F50" i="17" s="1"/>
  <c r="G26" i="4"/>
  <c r="G20" i="17" s="1"/>
  <c r="G50" i="17" s="1"/>
  <c r="G71" i="12"/>
  <c r="G51" i="13"/>
  <c r="T76" i="14"/>
  <c r="J8" i="14" s="1"/>
  <c r="J51" i="13" s="1"/>
  <c r="S76" i="14"/>
  <c r="I8" i="14" s="1"/>
  <c r="I51" i="13" s="1"/>
  <c r="G16" i="4"/>
  <c r="G6" i="12" s="1"/>
  <c r="B205" i="12"/>
  <c r="E26" i="17"/>
  <c r="G52" i="12"/>
  <c r="G183" i="12"/>
  <c r="B230" i="12" s="1"/>
  <c r="I45" i="13"/>
  <c r="J45" i="13"/>
  <c r="E184" i="12"/>
  <c r="B240" i="12" s="1"/>
  <c r="E25" i="4"/>
  <c r="E61" i="12"/>
  <c r="F61" i="12"/>
  <c r="F25" i="4"/>
  <c r="F19" i="17" s="1"/>
  <c r="F44" i="17" s="1"/>
  <c r="F184" i="12"/>
  <c r="B241" i="12" s="1"/>
  <c r="F24" i="4"/>
  <c r="F18" i="17" s="1"/>
  <c r="F38" i="17" s="1"/>
  <c r="F183" i="12"/>
  <c r="B229" i="12" s="1"/>
  <c r="F51" i="12"/>
  <c r="G17" i="17"/>
  <c r="G32" i="17" s="1"/>
  <c r="G22" i="4"/>
  <c r="F51" i="13"/>
  <c r="G254" i="12"/>
  <c r="H254" i="12" s="1"/>
  <c r="G33" i="12"/>
  <c r="G181" i="12"/>
  <c r="B206" i="12" s="1"/>
  <c r="F33" i="12"/>
  <c r="F49" i="4"/>
  <c r="F8" i="12" s="1"/>
  <c r="E204" i="12"/>
  <c r="E23" i="12"/>
  <c r="E49" i="4"/>
  <c r="E8" i="12" s="1"/>
  <c r="E180" i="12"/>
  <c r="I19" i="13"/>
  <c r="E185" i="12"/>
  <c r="B252" i="12" s="1"/>
  <c r="E71" i="12"/>
  <c r="E26" i="4"/>
  <c r="E20" i="17" s="1"/>
  <c r="E50" i="17" s="1"/>
  <c r="E7" i="12"/>
  <c r="E52" i="13" s="1"/>
  <c r="E42" i="12"/>
  <c r="E182" i="12"/>
  <c r="B216" i="12" s="1"/>
  <c r="J145" i="4" l="1"/>
  <c r="J48" i="4"/>
  <c r="J73" i="12" s="1"/>
  <c r="J44" i="4"/>
  <c r="J33" i="12" s="1"/>
  <c r="J37" i="4"/>
  <c r="J52" i="12" s="1"/>
  <c r="J23" i="4"/>
  <c r="J17" i="17" s="1"/>
  <c r="J32" i="17" s="1"/>
  <c r="J12" i="4"/>
  <c r="J41" i="12" s="1"/>
  <c r="J11" i="4"/>
  <c r="J31" i="12" s="1"/>
  <c r="I43" i="4"/>
  <c r="I23" i="12" s="1"/>
  <c r="I15" i="4"/>
  <c r="I26" i="4" s="1"/>
  <c r="I20" i="17" s="1"/>
  <c r="I50" i="17" s="1"/>
  <c r="J46" i="4"/>
  <c r="J53" i="12" s="1"/>
  <c r="J35" i="4"/>
  <c r="J32" i="12" s="1"/>
  <c r="J10" i="4"/>
  <c r="J21" i="12" s="1"/>
  <c r="I39" i="4"/>
  <c r="I72" i="12" s="1"/>
  <c r="I14" i="4"/>
  <c r="I25" i="4" s="1"/>
  <c r="I19" i="17" s="1"/>
  <c r="I44" i="17" s="1"/>
  <c r="I10" i="4"/>
  <c r="J38" i="4"/>
  <c r="J62" i="12" s="1"/>
  <c r="J13" i="4"/>
  <c r="J51" i="12" s="1"/>
  <c r="I38" i="4"/>
  <c r="I62" i="12" s="1"/>
  <c r="I13" i="4"/>
  <c r="I24" i="4" s="1"/>
  <c r="I18" i="17" s="1"/>
  <c r="I38" i="17" s="1"/>
  <c r="I48" i="4"/>
  <c r="I73" i="12" s="1"/>
  <c r="I44" i="4"/>
  <c r="I33" i="12" s="1"/>
  <c r="I37" i="4"/>
  <c r="I52" i="12" s="1"/>
  <c r="I23" i="4"/>
  <c r="I17" i="17" s="1"/>
  <c r="I32" i="17" s="1"/>
  <c r="I12" i="4"/>
  <c r="I41" i="12" s="1"/>
  <c r="J15" i="4"/>
  <c r="J26" i="4" s="1"/>
  <c r="J20" i="17" s="1"/>
  <c r="J50" i="17" s="1"/>
  <c r="I47" i="4"/>
  <c r="I63" i="12" s="1"/>
  <c r="I36" i="4"/>
  <c r="I42" i="12" s="1"/>
  <c r="I11" i="4"/>
  <c r="J39" i="4"/>
  <c r="J72" i="12" s="1"/>
  <c r="J14" i="4"/>
  <c r="J61" i="12" s="1"/>
  <c r="I46" i="4"/>
  <c r="I53" i="12" s="1"/>
  <c r="I35" i="4"/>
  <c r="I32" i="12" s="1"/>
  <c r="J45" i="4"/>
  <c r="J43" i="12" s="1"/>
  <c r="J34" i="4"/>
  <c r="J22" i="12" s="1"/>
  <c r="I45" i="4"/>
  <c r="I43" i="12" s="1"/>
  <c r="I34" i="4"/>
  <c r="I22" i="12" s="1"/>
  <c r="J47" i="4"/>
  <c r="J63" i="12" s="1"/>
  <c r="J43" i="4"/>
  <c r="J36" i="4"/>
  <c r="J42" i="12" s="1"/>
  <c r="H51" i="12"/>
  <c r="H40" i="4"/>
  <c r="H7" i="12" s="1"/>
  <c r="H52" i="13" s="1"/>
  <c r="H53" i="13"/>
  <c r="H32" i="13"/>
  <c r="T32" i="13"/>
  <c r="H26" i="4"/>
  <c r="H20" i="17" s="1"/>
  <c r="H50" i="17" s="1"/>
  <c r="H71" i="12"/>
  <c r="H185" i="12"/>
  <c r="B255" i="12" s="1"/>
  <c r="H255" i="12" s="1"/>
  <c r="I255" i="12" s="1"/>
  <c r="H184" i="12"/>
  <c r="B243" i="12" s="1"/>
  <c r="H243" i="12" s="1"/>
  <c r="H61" i="12"/>
  <c r="H25" i="4"/>
  <c r="H19" i="17" s="1"/>
  <c r="H44" i="17" s="1"/>
  <c r="H16" i="4"/>
  <c r="H6" i="12" s="1"/>
  <c r="H181" i="12"/>
  <c r="B207" i="12" s="1"/>
  <c r="H207" i="12" s="1"/>
  <c r="I207" i="12" s="1"/>
  <c r="H41" i="12"/>
  <c r="H182" i="12"/>
  <c r="B219" i="12" s="1"/>
  <c r="H219" i="12" s="1"/>
  <c r="H22" i="4"/>
  <c r="H16" i="17" s="1"/>
  <c r="H26" i="17" s="1"/>
  <c r="H49" i="4"/>
  <c r="H8" i="12" s="1"/>
  <c r="H180" i="12"/>
  <c r="B195" i="12" s="1"/>
  <c r="H183" i="12"/>
  <c r="B231" i="12" s="1"/>
  <c r="H231" i="12" s="1"/>
  <c r="D27" i="4"/>
  <c r="I18" i="13"/>
  <c r="I23" i="13" s="1"/>
  <c r="E227" i="8"/>
  <c r="E162" i="8" s="1"/>
  <c r="F46" i="8"/>
  <c r="F54" i="8" s="1"/>
  <c r="D106" i="12"/>
  <c r="G228" i="12"/>
  <c r="H228" i="12" s="1"/>
  <c r="H253" i="12"/>
  <c r="I253" i="12" s="1"/>
  <c r="F295" i="6"/>
  <c r="F297" i="6" s="1"/>
  <c r="G294" i="6" s="1"/>
  <c r="G301" i="6"/>
  <c r="G303" i="6"/>
  <c r="H300" i="6" s="1"/>
  <c r="D49" i="17"/>
  <c r="D51" i="17" s="1"/>
  <c r="E48" i="17" s="1"/>
  <c r="E49" i="17" s="1"/>
  <c r="E51" i="17" s="1"/>
  <c r="F48" i="17" s="1"/>
  <c r="F49" i="17" s="1"/>
  <c r="F51" i="17" s="1"/>
  <c r="G48" i="17" s="1"/>
  <c r="F268" i="8"/>
  <c r="D36" i="17" s="1"/>
  <c r="F266" i="8"/>
  <c r="F289" i="6"/>
  <c r="F291" i="6"/>
  <c r="G288" i="6" s="1"/>
  <c r="D91" i="12"/>
  <c r="E91" i="12" s="1"/>
  <c r="D98" i="12"/>
  <c r="D1" i="3"/>
  <c r="C1" i="3"/>
  <c r="G430" i="6"/>
  <c r="H404" i="6"/>
  <c r="H430" i="6" s="1"/>
  <c r="F217" i="12"/>
  <c r="G217" i="12" s="1"/>
  <c r="D135" i="12"/>
  <c r="A22" i="6"/>
  <c r="A13" i="6"/>
  <c r="B113" i="12"/>
  <c r="D173" i="8"/>
  <c r="B144" i="12"/>
  <c r="D46" i="8"/>
  <c r="D54" i="8" s="1"/>
  <c r="D55" i="8" s="1"/>
  <c r="D157" i="12"/>
  <c r="E157" i="12" s="1"/>
  <c r="B160" i="12"/>
  <c r="E259" i="8"/>
  <c r="D280" i="8"/>
  <c r="D143" i="12"/>
  <c r="E143" i="12" s="1"/>
  <c r="F426" i="6"/>
  <c r="I46" i="13"/>
  <c r="D214" i="8"/>
  <c r="D219" i="8" s="1"/>
  <c r="D152" i="8" s="1"/>
  <c r="D153" i="8" s="1"/>
  <c r="F214" i="8"/>
  <c r="F219" i="8" s="1"/>
  <c r="F152" i="8" s="1"/>
  <c r="E214" i="8"/>
  <c r="E219" i="8" s="1"/>
  <c r="E152" i="8" s="1"/>
  <c r="F182" i="6"/>
  <c r="F54" i="6" s="1"/>
  <c r="E159" i="6"/>
  <c r="E163" i="6" s="1"/>
  <c r="D165" i="6"/>
  <c r="D180" i="8"/>
  <c r="D206" i="8"/>
  <c r="D211" i="8" s="1"/>
  <c r="D142" i="8" s="1"/>
  <c r="E206" i="8"/>
  <c r="F206" i="8"/>
  <c r="B89" i="12" s="1"/>
  <c r="D143" i="8"/>
  <c r="D141" i="12"/>
  <c r="D307" i="6"/>
  <c r="D82" i="6" s="1"/>
  <c r="D38" i="6" s="1"/>
  <c r="D285" i="6"/>
  <c r="I149" i="12"/>
  <c r="J149" i="12" s="1"/>
  <c r="I5" i="8"/>
  <c r="I6" i="8" s="1"/>
  <c r="E23" i="13"/>
  <c r="E24" i="13" s="1"/>
  <c r="E10" i="14" s="1"/>
  <c r="J5" i="8"/>
  <c r="J6" i="8" s="1"/>
  <c r="H5" i="8"/>
  <c r="H6" i="8" s="1"/>
  <c r="H18" i="8" s="1"/>
  <c r="G23" i="13"/>
  <c r="G24" i="13" s="1"/>
  <c r="G10" i="14" s="1"/>
  <c r="K5" i="8"/>
  <c r="K6" i="8" s="1"/>
  <c r="D23" i="13"/>
  <c r="G5" i="8"/>
  <c r="G6" i="8" s="1"/>
  <c r="F18" i="8" s="1"/>
  <c r="E18" i="8" s="1"/>
  <c r="D18" i="8" s="1"/>
  <c r="F23" i="13"/>
  <c r="F24" i="13" s="1"/>
  <c r="F10" i="14" s="1"/>
  <c r="H23" i="13"/>
  <c r="H24" i="13" s="1"/>
  <c r="H10" i="14" s="1"/>
  <c r="F308" i="6"/>
  <c r="D159" i="12"/>
  <c r="E159" i="12" s="1"/>
  <c r="F159" i="12" s="1"/>
  <c r="G424" i="6"/>
  <c r="H398" i="6"/>
  <c r="H424" i="6" s="1"/>
  <c r="E155" i="6"/>
  <c r="F149" i="6"/>
  <c r="F153" i="6" s="1"/>
  <c r="D163" i="8"/>
  <c r="B105" i="12"/>
  <c r="G393" i="6"/>
  <c r="F419" i="6"/>
  <c r="F421" i="6" s="1"/>
  <c r="E239" i="12"/>
  <c r="D107" i="12"/>
  <c r="E107" i="12" s="1"/>
  <c r="F253" i="8"/>
  <c r="D227" i="12"/>
  <c r="D234" i="12" s="1"/>
  <c r="D186" i="12"/>
  <c r="D171" i="12" s="1"/>
  <c r="D151" i="12"/>
  <c r="D152" i="12" s="1"/>
  <c r="D64" i="12" s="1"/>
  <c r="D65" i="12" s="1"/>
  <c r="E60" i="12" s="1"/>
  <c r="E114" i="12"/>
  <c r="F114" i="12" s="1"/>
  <c r="G114" i="12" s="1"/>
  <c r="D203" i="12"/>
  <c r="D210" i="12" s="1"/>
  <c r="G218" i="12"/>
  <c r="H218" i="12" s="1"/>
  <c r="I218" i="12" s="1"/>
  <c r="D26" i="17"/>
  <c r="D57" i="17" s="1"/>
  <c r="D21" i="17"/>
  <c r="F227" i="8"/>
  <c r="F162" i="8" s="1"/>
  <c r="H80" i="6"/>
  <c r="H36" i="6" s="1"/>
  <c r="H185" i="3"/>
  <c r="E175" i="6"/>
  <c r="F169" i="6"/>
  <c r="F173" i="6" s="1"/>
  <c r="D215" i="12"/>
  <c r="D222" i="12" s="1"/>
  <c r="D134" i="12"/>
  <c r="E134" i="12" s="1"/>
  <c r="G399" i="6"/>
  <c r="F425" i="6"/>
  <c r="D150" i="12"/>
  <c r="E150" i="12" s="1"/>
  <c r="E106" i="12"/>
  <c r="E99" i="12"/>
  <c r="F99" i="12" s="1"/>
  <c r="G402" i="6"/>
  <c r="F428" i="6"/>
  <c r="F432" i="6" s="1"/>
  <c r="D251" i="12"/>
  <c r="D258" i="12" s="1"/>
  <c r="E46" i="8"/>
  <c r="E54" i="8" s="1"/>
  <c r="E55" i="8" s="1"/>
  <c r="E435" i="6"/>
  <c r="D191" i="12"/>
  <c r="D198" i="12" s="1"/>
  <c r="G193" i="12"/>
  <c r="H193" i="12" s="1"/>
  <c r="D143" i="6"/>
  <c r="E115" i="12"/>
  <c r="E180" i="8"/>
  <c r="E207" i="8"/>
  <c r="B90" i="12" s="1"/>
  <c r="F207" i="8"/>
  <c r="G388" i="6"/>
  <c r="F414" i="6"/>
  <c r="F415" i="6" s="1"/>
  <c r="F435" i="6" s="1"/>
  <c r="D133" i="12"/>
  <c r="B136" i="12"/>
  <c r="D142" i="12"/>
  <c r="E142" i="12" s="1"/>
  <c r="D158" i="12"/>
  <c r="E158" i="12" s="1"/>
  <c r="F158" i="12" s="1"/>
  <c r="I242" i="12"/>
  <c r="G16" i="17"/>
  <c r="G27" i="4"/>
  <c r="F241" i="12"/>
  <c r="G241" i="12" s="1"/>
  <c r="G186" i="12"/>
  <c r="G171" i="12" s="1"/>
  <c r="H174" i="12" s="1"/>
  <c r="E252" i="12"/>
  <c r="E186" i="12"/>
  <c r="E171" i="12" s="1"/>
  <c r="B192" i="12"/>
  <c r="E19" i="17"/>
  <c r="E27" i="4"/>
  <c r="F26" i="17"/>
  <c r="F57" i="17" s="1"/>
  <c r="F21" i="17"/>
  <c r="F186" i="12"/>
  <c r="F171" i="12" s="1"/>
  <c r="G174" i="12" s="1"/>
  <c r="I254" i="12"/>
  <c r="E240" i="12"/>
  <c r="F27" i="4"/>
  <c r="F205" i="12"/>
  <c r="G206" i="12"/>
  <c r="G230" i="12"/>
  <c r="G194" i="12"/>
  <c r="H194" i="12" s="1"/>
  <c r="E216" i="12"/>
  <c r="F204" i="12"/>
  <c r="F229" i="12"/>
  <c r="H18" i="17"/>
  <c r="J71" i="12" l="1"/>
  <c r="I51" i="12"/>
  <c r="J180" i="12"/>
  <c r="B197" i="12" s="1"/>
  <c r="J197" i="12" s="1"/>
  <c r="K197" i="12" s="1"/>
  <c r="L197" i="12" s="1"/>
  <c r="J185" i="12"/>
  <c r="B257" i="12" s="1"/>
  <c r="J257" i="12" s="1"/>
  <c r="K257" i="12" s="1"/>
  <c r="L257" i="12" s="1"/>
  <c r="M257" i="12" s="1"/>
  <c r="J49" i="4"/>
  <c r="J8" i="12" s="1"/>
  <c r="I71" i="12"/>
  <c r="I185" i="12"/>
  <c r="B256" i="12" s="1"/>
  <c r="I256" i="12" s="1"/>
  <c r="J256" i="12" s="1"/>
  <c r="J24" i="4"/>
  <c r="J18" i="17" s="1"/>
  <c r="J38" i="17" s="1"/>
  <c r="I181" i="12"/>
  <c r="B208" i="12" s="1"/>
  <c r="I208" i="12" s="1"/>
  <c r="J208" i="12" s="1"/>
  <c r="K208" i="12" s="1"/>
  <c r="I40" i="4"/>
  <c r="I7" i="12" s="1"/>
  <c r="I52" i="13" s="1"/>
  <c r="I16" i="4"/>
  <c r="I6" i="12" s="1"/>
  <c r="J184" i="12"/>
  <c r="B245" i="12" s="1"/>
  <c r="J245" i="12" s="1"/>
  <c r="K245" i="12" s="1"/>
  <c r="I180" i="12"/>
  <c r="B196" i="12" s="1"/>
  <c r="I196" i="12" s="1"/>
  <c r="J182" i="12"/>
  <c r="B221" i="12" s="1"/>
  <c r="J22" i="4"/>
  <c r="J16" i="17" s="1"/>
  <c r="J26" i="17" s="1"/>
  <c r="I182" i="12"/>
  <c r="B220" i="12" s="1"/>
  <c r="I220" i="12" s="1"/>
  <c r="J220" i="12" s="1"/>
  <c r="J183" i="12"/>
  <c r="B233" i="12" s="1"/>
  <c r="J233" i="12" s="1"/>
  <c r="I22" i="4"/>
  <c r="I16" i="17" s="1"/>
  <c r="I21" i="17" s="1"/>
  <c r="I49" i="4"/>
  <c r="I8" i="12" s="1"/>
  <c r="J25" i="4"/>
  <c r="J19" i="17" s="1"/>
  <c r="J44" i="17" s="1"/>
  <c r="I183" i="12"/>
  <c r="B232" i="12" s="1"/>
  <c r="J181" i="12"/>
  <c r="B209" i="12" s="1"/>
  <c r="J209" i="12" s="1"/>
  <c r="K209" i="12" s="1"/>
  <c r="J23" i="12"/>
  <c r="I21" i="12"/>
  <c r="I61" i="12"/>
  <c r="I31" i="12"/>
  <c r="J16" i="4"/>
  <c r="J6" i="12" s="1"/>
  <c r="I184" i="12"/>
  <c r="B244" i="12" s="1"/>
  <c r="I244" i="12" s="1"/>
  <c r="J244" i="12" s="1"/>
  <c r="K244" i="12" s="1"/>
  <c r="J40" i="4"/>
  <c r="J7" i="12" s="1"/>
  <c r="J52" i="13" s="1"/>
  <c r="J255" i="12"/>
  <c r="K255" i="12" s="1"/>
  <c r="J207" i="12"/>
  <c r="K207" i="12" s="1"/>
  <c r="H186" i="12"/>
  <c r="H171" i="12" s="1"/>
  <c r="I174" i="12" s="1"/>
  <c r="I243" i="12"/>
  <c r="J243" i="12" s="1"/>
  <c r="K243" i="12" s="1"/>
  <c r="I219" i="12"/>
  <c r="J219" i="12" s="1"/>
  <c r="K219" i="12" s="1"/>
  <c r="H27" i="4"/>
  <c r="J23" i="13"/>
  <c r="J24" i="13" s="1"/>
  <c r="J253" i="12"/>
  <c r="K253" i="12" s="1"/>
  <c r="F157" i="12"/>
  <c r="G157" i="12" s="1"/>
  <c r="F142" i="12"/>
  <c r="G142" i="12" s="1"/>
  <c r="G106" i="12"/>
  <c r="F106" i="12"/>
  <c r="E211" i="8"/>
  <c r="E142" i="8" s="1"/>
  <c r="E182" i="8" s="1"/>
  <c r="E81" i="8" s="1"/>
  <c r="J218" i="12"/>
  <c r="K218" i="12" s="1"/>
  <c r="E251" i="12"/>
  <c r="F251" i="12" s="1"/>
  <c r="G251" i="12" s="1"/>
  <c r="E203" i="12"/>
  <c r="E210" i="12" s="1"/>
  <c r="D144" i="12"/>
  <c r="D261" i="12"/>
  <c r="D172" i="12" s="1"/>
  <c r="D173" i="12" s="1"/>
  <c r="E170" i="12" s="1"/>
  <c r="E227" i="12"/>
  <c r="E234" i="12" s="1"/>
  <c r="I18" i="8"/>
  <c r="J18" i="8" s="1"/>
  <c r="K18" i="8" s="1"/>
  <c r="I231" i="12"/>
  <c r="J231" i="12" s="1"/>
  <c r="K231" i="12" s="1"/>
  <c r="G295" i="6"/>
  <c r="G297" i="6" s="1"/>
  <c r="H294" i="6" s="1"/>
  <c r="D155" i="8"/>
  <c r="E149" i="8"/>
  <c r="E153" i="8" s="1"/>
  <c r="K149" i="12"/>
  <c r="F98" i="12"/>
  <c r="G158" i="12"/>
  <c r="H158" i="12" s="1"/>
  <c r="I158" i="12" s="1"/>
  <c r="F35" i="6"/>
  <c r="F16" i="6"/>
  <c r="B116" i="12"/>
  <c r="D70" i="12" s="1"/>
  <c r="D113" i="12"/>
  <c r="D116" i="12" s="1"/>
  <c r="D37" i="17"/>
  <c r="D39" i="17" s="1"/>
  <c r="E36" i="17" s="1"/>
  <c r="E37" i="17" s="1"/>
  <c r="E39" i="17" s="1"/>
  <c r="F36" i="17" s="1"/>
  <c r="F37" i="17" s="1"/>
  <c r="F39" i="17" s="1"/>
  <c r="G36" i="17" s="1"/>
  <c r="G37" i="17" s="1"/>
  <c r="G39" i="17" s="1"/>
  <c r="H36" i="17" s="1"/>
  <c r="B163" i="12"/>
  <c r="D126" i="12" s="1"/>
  <c r="D40" i="12"/>
  <c r="G414" i="6"/>
  <c r="G415" i="6" s="1"/>
  <c r="H388" i="6"/>
  <c r="H414" i="6" s="1"/>
  <c r="H415" i="6" s="1"/>
  <c r="F239" i="12"/>
  <c r="G239" i="12" s="1"/>
  <c r="H402" i="6"/>
  <c r="H428" i="6" s="1"/>
  <c r="H432" i="6" s="1"/>
  <c r="G428" i="6"/>
  <c r="G432" i="6" s="1"/>
  <c r="D165" i="8"/>
  <c r="E159" i="8"/>
  <c r="E163" i="8" s="1"/>
  <c r="E282" i="6"/>
  <c r="D309" i="6"/>
  <c r="D160" i="12"/>
  <c r="F58" i="8"/>
  <c r="G58" i="8"/>
  <c r="E58" i="8"/>
  <c r="D58" i="8"/>
  <c r="D61" i="8" s="1"/>
  <c r="D65" i="8" s="1"/>
  <c r="D14" i="8" s="1"/>
  <c r="H58" i="8"/>
  <c r="I58" i="8"/>
  <c r="G289" i="6"/>
  <c r="G291" i="6" s="1"/>
  <c r="H288" i="6" s="1"/>
  <c r="E246" i="12"/>
  <c r="E133" i="12"/>
  <c r="F133" i="12" s="1"/>
  <c r="E191" i="12"/>
  <c r="F191" i="12" s="1"/>
  <c r="F150" i="12"/>
  <c r="F175" i="6"/>
  <c r="G169" i="6"/>
  <c r="G173" i="6" s="1"/>
  <c r="F107" i="12"/>
  <c r="F155" i="6"/>
  <c r="G149" i="6"/>
  <c r="G153" i="6" s="1"/>
  <c r="G159" i="12"/>
  <c r="D182" i="8"/>
  <c r="D81" i="8" s="1"/>
  <c r="H217" i="12"/>
  <c r="I217" i="12" s="1"/>
  <c r="J217" i="12" s="1"/>
  <c r="F91" i="12"/>
  <c r="B108" i="12"/>
  <c r="D50" i="12" s="1"/>
  <c r="H114" i="12"/>
  <c r="I114" i="12" s="1"/>
  <c r="E277" i="8"/>
  <c r="E260" i="8"/>
  <c r="E278" i="8" s="1"/>
  <c r="E103" i="8" s="1"/>
  <c r="I59" i="8"/>
  <c r="J59" i="8"/>
  <c r="G59" i="8"/>
  <c r="H59" i="8"/>
  <c r="E59" i="8"/>
  <c r="F59" i="8"/>
  <c r="D105" i="12"/>
  <c r="D108" i="12" s="1"/>
  <c r="H426" i="6"/>
  <c r="B97" i="12"/>
  <c r="E141" i="12"/>
  <c r="F141" i="12" s="1"/>
  <c r="E139" i="6"/>
  <c r="D183" i="6"/>
  <c r="D145" i="6"/>
  <c r="D185" i="6" s="1"/>
  <c r="G150" i="12"/>
  <c r="E215" i="12"/>
  <c r="E222" i="12" s="1"/>
  <c r="E151" i="12"/>
  <c r="F254" i="8"/>
  <c r="F55" i="8"/>
  <c r="E165" i="6"/>
  <c r="F159" i="6"/>
  <c r="F163" i="6" s="1"/>
  <c r="E135" i="12"/>
  <c r="F135" i="12" s="1"/>
  <c r="D136" i="12"/>
  <c r="E16" i="6"/>
  <c r="E35" i="6"/>
  <c r="E174" i="12"/>
  <c r="E160" i="12"/>
  <c r="H303" i="6"/>
  <c r="H301" i="6"/>
  <c r="H399" i="6"/>
  <c r="H425" i="6" s="1"/>
  <c r="G425" i="6"/>
  <c r="G426" i="6" s="1"/>
  <c r="F134" i="12"/>
  <c r="G134" i="12" s="1"/>
  <c r="F115" i="12"/>
  <c r="G115" i="12" s="1"/>
  <c r="D145" i="8"/>
  <c r="E139" i="8"/>
  <c r="D183" i="8"/>
  <c r="F143" i="12"/>
  <c r="E98" i="12"/>
  <c r="G98" i="12" s="1"/>
  <c r="D90" i="12"/>
  <c r="E90" i="12" s="1"/>
  <c r="B92" i="12"/>
  <c r="D89" i="12"/>
  <c r="D92" i="12" s="1"/>
  <c r="H393" i="6"/>
  <c r="H419" i="6" s="1"/>
  <c r="H421" i="6" s="1"/>
  <c r="G419" i="6"/>
  <c r="G421" i="6" s="1"/>
  <c r="D24" i="13"/>
  <c r="F211" i="8"/>
  <c r="F142" i="8" s="1"/>
  <c r="F182" i="8" s="1"/>
  <c r="F81" i="8" s="1"/>
  <c r="E169" i="8"/>
  <c r="E173" i="8" s="1"/>
  <c r="D175" i="8"/>
  <c r="G99" i="12"/>
  <c r="F216" i="12"/>
  <c r="G216" i="12" s="1"/>
  <c r="J242" i="12"/>
  <c r="K242" i="12" s="1"/>
  <c r="G229" i="12"/>
  <c r="H38" i="17"/>
  <c r="H57" i="17" s="1"/>
  <c r="H21" i="17"/>
  <c r="G204" i="12"/>
  <c r="G49" i="17"/>
  <c r="G51" i="17" s="1"/>
  <c r="H48" i="17" s="1"/>
  <c r="I193" i="12"/>
  <c r="H230" i="12"/>
  <c r="I228" i="12"/>
  <c r="H206" i="12"/>
  <c r="F174" i="12"/>
  <c r="I194" i="12"/>
  <c r="G205" i="12"/>
  <c r="H195" i="12"/>
  <c r="H241" i="12"/>
  <c r="I241" i="12" s="1"/>
  <c r="I24" i="13"/>
  <c r="F252" i="12"/>
  <c r="F240" i="12"/>
  <c r="E44" i="17"/>
  <c r="E21" i="17"/>
  <c r="J254" i="12"/>
  <c r="K254" i="12" s="1"/>
  <c r="E192" i="12"/>
  <c r="G26" i="17"/>
  <c r="G57" i="17" s="1"/>
  <c r="G21" i="17"/>
  <c r="B234" i="12" l="1"/>
  <c r="J57" i="17"/>
  <c r="B198" i="12"/>
  <c r="K256" i="12"/>
  <c r="L256" i="12" s="1"/>
  <c r="B258" i="12"/>
  <c r="B222" i="12"/>
  <c r="B210" i="12"/>
  <c r="L255" i="12"/>
  <c r="M255" i="12" s="1"/>
  <c r="I27" i="4"/>
  <c r="L245" i="12"/>
  <c r="M245" i="12" s="1"/>
  <c r="N245" i="12" s="1"/>
  <c r="K220" i="12"/>
  <c r="L220" i="12" s="1"/>
  <c r="M220" i="12" s="1"/>
  <c r="I26" i="17"/>
  <c r="I57" i="17" s="1"/>
  <c r="J21" i="17"/>
  <c r="I232" i="12"/>
  <c r="J232" i="12" s="1"/>
  <c r="K232" i="12" s="1"/>
  <c r="L244" i="12"/>
  <c r="M244" i="12" s="1"/>
  <c r="N244" i="12" s="1"/>
  <c r="B246" i="12"/>
  <c r="J27" i="4"/>
  <c r="J186" i="12"/>
  <c r="J171" i="12" s="1"/>
  <c r="K174" i="12" s="1"/>
  <c r="I186" i="12"/>
  <c r="I171" i="12" s="1"/>
  <c r="J174" i="12" s="1"/>
  <c r="K233" i="12"/>
  <c r="L233" i="12" s="1"/>
  <c r="M233" i="12" s="1"/>
  <c r="J221" i="12"/>
  <c r="L243" i="12"/>
  <c r="M243" i="12" s="1"/>
  <c r="N243" i="12" s="1"/>
  <c r="O243" i="12" s="1"/>
  <c r="L219" i="12"/>
  <c r="M219" i="12" s="1"/>
  <c r="E198" i="12"/>
  <c r="F160" i="12"/>
  <c r="E258" i="12"/>
  <c r="G160" i="12"/>
  <c r="J158" i="12"/>
  <c r="K158" i="12" s="1"/>
  <c r="L158" i="12" s="1"/>
  <c r="M158" i="12" s="1"/>
  <c r="E262" i="8"/>
  <c r="F259" i="8" s="1"/>
  <c r="E61" i="8"/>
  <c r="E65" i="8" s="1"/>
  <c r="E14" i="8" s="1"/>
  <c r="F90" i="12"/>
  <c r="H106" i="12"/>
  <c r="I106" i="12" s="1"/>
  <c r="L218" i="12"/>
  <c r="M218" i="12" s="1"/>
  <c r="D54" i="12"/>
  <c r="D55" i="12" s="1"/>
  <c r="E50" i="12" s="1"/>
  <c r="D74" i="12"/>
  <c r="D75" i="12" s="1"/>
  <c r="E70" i="12" s="1"/>
  <c r="H157" i="12"/>
  <c r="I157" i="12" s="1"/>
  <c r="F203" i="12"/>
  <c r="F227" i="12"/>
  <c r="K217" i="12"/>
  <c r="L217" i="12" s="1"/>
  <c r="M217" i="12" s="1"/>
  <c r="H37" i="17"/>
  <c r="H39" i="17" s="1"/>
  <c r="I36" i="17" s="1"/>
  <c r="I37" i="17" s="1"/>
  <c r="I39" i="17" s="1"/>
  <c r="J36" i="17" s="1"/>
  <c r="H289" i="6"/>
  <c r="H291" i="6" s="1"/>
  <c r="H297" i="6"/>
  <c r="H295" i="6"/>
  <c r="G159" i="6"/>
  <c r="G163" i="6" s="1"/>
  <c r="F165" i="6"/>
  <c r="D53" i="6"/>
  <c r="D69" i="6"/>
  <c r="D70" i="6" s="1"/>
  <c r="D83" i="6" s="1"/>
  <c r="D39" i="6" s="1"/>
  <c r="D41" i="6" s="1"/>
  <c r="G143" i="12"/>
  <c r="F149" i="8"/>
  <c r="F153" i="8" s="1"/>
  <c r="F155" i="8" s="1"/>
  <c r="E155" i="8"/>
  <c r="G191" i="12"/>
  <c r="F215" i="12"/>
  <c r="E179" i="6"/>
  <c r="E143" i="6"/>
  <c r="H159" i="12"/>
  <c r="E136" i="12"/>
  <c r="E44" i="12" s="1"/>
  <c r="E285" i="6"/>
  <c r="E306" i="6"/>
  <c r="E283" i="6"/>
  <c r="E307" i="6" s="1"/>
  <c r="E82" i="6" s="1"/>
  <c r="E38" i="6" s="1"/>
  <c r="G91" i="12"/>
  <c r="B100" i="12"/>
  <c r="D30" i="12" s="1"/>
  <c r="D97" i="12"/>
  <c r="D100" i="12" s="1"/>
  <c r="D34" i="12" s="1"/>
  <c r="J61" i="8"/>
  <c r="J65" i="8" s="1"/>
  <c r="J14" i="8" s="1"/>
  <c r="J16" i="8" s="1"/>
  <c r="G435" i="6"/>
  <c r="E280" i="8"/>
  <c r="H115" i="12"/>
  <c r="J114" i="12"/>
  <c r="K114" i="12" s="1"/>
  <c r="L114" i="12" s="1"/>
  <c r="F192" i="12"/>
  <c r="F198" i="12" s="1"/>
  <c r="F169" i="8"/>
  <c r="F173" i="8" s="1"/>
  <c r="F175" i="8" s="1"/>
  <c r="E175" i="8"/>
  <c r="D24" i="12"/>
  <c r="E89" i="12"/>
  <c r="G90" i="12"/>
  <c r="E143" i="8"/>
  <c r="E179" i="8"/>
  <c r="H251" i="12"/>
  <c r="F256" i="8"/>
  <c r="G61" i="8"/>
  <c r="G65" i="8" s="1"/>
  <c r="G14" i="8" s="1"/>
  <c r="E165" i="8"/>
  <c r="F159" i="8"/>
  <c r="F163" i="8" s="1"/>
  <c r="F165" i="8" s="1"/>
  <c r="E129" i="12"/>
  <c r="E113" i="12"/>
  <c r="F113" i="12" s="1"/>
  <c r="F116" i="12" s="1"/>
  <c r="G135" i="12"/>
  <c r="G133" i="12"/>
  <c r="D185" i="8"/>
  <c r="H98" i="12"/>
  <c r="E105" i="12"/>
  <c r="F151" i="12"/>
  <c r="G151" i="12" s="1"/>
  <c r="G152" i="12" s="1"/>
  <c r="D10" i="14"/>
  <c r="D11" i="14" s="1"/>
  <c r="G107" i="12"/>
  <c r="H99" i="12"/>
  <c r="L149" i="12"/>
  <c r="D20" i="12"/>
  <c r="G155" i="6"/>
  <c r="H149" i="6"/>
  <c r="H153" i="6" s="1"/>
  <c r="H155" i="6" s="1"/>
  <c r="F136" i="12"/>
  <c r="D44" i="12"/>
  <c r="D45" i="12" s="1"/>
  <c r="E40" i="12" s="1"/>
  <c r="D163" i="12"/>
  <c r="D127" i="12" s="1"/>
  <c r="F144" i="12"/>
  <c r="H60" i="8"/>
  <c r="H61" i="8" s="1"/>
  <c r="H65" i="8" s="1"/>
  <c r="H14" i="8" s="1"/>
  <c r="I60" i="8"/>
  <c r="I61" i="8" s="1"/>
  <c r="I65" i="8" s="1"/>
  <c r="I14" i="8" s="1"/>
  <c r="I16" i="8" s="1"/>
  <c r="F60" i="8"/>
  <c r="F61" i="8" s="1"/>
  <c r="F65" i="8" s="1"/>
  <c r="F14" i="8" s="1"/>
  <c r="J60" i="8"/>
  <c r="K60" i="8"/>
  <c r="K61" i="8" s="1"/>
  <c r="K65" i="8" s="1"/>
  <c r="K14" i="8" s="1"/>
  <c r="K16" i="8" s="1"/>
  <c r="G60" i="8"/>
  <c r="H134" i="12"/>
  <c r="I134" i="12" s="1"/>
  <c r="E144" i="12"/>
  <c r="G141" i="12"/>
  <c r="E152" i="12"/>
  <c r="E64" i="12" s="1"/>
  <c r="E65" i="12" s="1"/>
  <c r="F60" i="12" s="1"/>
  <c r="G175" i="6"/>
  <c r="H169" i="6"/>
  <c r="H173" i="6" s="1"/>
  <c r="H175" i="6" s="1"/>
  <c r="F152" i="12"/>
  <c r="H150" i="12"/>
  <c r="H435" i="6"/>
  <c r="H239" i="12"/>
  <c r="H142" i="12"/>
  <c r="L242" i="12"/>
  <c r="M242" i="12" s="1"/>
  <c r="M197" i="12"/>
  <c r="N197" i="12" s="1"/>
  <c r="H229" i="12"/>
  <c r="I10" i="14"/>
  <c r="H49" i="17"/>
  <c r="H51" i="17" s="1"/>
  <c r="I48" i="17" s="1"/>
  <c r="L253" i="12"/>
  <c r="M253" i="12" s="1"/>
  <c r="L231" i="12"/>
  <c r="J196" i="12"/>
  <c r="K196" i="12" s="1"/>
  <c r="J10" i="14"/>
  <c r="L254" i="12"/>
  <c r="M254" i="12" s="1"/>
  <c r="H216" i="12"/>
  <c r="E43" i="17"/>
  <c r="E57" i="17"/>
  <c r="L209" i="12"/>
  <c r="L208" i="12"/>
  <c r="M208" i="12" s="1"/>
  <c r="J193" i="12"/>
  <c r="I230" i="12"/>
  <c r="F258" i="12"/>
  <c r="G252" i="12"/>
  <c r="I206" i="12"/>
  <c r="H204" i="12"/>
  <c r="J241" i="12"/>
  <c r="N257" i="12"/>
  <c r="O257" i="12" s="1"/>
  <c r="F246" i="12"/>
  <c r="G240" i="12"/>
  <c r="G246" i="12" s="1"/>
  <c r="J228" i="12"/>
  <c r="K228" i="12" s="1"/>
  <c r="H205" i="12"/>
  <c r="I205" i="12" s="1"/>
  <c r="J194" i="12"/>
  <c r="K194" i="12" s="1"/>
  <c r="L194" i="12" s="1"/>
  <c r="L207" i="12"/>
  <c r="I195" i="12"/>
  <c r="M256" i="12" l="1"/>
  <c r="N256" i="12" s="1"/>
  <c r="B261" i="12"/>
  <c r="O245" i="12"/>
  <c r="P245" i="12" s="1"/>
  <c r="Q245" i="12" s="1"/>
  <c r="N255" i="12"/>
  <c r="O255" i="12" s="1"/>
  <c r="P255" i="12" s="1"/>
  <c r="Q255" i="12" s="1"/>
  <c r="R255" i="12" s="1"/>
  <c r="K221" i="12"/>
  <c r="L232" i="12"/>
  <c r="M232" i="12" s="1"/>
  <c r="N232" i="12" s="1"/>
  <c r="N219" i="12"/>
  <c r="O219" i="12" s="1"/>
  <c r="P219" i="12" s="1"/>
  <c r="Q219" i="12" s="1"/>
  <c r="E261" i="12"/>
  <c r="E172" i="12" s="1"/>
  <c r="J134" i="12"/>
  <c r="K134" i="12" s="1"/>
  <c r="G192" i="12"/>
  <c r="G198" i="12" s="1"/>
  <c r="H160" i="12"/>
  <c r="D25" i="12"/>
  <c r="E20" i="12" s="1"/>
  <c r="J106" i="12"/>
  <c r="F74" i="12"/>
  <c r="H143" i="12"/>
  <c r="D35" i="12"/>
  <c r="E30" i="12" s="1"/>
  <c r="F234" i="12"/>
  <c r="G227" i="12"/>
  <c r="N217" i="12"/>
  <c r="O217" i="12" s="1"/>
  <c r="P217" i="12" s="1"/>
  <c r="Q217" i="12" s="1"/>
  <c r="G203" i="12"/>
  <c r="F210" i="12"/>
  <c r="E45" i="12"/>
  <c r="F40" i="12" s="1"/>
  <c r="H191" i="12"/>
  <c r="I191" i="12" s="1"/>
  <c r="G105" i="12"/>
  <c r="G108" i="12" s="1"/>
  <c r="G144" i="12"/>
  <c r="H141" i="12"/>
  <c r="I141" i="12" s="1"/>
  <c r="J157" i="12"/>
  <c r="L134" i="12"/>
  <c r="M134" i="12" s="1"/>
  <c r="D42" i="6"/>
  <c r="D184" i="3"/>
  <c r="D26" i="8" s="1"/>
  <c r="D27" i="8" s="1"/>
  <c r="I99" i="12"/>
  <c r="D91" i="8"/>
  <c r="D92" i="8" s="1"/>
  <c r="D104" i="8" s="1"/>
  <c r="D106" i="8" s="1"/>
  <c r="D80" i="8"/>
  <c r="H135" i="12"/>
  <c r="I135" i="12" s="1"/>
  <c r="H133" i="12"/>
  <c r="F260" i="8"/>
  <c r="F278" i="8" s="1"/>
  <c r="F103" i="8" s="1"/>
  <c r="F277" i="8"/>
  <c r="E97" i="12"/>
  <c r="E145" i="6"/>
  <c r="E185" i="6" s="1"/>
  <c r="E183" i="6"/>
  <c r="F139" i="6"/>
  <c r="F89" i="12"/>
  <c r="M149" i="12"/>
  <c r="N149" i="12" s="1"/>
  <c r="D66" i="6"/>
  <c r="D79" i="6" s="1"/>
  <c r="D85" i="6" s="1"/>
  <c r="D128" i="12"/>
  <c r="E126" i="12" s="1"/>
  <c r="E309" i="6"/>
  <c r="F282" i="6"/>
  <c r="E108" i="12"/>
  <c r="E54" i="12" s="1"/>
  <c r="E55" i="12" s="1"/>
  <c r="F50" i="12" s="1"/>
  <c r="F105" i="12"/>
  <c r="G64" i="12"/>
  <c r="I142" i="12"/>
  <c r="J142" i="12" s="1"/>
  <c r="K142" i="12" s="1"/>
  <c r="L142" i="12" s="1"/>
  <c r="H16" i="6"/>
  <c r="H35" i="6"/>
  <c r="B119" i="12"/>
  <c r="D82" i="12" s="1"/>
  <c r="J99" i="12"/>
  <c r="E116" i="12"/>
  <c r="E74" i="12" s="1"/>
  <c r="E75" i="12" s="1"/>
  <c r="F70" i="12" s="1"/>
  <c r="G113" i="12"/>
  <c r="M114" i="12"/>
  <c r="G215" i="12"/>
  <c r="H215" i="12" s="1"/>
  <c r="I115" i="12"/>
  <c r="H159" i="6"/>
  <c r="H163" i="6" s="1"/>
  <c r="H165" i="6" s="1"/>
  <c r="G165" i="6"/>
  <c r="F64" i="12"/>
  <c r="F65" i="12" s="1"/>
  <c r="G60" i="12" s="1"/>
  <c r="F163" i="12"/>
  <c r="F127" i="12" s="1"/>
  <c r="F222" i="12"/>
  <c r="N114" i="12"/>
  <c r="D24" i="17"/>
  <c r="H91" i="12"/>
  <c r="H107" i="12"/>
  <c r="G136" i="12"/>
  <c r="E92" i="12"/>
  <c r="G89" i="12"/>
  <c r="G92" i="12" s="1"/>
  <c r="I107" i="12"/>
  <c r="I98" i="12"/>
  <c r="E145" i="8"/>
  <c r="E185" i="8" s="1"/>
  <c r="F139" i="8"/>
  <c r="E183" i="8"/>
  <c r="I159" i="12"/>
  <c r="H151" i="12"/>
  <c r="H90" i="12"/>
  <c r="I90" i="12" s="1"/>
  <c r="N158" i="12"/>
  <c r="I239" i="12"/>
  <c r="I150" i="12"/>
  <c r="E11" i="14"/>
  <c r="D15" i="14"/>
  <c r="D119" i="12"/>
  <c r="D83" i="12" s="1"/>
  <c r="D9" i="12" s="1"/>
  <c r="G16" i="6"/>
  <c r="G35" i="6"/>
  <c r="E163" i="12"/>
  <c r="E127" i="12" s="1"/>
  <c r="I251" i="12"/>
  <c r="I229" i="12"/>
  <c r="N242" i="12"/>
  <c r="O242" i="12" s="1"/>
  <c r="O244" i="12"/>
  <c r="P244" i="12" s="1"/>
  <c r="O197" i="12"/>
  <c r="P197" i="12" s="1"/>
  <c r="N208" i="12"/>
  <c r="O208" i="12" s="1"/>
  <c r="P208" i="12" s="1"/>
  <c r="N220" i="12"/>
  <c r="O220" i="12" s="1"/>
  <c r="P220" i="12" s="1"/>
  <c r="P257" i="12"/>
  <c r="J206" i="12"/>
  <c r="K206" i="12" s="1"/>
  <c r="E173" i="12"/>
  <c r="F170" i="12" s="1"/>
  <c r="N233" i="12"/>
  <c r="K193" i="12"/>
  <c r="I216" i="12"/>
  <c r="J216" i="12" s="1"/>
  <c r="P243" i="12"/>
  <c r="Q243" i="12" s="1"/>
  <c r="R243" i="12" s="1"/>
  <c r="S243" i="12" s="1"/>
  <c r="T243" i="12" s="1"/>
  <c r="U243" i="12" s="1"/>
  <c r="V243" i="12" s="1"/>
  <c r="W243" i="12" s="1"/>
  <c r="X243" i="12" s="1"/>
  <c r="Y243" i="12" s="1"/>
  <c r="Z243" i="12" s="1"/>
  <c r="AA243" i="12" s="1"/>
  <c r="M209" i="12"/>
  <c r="N209" i="12" s="1"/>
  <c r="M194" i="12"/>
  <c r="J230" i="12"/>
  <c r="I49" i="17"/>
  <c r="I51" i="17" s="1"/>
  <c r="J48" i="17" s="1"/>
  <c r="N218" i="12"/>
  <c r="O218" i="12" s="1"/>
  <c r="P218" i="12" s="1"/>
  <c r="G258" i="12"/>
  <c r="H252" i="12"/>
  <c r="I252" i="12" s="1"/>
  <c r="H240" i="12"/>
  <c r="K241" i="12"/>
  <c r="L241" i="12" s="1"/>
  <c r="N254" i="12"/>
  <c r="I204" i="12"/>
  <c r="L228" i="12"/>
  <c r="N253" i="12"/>
  <c r="J37" i="17"/>
  <c r="J39" i="17" s="1"/>
  <c r="K36" i="17" s="1"/>
  <c r="H6" i="20" s="1"/>
  <c r="L196" i="12"/>
  <c r="M231" i="12"/>
  <c r="J205" i="12"/>
  <c r="M207" i="12"/>
  <c r="N207" i="12" s="1"/>
  <c r="E45" i="17"/>
  <c r="J195" i="12"/>
  <c r="K195" i="12" s="1"/>
  <c r="O256" i="12" l="1"/>
  <c r="P256" i="12" s="1"/>
  <c r="Q256" i="12" s="1"/>
  <c r="R256" i="12" s="1"/>
  <c r="S256" i="12" s="1"/>
  <c r="T256" i="12" s="1"/>
  <c r="U256" i="12" s="1"/>
  <c r="V256" i="12" s="1"/>
  <c r="W256" i="12" s="1"/>
  <c r="X256" i="12" s="1"/>
  <c r="Y256" i="12" s="1"/>
  <c r="Z256" i="12" s="1"/>
  <c r="AA256" i="12" s="1"/>
  <c r="L221" i="12"/>
  <c r="O232" i="12"/>
  <c r="P232" i="12" s="1"/>
  <c r="Q232" i="12" s="1"/>
  <c r="I133" i="12"/>
  <c r="J133" i="12" s="1"/>
  <c r="K133" i="12" s="1"/>
  <c r="L133" i="12" s="1"/>
  <c r="H192" i="12"/>
  <c r="I192" i="12" s="1"/>
  <c r="G163" i="12"/>
  <c r="G127" i="12" s="1"/>
  <c r="I215" i="12"/>
  <c r="I222" i="12" s="1"/>
  <c r="F75" i="12"/>
  <c r="G70" i="12" s="1"/>
  <c r="O114" i="12"/>
  <c r="H105" i="12"/>
  <c r="H108" i="12" s="1"/>
  <c r="K106" i="12"/>
  <c r="L106" i="12" s="1"/>
  <c r="G65" i="12"/>
  <c r="H60" i="12" s="1"/>
  <c r="G210" i="12"/>
  <c r="G234" i="12"/>
  <c r="G54" i="12" s="1"/>
  <c r="H227" i="12"/>
  <c r="H198" i="12"/>
  <c r="I143" i="12"/>
  <c r="I144" i="12" s="1"/>
  <c r="H203" i="12"/>
  <c r="O149" i="12"/>
  <c r="P149" i="12" s="1"/>
  <c r="N134" i="12"/>
  <c r="O134" i="12" s="1"/>
  <c r="P134" i="12" s="1"/>
  <c r="Q134" i="12" s="1"/>
  <c r="R134" i="12" s="1"/>
  <c r="S134" i="12" s="1"/>
  <c r="T134" i="12" s="1"/>
  <c r="U134" i="12" s="1"/>
  <c r="V134" i="12" s="1"/>
  <c r="W134" i="12" s="1"/>
  <c r="X134" i="12" s="1"/>
  <c r="Y134" i="12" s="1"/>
  <c r="Z134" i="12" s="1"/>
  <c r="AA134" i="12" s="1"/>
  <c r="S114" i="12"/>
  <c r="T114" i="12" s="1"/>
  <c r="U114" i="12" s="1"/>
  <c r="V114" i="12" s="1"/>
  <c r="M142" i="12"/>
  <c r="N142" i="12" s="1"/>
  <c r="E69" i="6"/>
  <c r="E70" i="6" s="1"/>
  <c r="E83" i="6" s="1"/>
  <c r="E39" i="6" s="1"/>
  <c r="E41" i="6" s="1"/>
  <c r="E53" i="6"/>
  <c r="P31" i="13"/>
  <c r="D37" i="13"/>
  <c r="AA31" i="13"/>
  <c r="F179" i="8"/>
  <c r="F143" i="8"/>
  <c r="F306" i="6"/>
  <c r="F285" i="6"/>
  <c r="F283" i="6"/>
  <c r="F307" i="6" s="1"/>
  <c r="F82" i="6" s="1"/>
  <c r="F38" i="6" s="1"/>
  <c r="K157" i="12"/>
  <c r="Q114" i="12"/>
  <c r="R114" i="12" s="1"/>
  <c r="M241" i="12"/>
  <c r="N241" i="12" s="1"/>
  <c r="O241" i="12" s="1"/>
  <c r="E80" i="8"/>
  <c r="E91" i="8"/>
  <c r="E92" i="8" s="1"/>
  <c r="E104" i="8" s="1"/>
  <c r="G116" i="12"/>
  <c r="G74" i="12" s="1"/>
  <c r="F92" i="12"/>
  <c r="H136" i="12"/>
  <c r="D107" i="8"/>
  <c r="E105" i="8"/>
  <c r="D28" i="8"/>
  <c r="D29" i="8"/>
  <c r="D32" i="8" s="1"/>
  <c r="D36" i="8" s="1"/>
  <c r="D13" i="8" s="1"/>
  <c r="I151" i="12"/>
  <c r="I152" i="12" s="1"/>
  <c r="I160" i="12"/>
  <c r="J191" i="12"/>
  <c r="K191" i="12" s="1"/>
  <c r="F11" i="14"/>
  <c r="E15" i="14"/>
  <c r="G24" i="12"/>
  <c r="I91" i="12"/>
  <c r="J91" i="12" s="1"/>
  <c r="J107" i="12"/>
  <c r="D43" i="6"/>
  <c r="D44" i="6" s="1"/>
  <c r="D45" i="6" s="1"/>
  <c r="D19" i="6" s="1"/>
  <c r="D20" i="6" s="1"/>
  <c r="H222" i="12"/>
  <c r="F97" i="12"/>
  <c r="H89" i="12"/>
  <c r="D25" i="17"/>
  <c r="K99" i="12"/>
  <c r="E128" i="12"/>
  <c r="F126" i="12" s="1"/>
  <c r="F128" i="12" s="1"/>
  <c r="G126" i="12" s="1"/>
  <c r="D86" i="6"/>
  <c r="E84" i="6"/>
  <c r="H144" i="12"/>
  <c r="J141" i="12"/>
  <c r="I258" i="12"/>
  <c r="O158" i="12"/>
  <c r="J239" i="12"/>
  <c r="K239" i="12" s="1"/>
  <c r="L239" i="12" s="1"/>
  <c r="M239" i="12" s="1"/>
  <c r="N239" i="12" s="1"/>
  <c r="O239" i="12" s="1"/>
  <c r="P239" i="12" s="1"/>
  <c r="Q239" i="12" s="1"/>
  <c r="R239" i="12" s="1"/>
  <c r="S239" i="12" s="1"/>
  <c r="T239" i="12" s="1"/>
  <c r="U239" i="12" s="1"/>
  <c r="V239" i="12" s="1"/>
  <c r="W239" i="12" s="1"/>
  <c r="X239" i="12" s="1"/>
  <c r="Y239" i="12" s="1"/>
  <c r="Z239" i="12" s="1"/>
  <c r="AA239" i="12" s="1"/>
  <c r="J159" i="12"/>
  <c r="E24" i="12"/>
  <c r="E25" i="12" s="1"/>
  <c r="F20" i="12" s="1"/>
  <c r="H113" i="12"/>
  <c r="F108" i="12"/>
  <c r="F54" i="12" s="1"/>
  <c r="F55" i="12" s="1"/>
  <c r="G50" i="12" s="1"/>
  <c r="J115" i="12"/>
  <c r="D84" i="12"/>
  <c r="E82" i="12" s="1"/>
  <c r="D5" i="12"/>
  <c r="P114" i="12"/>
  <c r="F44" i="12"/>
  <c r="F45" i="12" s="1"/>
  <c r="G40" i="12" s="1"/>
  <c r="F261" i="12"/>
  <c r="F172" i="12" s="1"/>
  <c r="F173" i="12" s="1"/>
  <c r="G170" i="12" s="1"/>
  <c r="G222" i="12"/>
  <c r="G44" i="12" s="1"/>
  <c r="F179" i="6"/>
  <c r="F143" i="6"/>
  <c r="J251" i="12"/>
  <c r="J98" i="12"/>
  <c r="E100" i="12"/>
  <c r="E34" i="12" s="1"/>
  <c r="E35" i="12" s="1"/>
  <c r="F30" i="12" s="1"/>
  <c r="J150" i="12"/>
  <c r="K98" i="12"/>
  <c r="J135" i="12"/>
  <c r="K135" i="12" s="1"/>
  <c r="H152" i="12"/>
  <c r="J90" i="12"/>
  <c r="F262" i="8"/>
  <c r="G97" i="12"/>
  <c r="G100" i="12" s="1"/>
  <c r="I105" i="12"/>
  <c r="P242" i="12"/>
  <c r="Q242" i="12" s="1"/>
  <c r="R242" i="12" s="1"/>
  <c r="S242" i="12" s="1"/>
  <c r="J229" i="12"/>
  <c r="Q197" i="12"/>
  <c r="R197" i="12" s="1"/>
  <c r="J252" i="12"/>
  <c r="Q244" i="12"/>
  <c r="R244" i="12" s="1"/>
  <c r="O209" i="12"/>
  <c r="P209" i="12" s="1"/>
  <c r="Q209" i="12" s="1"/>
  <c r="R209" i="12" s="1"/>
  <c r="J49" i="17"/>
  <c r="J51" i="17" s="1"/>
  <c r="K48" i="17" s="1"/>
  <c r="H8" i="20" s="1"/>
  <c r="K37" i="17"/>
  <c r="K39" i="17" s="1"/>
  <c r="L36" i="17" s="1"/>
  <c r="K205" i="12"/>
  <c r="L205" i="12" s="1"/>
  <c r="I240" i="12"/>
  <c r="J240" i="12" s="1"/>
  <c r="L206" i="12"/>
  <c r="O207" i="12"/>
  <c r="P207" i="12" s="1"/>
  <c r="Q207" i="12" s="1"/>
  <c r="J204" i="12"/>
  <c r="M228" i="12"/>
  <c r="Q208" i="12"/>
  <c r="R208" i="12" s="1"/>
  <c r="L193" i="12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H246" i="12"/>
  <c r="M196" i="12"/>
  <c r="N196" i="12" s="1"/>
  <c r="R217" i="12"/>
  <c r="S217" i="12" s="1"/>
  <c r="O253" i="12"/>
  <c r="H258" i="12"/>
  <c r="K230" i="12"/>
  <c r="L195" i="12"/>
  <c r="S255" i="12"/>
  <c r="T255" i="12" s="1"/>
  <c r="U255" i="12" s="1"/>
  <c r="V255" i="12" s="1"/>
  <c r="W255" i="12" s="1"/>
  <c r="J192" i="12"/>
  <c r="O254" i="12"/>
  <c r="P254" i="12" s="1"/>
  <c r="Q254" i="12" s="1"/>
  <c r="R254" i="12" s="1"/>
  <c r="S254" i="12" s="1"/>
  <c r="T254" i="12" s="1"/>
  <c r="F42" i="17"/>
  <c r="K216" i="12"/>
  <c r="L216" i="12" s="1"/>
  <c r="N194" i="12"/>
  <c r="R245" i="12"/>
  <c r="Q220" i="12"/>
  <c r="R220" i="12" s="1"/>
  <c r="Q257" i="12"/>
  <c r="I198" i="12"/>
  <c r="O233" i="12"/>
  <c r="N231" i="12"/>
  <c r="Q218" i="12"/>
  <c r="R219" i="12"/>
  <c r="S219" i="12" s="1"/>
  <c r="T219" i="12" s="1"/>
  <c r="U219" i="12" s="1"/>
  <c r="V219" i="12" s="1"/>
  <c r="W219" i="12" s="1"/>
  <c r="X219" i="12" s="1"/>
  <c r="Y219" i="12" s="1"/>
  <c r="Z219" i="12" s="1"/>
  <c r="AA219" i="12" s="1"/>
  <c r="M221" i="12" l="1"/>
  <c r="R232" i="12"/>
  <c r="S232" i="12" s="1"/>
  <c r="I136" i="12"/>
  <c r="G128" i="12"/>
  <c r="H126" i="12" s="1"/>
  <c r="J246" i="12"/>
  <c r="J215" i="12"/>
  <c r="J222" i="12" s="1"/>
  <c r="G45" i="12"/>
  <c r="H40" i="12" s="1"/>
  <c r="G75" i="12"/>
  <c r="H70" i="12" s="1"/>
  <c r="J151" i="12"/>
  <c r="K151" i="12" s="1"/>
  <c r="L151" i="12" s="1"/>
  <c r="M106" i="12"/>
  <c r="J105" i="12"/>
  <c r="J108" i="12" s="1"/>
  <c r="G34" i="12"/>
  <c r="H234" i="12"/>
  <c r="H54" i="12" s="1"/>
  <c r="I227" i="12"/>
  <c r="I44" i="12"/>
  <c r="G55" i="12"/>
  <c r="H50" i="12" s="1"/>
  <c r="H210" i="12"/>
  <c r="I203" i="12"/>
  <c r="J203" i="12" s="1"/>
  <c r="J143" i="12"/>
  <c r="J144" i="12" s="1"/>
  <c r="G261" i="12"/>
  <c r="G172" i="12" s="1"/>
  <c r="K91" i="12"/>
  <c r="L91" i="12" s="1"/>
  <c r="M91" i="12" s="1"/>
  <c r="N91" i="12" s="1"/>
  <c r="O91" i="12" s="1"/>
  <c r="P91" i="12" s="1"/>
  <c r="Q91" i="12" s="1"/>
  <c r="R91" i="12" s="1"/>
  <c r="S91" i="12" s="1"/>
  <c r="T91" i="12" s="1"/>
  <c r="U91" i="12" s="1"/>
  <c r="V91" i="12" s="1"/>
  <c r="W91" i="12" s="1"/>
  <c r="X91" i="12" s="1"/>
  <c r="Y91" i="12" s="1"/>
  <c r="Z91" i="12" s="1"/>
  <c r="AA91" i="12" s="1"/>
  <c r="W114" i="12"/>
  <c r="X114" i="12" s="1"/>
  <c r="Y114" i="12" s="1"/>
  <c r="Z114" i="12" s="1"/>
  <c r="AA114" i="12" s="1"/>
  <c r="L191" i="12"/>
  <c r="M191" i="12" s="1"/>
  <c r="N191" i="12" s="1"/>
  <c r="O191" i="12" s="1"/>
  <c r="P191" i="12" s="1"/>
  <c r="Q191" i="12" s="1"/>
  <c r="P158" i="12"/>
  <c r="Q158" i="12" s="1"/>
  <c r="R158" i="12" s="1"/>
  <c r="S158" i="12" s="1"/>
  <c r="T158" i="12" s="1"/>
  <c r="U158" i="12" s="1"/>
  <c r="V158" i="12" s="1"/>
  <c r="W158" i="12" s="1"/>
  <c r="X158" i="12" s="1"/>
  <c r="Y158" i="12" s="1"/>
  <c r="Z158" i="12" s="1"/>
  <c r="AA158" i="12" s="1"/>
  <c r="D108" i="8"/>
  <c r="D113" i="8" s="1"/>
  <c r="D112" i="8"/>
  <c r="L99" i="12"/>
  <c r="G139" i="6"/>
  <c r="F145" i="6"/>
  <c r="F185" i="6" s="1"/>
  <c r="F183" i="6"/>
  <c r="E119" i="12"/>
  <c r="E83" i="12" s="1"/>
  <c r="D91" i="6"/>
  <c r="D93" i="6" s="1"/>
  <c r="D87" i="6"/>
  <c r="D92" i="6" s="1"/>
  <c r="H163" i="12"/>
  <c r="H127" i="12" s="1"/>
  <c r="H128" i="12" s="1"/>
  <c r="I126" i="12" s="1"/>
  <c r="J160" i="12"/>
  <c r="K159" i="12"/>
  <c r="L159" i="12" s="1"/>
  <c r="E184" i="3"/>
  <c r="E26" i="8" s="1"/>
  <c r="E27" i="8" s="1"/>
  <c r="E42" i="6"/>
  <c r="I108" i="12"/>
  <c r="K150" i="12"/>
  <c r="K251" i="12"/>
  <c r="L251" i="12" s="1"/>
  <c r="M251" i="12" s="1"/>
  <c r="D10" i="12"/>
  <c r="D12" i="12" s="1"/>
  <c r="J89" i="12"/>
  <c r="J92" i="12" s="1"/>
  <c r="O142" i="12"/>
  <c r="K141" i="12"/>
  <c r="G119" i="12"/>
  <c r="G83" i="12" s="1"/>
  <c r="E66" i="6"/>
  <c r="E79" i="6" s="1"/>
  <c r="E85" i="6" s="1"/>
  <c r="T242" i="12"/>
  <c r="U242" i="12" s="1"/>
  <c r="V242" i="12" s="1"/>
  <c r="W242" i="12" s="1"/>
  <c r="X242" i="12" s="1"/>
  <c r="Y242" i="12" s="1"/>
  <c r="Z242" i="12" s="1"/>
  <c r="AA242" i="12" s="1"/>
  <c r="K115" i="12"/>
  <c r="L115" i="12" s="1"/>
  <c r="M115" i="12" s="1"/>
  <c r="N115" i="12" s="1"/>
  <c r="O115" i="12" s="1"/>
  <c r="P115" i="12" s="1"/>
  <c r="Q115" i="12" s="1"/>
  <c r="R115" i="12" s="1"/>
  <c r="S115" i="12" s="1"/>
  <c r="T115" i="12" s="1"/>
  <c r="U115" i="12" s="1"/>
  <c r="V115" i="12" s="1"/>
  <c r="W115" i="12" s="1"/>
  <c r="X115" i="12" s="1"/>
  <c r="Y115" i="12" s="1"/>
  <c r="Z115" i="12" s="1"/>
  <c r="AA115" i="12" s="1"/>
  <c r="G11" i="14"/>
  <c r="F15" i="14"/>
  <c r="I163" i="12"/>
  <c r="I127" i="12" s="1"/>
  <c r="L98" i="12"/>
  <c r="M98" i="12" s="1"/>
  <c r="D27" i="17"/>
  <c r="K107" i="12"/>
  <c r="F24" i="12"/>
  <c r="F25" i="12" s="1"/>
  <c r="G20" i="12" s="1"/>
  <c r="G25" i="12" s="1"/>
  <c r="H20" i="12" s="1"/>
  <c r="D30" i="17"/>
  <c r="F280" i="8"/>
  <c r="F100" i="12"/>
  <c r="F34" i="12" s="1"/>
  <c r="F35" i="12" s="1"/>
  <c r="G30" i="12" s="1"/>
  <c r="K90" i="12"/>
  <c r="L90" i="12" s="1"/>
  <c r="K136" i="12"/>
  <c r="M133" i="12"/>
  <c r="H97" i="12"/>
  <c r="H100" i="12" s="1"/>
  <c r="M159" i="12"/>
  <c r="N159" i="12" s="1"/>
  <c r="O159" i="12" s="1"/>
  <c r="P159" i="12" s="1"/>
  <c r="Q159" i="12" s="1"/>
  <c r="R159" i="12" s="1"/>
  <c r="S159" i="12" s="1"/>
  <c r="T159" i="12" s="1"/>
  <c r="U159" i="12" s="1"/>
  <c r="V159" i="12" s="1"/>
  <c r="W159" i="12" s="1"/>
  <c r="X159" i="12" s="1"/>
  <c r="Y159" i="12" s="1"/>
  <c r="Z159" i="12" s="1"/>
  <c r="AA159" i="12" s="1"/>
  <c r="L135" i="12"/>
  <c r="L136" i="12" s="1"/>
  <c r="H116" i="12"/>
  <c r="H74" i="12" s="1"/>
  <c r="I113" i="12"/>
  <c r="J113" i="12"/>
  <c r="J116" i="12" s="1"/>
  <c r="H92" i="12"/>
  <c r="I89" i="12"/>
  <c r="H44" i="12"/>
  <c r="L157" i="12"/>
  <c r="G282" i="6"/>
  <c r="F309" i="6"/>
  <c r="F183" i="8"/>
  <c r="E85" i="12" s="1"/>
  <c r="F145" i="8"/>
  <c r="F185" i="8" s="1"/>
  <c r="H64" i="12"/>
  <c r="H65" i="12" s="1"/>
  <c r="I60" i="12" s="1"/>
  <c r="J136" i="12"/>
  <c r="Q149" i="12"/>
  <c r="E106" i="8"/>
  <c r="S197" i="12"/>
  <c r="T197" i="12" s="1"/>
  <c r="U197" i="12" s="1"/>
  <c r="V197" i="12" s="1"/>
  <c r="W197" i="12" s="1"/>
  <c r="X197" i="12" s="1"/>
  <c r="Y197" i="12" s="1"/>
  <c r="Z197" i="12" s="1"/>
  <c r="AA197" i="12" s="1"/>
  <c r="K229" i="12"/>
  <c r="P241" i="12"/>
  <c r="Q241" i="12" s="1"/>
  <c r="R241" i="12" s="1"/>
  <c r="S241" i="12" s="1"/>
  <c r="T241" i="12" s="1"/>
  <c r="U241" i="12" s="1"/>
  <c r="V241" i="12" s="1"/>
  <c r="W241" i="12" s="1"/>
  <c r="X241" i="12" s="1"/>
  <c r="T217" i="12"/>
  <c r="U217" i="12" s="1"/>
  <c r="V217" i="12" s="1"/>
  <c r="J258" i="12"/>
  <c r="K252" i="12"/>
  <c r="S244" i="12"/>
  <c r="T244" i="12" s="1"/>
  <c r="U244" i="12" s="1"/>
  <c r="V244" i="12" s="1"/>
  <c r="W244" i="12" s="1"/>
  <c r="X244" i="12" s="1"/>
  <c r="Y244" i="12" s="1"/>
  <c r="Z244" i="12" s="1"/>
  <c r="AA244" i="12" s="1"/>
  <c r="S208" i="12"/>
  <c r="T208" i="12" s="1"/>
  <c r="U208" i="12" s="1"/>
  <c r="R207" i="12"/>
  <c r="S207" i="12" s="1"/>
  <c r="T207" i="12" s="1"/>
  <c r="U207" i="12" s="1"/>
  <c r="V207" i="12" s="1"/>
  <c r="W207" i="12" s="1"/>
  <c r="X207" i="12" s="1"/>
  <c r="Y207" i="12" s="1"/>
  <c r="Z207" i="12" s="1"/>
  <c r="AA207" i="12" s="1"/>
  <c r="S209" i="12"/>
  <c r="T209" i="12" s="1"/>
  <c r="U209" i="12" s="1"/>
  <c r="V209" i="12" s="1"/>
  <c r="W209" i="12" s="1"/>
  <c r="X209" i="12" s="1"/>
  <c r="Y209" i="12" s="1"/>
  <c r="Z209" i="12" s="1"/>
  <c r="AA209" i="12" s="1"/>
  <c r="P233" i="12"/>
  <c r="Q233" i="12" s="1"/>
  <c r="O231" i="12"/>
  <c r="P231" i="12" s="1"/>
  <c r="S245" i="12"/>
  <c r="T245" i="12" s="1"/>
  <c r="M205" i="12"/>
  <c r="N205" i="12" s="1"/>
  <c r="O205" i="12" s="1"/>
  <c r="P205" i="12" s="1"/>
  <c r="Q205" i="12" s="1"/>
  <c r="K204" i="12"/>
  <c r="I246" i="12"/>
  <c r="I64" i="12" s="1"/>
  <c r="K240" i="12"/>
  <c r="L240" i="12" s="1"/>
  <c r="L246" i="12" s="1"/>
  <c r="R218" i="12"/>
  <c r="O196" i="12"/>
  <c r="P196" i="12" s="1"/>
  <c r="Q196" i="12" s="1"/>
  <c r="S220" i="12"/>
  <c r="T220" i="12" s="1"/>
  <c r="U220" i="12" s="1"/>
  <c r="V220" i="12" s="1"/>
  <c r="W220" i="12" s="1"/>
  <c r="X220" i="12" s="1"/>
  <c r="Y220" i="12" s="1"/>
  <c r="Z220" i="12" s="1"/>
  <c r="AA220" i="12" s="1"/>
  <c r="K192" i="12"/>
  <c r="K198" i="12" s="1"/>
  <c r="U254" i="12"/>
  <c r="V254" i="12" s="1"/>
  <c r="W254" i="12" s="1"/>
  <c r="X254" i="12" s="1"/>
  <c r="Y254" i="12" s="1"/>
  <c r="Z254" i="12" s="1"/>
  <c r="AA254" i="12" s="1"/>
  <c r="M216" i="12"/>
  <c r="R257" i="12"/>
  <c r="S257" i="12" s="1"/>
  <c r="T257" i="12" s="1"/>
  <c r="U257" i="12" s="1"/>
  <c r="V257" i="12" s="1"/>
  <c r="W257" i="12" s="1"/>
  <c r="X257" i="12" s="1"/>
  <c r="Y257" i="12" s="1"/>
  <c r="K49" i="17"/>
  <c r="K51" i="17" s="1"/>
  <c r="L48" i="17" s="1"/>
  <c r="X193" i="12"/>
  <c r="Y193" i="12" s="1"/>
  <c r="N228" i="12"/>
  <c r="M195" i="12"/>
  <c r="M206" i="12"/>
  <c r="L37" i="17"/>
  <c r="L39" i="17" s="1"/>
  <c r="M36" i="17" s="1"/>
  <c r="J198" i="12"/>
  <c r="P253" i="12"/>
  <c r="L230" i="12"/>
  <c r="X255" i="12"/>
  <c r="Y255" i="12" s="1"/>
  <c r="Z255" i="12" s="1"/>
  <c r="AA255" i="12" s="1"/>
  <c r="O194" i="12"/>
  <c r="P194" i="12" s="1"/>
  <c r="Q194" i="12" s="1"/>
  <c r="R194" i="12" s="1"/>
  <c r="S194" i="12" s="1"/>
  <c r="T194" i="12" s="1"/>
  <c r="U194" i="12" s="1"/>
  <c r="V194" i="12" s="1"/>
  <c r="F43" i="17"/>
  <c r="T232" i="12" l="1"/>
  <c r="U232" i="12" s="1"/>
  <c r="N221" i="12"/>
  <c r="K215" i="12"/>
  <c r="K222" i="12" s="1"/>
  <c r="K44" i="12" s="1"/>
  <c r="G35" i="12"/>
  <c r="H30" i="12" s="1"/>
  <c r="J152" i="12"/>
  <c r="J64" i="12" s="1"/>
  <c r="J210" i="12"/>
  <c r="K203" i="12"/>
  <c r="K210" i="12" s="1"/>
  <c r="M135" i="12"/>
  <c r="N135" i="12" s="1"/>
  <c r="H55" i="12"/>
  <c r="I50" i="12" s="1"/>
  <c r="H45" i="12"/>
  <c r="I40" i="12" s="1"/>
  <c r="I45" i="12" s="1"/>
  <c r="J40" i="12" s="1"/>
  <c r="K152" i="12"/>
  <c r="H75" i="12"/>
  <c r="I70" i="12" s="1"/>
  <c r="J74" i="12"/>
  <c r="M99" i="12"/>
  <c r="N99" i="12" s="1"/>
  <c r="O99" i="12" s="1"/>
  <c r="P99" i="12" s="1"/>
  <c r="G9" i="12"/>
  <c r="G37" i="13" s="1"/>
  <c r="N106" i="12"/>
  <c r="K105" i="12"/>
  <c r="L105" i="12"/>
  <c r="G173" i="12"/>
  <c r="H170" i="12" s="1"/>
  <c r="H261" i="12"/>
  <c r="H172" i="12" s="1"/>
  <c r="K160" i="12"/>
  <c r="I234" i="12"/>
  <c r="J227" i="12"/>
  <c r="K227" i="12" s="1"/>
  <c r="K234" i="12" s="1"/>
  <c r="H34" i="12"/>
  <c r="H35" i="12" s="1"/>
  <c r="I30" i="12" s="1"/>
  <c r="I128" i="12"/>
  <c r="J126" i="12" s="1"/>
  <c r="I65" i="12"/>
  <c r="J60" i="12" s="1"/>
  <c r="I210" i="12"/>
  <c r="K143" i="12"/>
  <c r="K144" i="12" s="1"/>
  <c r="W217" i="12"/>
  <c r="X217" i="12" s="1"/>
  <c r="Y217" i="12" s="1"/>
  <c r="Z217" i="12" s="1"/>
  <c r="AA217" i="12" s="1"/>
  <c r="Y241" i="12"/>
  <c r="Z241" i="12" s="1"/>
  <c r="AA241" i="12" s="1"/>
  <c r="N251" i="12"/>
  <c r="O251" i="12" s="1"/>
  <c r="P251" i="12" s="1"/>
  <c r="Q251" i="12" s="1"/>
  <c r="R251" i="12" s="1"/>
  <c r="S251" i="12" s="1"/>
  <c r="T251" i="12" s="1"/>
  <c r="K108" i="12"/>
  <c r="D56" i="6"/>
  <c r="D95" i="6"/>
  <c r="R191" i="12"/>
  <c r="S191" i="12" s="1"/>
  <c r="T191" i="12" s="1"/>
  <c r="U191" i="12" s="1"/>
  <c r="V191" i="12" s="1"/>
  <c r="W191" i="12" s="1"/>
  <c r="X191" i="12" s="1"/>
  <c r="Y191" i="12" s="1"/>
  <c r="Z191" i="12" s="1"/>
  <c r="AA191" i="12" s="1"/>
  <c r="R149" i="12"/>
  <c r="K113" i="12"/>
  <c r="N98" i="12"/>
  <c r="O98" i="12" s="1"/>
  <c r="P98" i="12" s="1"/>
  <c r="Q98" i="12" s="1"/>
  <c r="R98" i="12" s="1"/>
  <c r="S98" i="12" s="1"/>
  <c r="T98" i="12" s="1"/>
  <c r="U98" i="12" s="1"/>
  <c r="V98" i="12" s="1"/>
  <c r="W98" i="12" s="1"/>
  <c r="X98" i="12" s="1"/>
  <c r="Y98" i="12" s="1"/>
  <c r="Z98" i="12" s="1"/>
  <c r="AA98" i="12" s="1"/>
  <c r="H11" i="14"/>
  <c r="G15" i="14"/>
  <c r="M105" i="12"/>
  <c r="E9" i="12"/>
  <c r="D109" i="8"/>
  <c r="L150" i="12"/>
  <c r="L152" i="12" s="1"/>
  <c r="L64" i="12" s="1"/>
  <c r="G306" i="6"/>
  <c r="G283" i="6"/>
  <c r="G307" i="6" s="1"/>
  <c r="G82" i="6" s="1"/>
  <c r="G38" i="6" s="1"/>
  <c r="E24" i="17"/>
  <c r="E84" i="12"/>
  <c r="F82" i="12" s="1"/>
  <c r="F84" i="12" s="1"/>
  <c r="G82" i="12" s="1"/>
  <c r="G84" i="12" s="1"/>
  <c r="H82" i="12" s="1"/>
  <c r="D114" i="8"/>
  <c r="D83" i="8" s="1"/>
  <c r="D84" i="8" s="1"/>
  <c r="D72" i="8" s="1"/>
  <c r="D73" i="8" s="1"/>
  <c r="D12" i="8" s="1"/>
  <c r="D16" i="8" s="1"/>
  <c r="L107" i="12"/>
  <c r="M107" i="12" s="1"/>
  <c r="N107" i="12" s="1"/>
  <c r="O107" i="12" s="1"/>
  <c r="P107" i="12" s="1"/>
  <c r="Q107" i="12" s="1"/>
  <c r="R107" i="12" s="1"/>
  <c r="S107" i="12" s="1"/>
  <c r="T107" i="12" s="1"/>
  <c r="U107" i="12" s="1"/>
  <c r="V107" i="12" s="1"/>
  <c r="W107" i="12" s="1"/>
  <c r="X107" i="12" s="1"/>
  <c r="Y107" i="12" s="1"/>
  <c r="Z107" i="12" s="1"/>
  <c r="AA107" i="12" s="1"/>
  <c r="M90" i="12"/>
  <c r="N90" i="12" s="1"/>
  <c r="O90" i="12" s="1"/>
  <c r="D31" i="17"/>
  <c r="D56" i="17" s="1"/>
  <c r="D54" i="13" s="1"/>
  <c r="D55" i="17"/>
  <c r="F119" i="12"/>
  <c r="F83" i="12" s="1"/>
  <c r="F9" i="12" s="1"/>
  <c r="F69" i="6"/>
  <c r="F70" i="6" s="1"/>
  <c r="F83" i="6" s="1"/>
  <c r="F39" i="6" s="1"/>
  <c r="F41" i="6" s="1"/>
  <c r="F53" i="6"/>
  <c r="I97" i="12"/>
  <c r="J163" i="12"/>
  <c r="J127" i="12" s="1"/>
  <c r="N105" i="12"/>
  <c r="D55" i="13"/>
  <c r="D38" i="13"/>
  <c r="D39" i="13" s="1"/>
  <c r="D31" i="13" s="1"/>
  <c r="P30" i="13"/>
  <c r="AA30" i="13"/>
  <c r="E43" i="6"/>
  <c r="E44" i="6" s="1"/>
  <c r="E45" i="6" s="1"/>
  <c r="E19" i="6" s="1"/>
  <c r="E20" i="6" s="1"/>
  <c r="G143" i="6"/>
  <c r="G179" i="6"/>
  <c r="I92" i="12"/>
  <c r="K89" i="12"/>
  <c r="K92" i="12" s="1"/>
  <c r="L160" i="12"/>
  <c r="M157" i="12"/>
  <c r="I116" i="12"/>
  <c r="I74" i="12" s="1"/>
  <c r="N133" i="12"/>
  <c r="F91" i="8"/>
  <c r="F92" i="8" s="1"/>
  <c r="F104" i="8" s="1"/>
  <c r="F80" i="8"/>
  <c r="H119" i="12"/>
  <c r="H83" i="12" s="1"/>
  <c r="H24" i="12"/>
  <c r="H25" i="12" s="1"/>
  <c r="I20" i="12" s="1"/>
  <c r="J44" i="12"/>
  <c r="F84" i="6"/>
  <c r="E86" i="6"/>
  <c r="L141" i="12"/>
  <c r="P142" i="12"/>
  <c r="Q142" i="12" s="1"/>
  <c r="R142" i="12" s="1"/>
  <c r="S142" i="12" s="1"/>
  <c r="T142" i="12" s="1"/>
  <c r="U142" i="12" s="1"/>
  <c r="V142" i="12" s="1"/>
  <c r="W142" i="12" s="1"/>
  <c r="X142" i="12" s="1"/>
  <c r="Y142" i="12" s="1"/>
  <c r="Z142" i="12" s="1"/>
  <c r="D77" i="12"/>
  <c r="D14" i="12"/>
  <c r="E5" i="12"/>
  <c r="E29" i="8"/>
  <c r="E32" i="8" s="1"/>
  <c r="E36" i="8" s="1"/>
  <c r="E13" i="8" s="1"/>
  <c r="E28" i="8"/>
  <c r="D88" i="6"/>
  <c r="M151" i="12"/>
  <c r="F105" i="8"/>
  <c r="E107" i="8"/>
  <c r="L229" i="12"/>
  <c r="R205" i="12"/>
  <c r="S205" i="12" s="1"/>
  <c r="T205" i="12" s="1"/>
  <c r="U205" i="12" s="1"/>
  <c r="V205" i="12" s="1"/>
  <c r="W205" i="12" s="1"/>
  <c r="X205" i="12" s="1"/>
  <c r="W194" i="12"/>
  <c r="X194" i="12" s="1"/>
  <c r="Y194" i="12" s="1"/>
  <c r="Z194" i="12" s="1"/>
  <c r="AA194" i="12" s="1"/>
  <c r="Z193" i="12"/>
  <c r="AA193" i="12" s="1"/>
  <c r="V208" i="12"/>
  <c r="W208" i="12" s="1"/>
  <c r="X208" i="12" s="1"/>
  <c r="Y208" i="12" s="1"/>
  <c r="Z208" i="12" s="1"/>
  <c r="AA208" i="12" s="1"/>
  <c r="L192" i="12"/>
  <c r="U245" i="12"/>
  <c r="V245" i="12" s="1"/>
  <c r="Z257" i="12"/>
  <c r="AA257" i="12" s="1"/>
  <c r="K258" i="12"/>
  <c r="F45" i="17"/>
  <c r="L252" i="12"/>
  <c r="L258" i="12" s="1"/>
  <c r="M37" i="17"/>
  <c r="M39" i="17" s="1"/>
  <c r="N36" i="17" s="1"/>
  <c r="Q231" i="12"/>
  <c r="R231" i="12" s="1"/>
  <c r="S231" i="12" s="1"/>
  <c r="T231" i="12" s="1"/>
  <c r="U231" i="12" s="1"/>
  <c r="V231" i="12" s="1"/>
  <c r="W231" i="12" s="1"/>
  <c r="X231" i="12" s="1"/>
  <c r="Y231" i="12" s="1"/>
  <c r="Z231" i="12" s="1"/>
  <c r="AA231" i="12" s="1"/>
  <c r="Q253" i="12"/>
  <c r="R253" i="12" s="1"/>
  <c r="S253" i="12" s="1"/>
  <c r="T253" i="12" s="1"/>
  <c r="U253" i="12" s="1"/>
  <c r="V253" i="12" s="1"/>
  <c r="W253" i="12" s="1"/>
  <c r="X253" i="12" s="1"/>
  <c r="Y253" i="12" s="1"/>
  <c r="Z253" i="12" s="1"/>
  <c r="AA253" i="12" s="1"/>
  <c r="N206" i="12"/>
  <c r="R196" i="12"/>
  <c r="K24" i="12"/>
  <c r="S218" i="12"/>
  <c r="T218" i="12" s="1"/>
  <c r="U218" i="12" s="1"/>
  <c r="V218" i="12" s="1"/>
  <c r="W218" i="12" s="1"/>
  <c r="X218" i="12" s="1"/>
  <c r="Y218" i="12" s="1"/>
  <c r="Z218" i="12" s="1"/>
  <c r="AA218" i="12" s="1"/>
  <c r="L204" i="12"/>
  <c r="R233" i="12"/>
  <c r="S233" i="12" s="1"/>
  <c r="T233" i="12" s="1"/>
  <c r="U233" i="12" s="1"/>
  <c r="V233" i="12" s="1"/>
  <c r="W233" i="12" s="1"/>
  <c r="X233" i="12" s="1"/>
  <c r="Y233" i="12" s="1"/>
  <c r="Z233" i="12" s="1"/>
  <c r="AA233" i="12" s="1"/>
  <c r="L49" i="17"/>
  <c r="L51" i="17" s="1"/>
  <c r="M48" i="17" s="1"/>
  <c r="M240" i="12"/>
  <c r="N240" i="12" s="1"/>
  <c r="N246" i="12" s="1"/>
  <c r="J24" i="12"/>
  <c r="N216" i="12"/>
  <c r="M230" i="12"/>
  <c r="N195" i="12"/>
  <c r="O228" i="12"/>
  <c r="K246" i="12"/>
  <c r="V232" i="12" l="1"/>
  <c r="W232" i="12" s="1"/>
  <c r="X232" i="12" s="1"/>
  <c r="Y232" i="12" s="1"/>
  <c r="Z232" i="12" s="1"/>
  <c r="AA232" i="12" s="1"/>
  <c r="O221" i="12"/>
  <c r="L203" i="12"/>
  <c r="M203" i="12" s="1"/>
  <c r="J65" i="12"/>
  <c r="K60" i="12" s="1"/>
  <c r="L215" i="12"/>
  <c r="L222" i="12" s="1"/>
  <c r="L44" i="12" s="1"/>
  <c r="I75" i="12"/>
  <c r="J70" i="12" s="1"/>
  <c r="J75" i="12" s="1"/>
  <c r="K70" i="12" s="1"/>
  <c r="M136" i="12"/>
  <c r="K64" i="12"/>
  <c r="O135" i="12"/>
  <c r="P135" i="12" s="1"/>
  <c r="Q135" i="12" s="1"/>
  <c r="R135" i="12" s="1"/>
  <c r="S135" i="12" s="1"/>
  <c r="T135" i="12" s="1"/>
  <c r="U135" i="12" s="1"/>
  <c r="V135" i="12" s="1"/>
  <c r="W135" i="12" s="1"/>
  <c r="X135" i="12" s="1"/>
  <c r="Y135" i="12" s="1"/>
  <c r="Z135" i="12" s="1"/>
  <c r="AA135" i="12" s="1"/>
  <c r="H173" i="12"/>
  <c r="I170" i="12" s="1"/>
  <c r="U251" i="12"/>
  <c r="V251" i="12" s="1"/>
  <c r="W251" i="12" s="1"/>
  <c r="X251" i="12" s="1"/>
  <c r="Y251" i="12" s="1"/>
  <c r="Z251" i="12" s="1"/>
  <c r="AA251" i="12" s="1"/>
  <c r="H9" i="12"/>
  <c r="T31" i="13" s="1"/>
  <c r="AD31" i="13"/>
  <c r="S31" i="13"/>
  <c r="L143" i="12"/>
  <c r="M143" i="12" s="1"/>
  <c r="M150" i="12"/>
  <c r="N150" i="12" s="1"/>
  <c r="O150" i="12" s="1"/>
  <c r="P150" i="12" s="1"/>
  <c r="J128" i="12"/>
  <c r="K126" i="12" s="1"/>
  <c r="J45" i="12"/>
  <c r="K40" i="12" s="1"/>
  <c r="K45" i="12" s="1"/>
  <c r="L40" i="12" s="1"/>
  <c r="D30" i="13"/>
  <c r="O106" i="12"/>
  <c r="P106" i="12"/>
  <c r="N108" i="12"/>
  <c r="H84" i="12"/>
  <c r="I82" i="12" s="1"/>
  <c r="Q99" i="12"/>
  <c r="R99" i="12" s="1"/>
  <c r="I261" i="12"/>
  <c r="I172" i="12" s="1"/>
  <c r="I54" i="12"/>
  <c r="I55" i="12" s="1"/>
  <c r="J50" i="12" s="1"/>
  <c r="K163" i="12"/>
  <c r="K127" i="12" s="1"/>
  <c r="L227" i="12"/>
  <c r="J234" i="12"/>
  <c r="K54" i="12"/>
  <c r="Y205" i="12"/>
  <c r="Z205" i="12" s="1"/>
  <c r="E108" i="8"/>
  <c r="E113" i="8" s="1"/>
  <c r="E112" i="8"/>
  <c r="E114" i="8" s="1"/>
  <c r="E83" i="8" s="1"/>
  <c r="E84" i="8" s="1"/>
  <c r="E72" i="8" s="1"/>
  <c r="E73" i="8" s="1"/>
  <c r="E12" i="8" s="1"/>
  <c r="E16" i="8" s="1"/>
  <c r="F42" i="6"/>
  <c r="F184" i="3"/>
  <c r="F26" i="8" s="1"/>
  <c r="F27" i="8" s="1"/>
  <c r="G285" i="6"/>
  <c r="D10" i="6"/>
  <c r="D57" i="6"/>
  <c r="D7" i="6" s="1"/>
  <c r="D11" i="6" s="1"/>
  <c r="N136" i="12"/>
  <c r="O133" i="12"/>
  <c r="I24" i="12"/>
  <c r="I25" i="12" s="1"/>
  <c r="J20" i="12" s="1"/>
  <c r="J25" i="12" s="1"/>
  <c r="K20" i="12" s="1"/>
  <c r="K25" i="12" s="1"/>
  <c r="L20" i="12" s="1"/>
  <c r="I100" i="12"/>
  <c r="I34" i="12" s="1"/>
  <c r="I35" i="12" s="1"/>
  <c r="J30" i="12" s="1"/>
  <c r="J97" i="12"/>
  <c r="J100" i="12" s="1"/>
  <c r="AB31" i="13"/>
  <c r="E37" i="13"/>
  <c r="Q31" i="13"/>
  <c r="P90" i="12"/>
  <c r="Q90" i="12" s="1"/>
  <c r="R90" i="12" s="1"/>
  <c r="S90" i="12" s="1"/>
  <c r="T90" i="12" s="1"/>
  <c r="U90" i="12" s="1"/>
  <c r="V90" i="12" s="1"/>
  <c r="W90" i="12" s="1"/>
  <c r="X90" i="12" s="1"/>
  <c r="Y90" i="12" s="1"/>
  <c r="Z90" i="12" s="1"/>
  <c r="AA90" i="12" s="1"/>
  <c r="E25" i="17"/>
  <c r="E27" i="17" s="1"/>
  <c r="N151" i="12"/>
  <c r="O151" i="12" s="1"/>
  <c r="P151" i="12" s="1"/>
  <c r="Q151" i="12" s="1"/>
  <c r="R151" i="12" s="1"/>
  <c r="S151" i="12" s="1"/>
  <c r="T151" i="12" s="1"/>
  <c r="U151" i="12" s="1"/>
  <c r="V151" i="12" s="1"/>
  <c r="W151" i="12" s="1"/>
  <c r="X151" i="12" s="1"/>
  <c r="Y151" i="12" s="1"/>
  <c r="Z151" i="12" s="1"/>
  <c r="AA151" i="12" s="1"/>
  <c r="M108" i="12"/>
  <c r="O105" i="12"/>
  <c r="O108" i="12" s="1"/>
  <c r="P105" i="12"/>
  <c r="K116" i="12"/>
  <c r="K74" i="12" s="1"/>
  <c r="L113" i="12"/>
  <c r="E10" i="12"/>
  <c r="E12" i="12" s="1"/>
  <c r="D33" i="17"/>
  <c r="AA142" i="12"/>
  <c r="G42" i="17"/>
  <c r="G43" i="17" s="1"/>
  <c r="M141" i="12"/>
  <c r="M160" i="12"/>
  <c r="N157" i="12"/>
  <c r="H15" i="14"/>
  <c r="I11" i="14"/>
  <c r="S149" i="12"/>
  <c r="E91" i="6"/>
  <c r="E87" i="6"/>
  <c r="E92" i="6" s="1"/>
  <c r="E88" i="6"/>
  <c r="F66" i="6"/>
  <c r="F79" i="6" s="1"/>
  <c r="F85" i="6" s="1"/>
  <c r="F106" i="8"/>
  <c r="G183" i="6"/>
  <c r="G145" i="6"/>
  <c r="G185" i="6" s="1"/>
  <c r="H139" i="6"/>
  <c r="F37" i="13"/>
  <c r="AC31" i="13"/>
  <c r="R31" i="13"/>
  <c r="L89" i="12"/>
  <c r="L108" i="12"/>
  <c r="M229" i="12"/>
  <c r="N229" i="12" s="1"/>
  <c r="O229" i="12" s="1"/>
  <c r="L198" i="12"/>
  <c r="M192" i="12"/>
  <c r="W245" i="12"/>
  <c r="X245" i="12" s="1"/>
  <c r="K261" i="12"/>
  <c r="K172" i="12" s="1"/>
  <c r="M252" i="12"/>
  <c r="M49" i="17"/>
  <c r="M51" i="17" s="1"/>
  <c r="N48" i="17" s="1"/>
  <c r="O216" i="12"/>
  <c r="O195" i="12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AA195" i="12" s="1"/>
  <c r="M246" i="12"/>
  <c r="O240" i="12"/>
  <c r="O206" i="12"/>
  <c r="P206" i="12" s="1"/>
  <c r="Q206" i="12" s="1"/>
  <c r="R206" i="12" s="1"/>
  <c r="S206" i="12" s="1"/>
  <c r="T206" i="12" s="1"/>
  <c r="U206" i="12" s="1"/>
  <c r="V206" i="12" s="1"/>
  <c r="W206" i="12" s="1"/>
  <c r="X206" i="12" s="1"/>
  <c r="Y206" i="12" s="1"/>
  <c r="M204" i="12"/>
  <c r="P228" i="12"/>
  <c r="S196" i="12"/>
  <c r="T196" i="12" s="1"/>
  <c r="U196" i="12" s="1"/>
  <c r="V196" i="12" s="1"/>
  <c r="W196" i="12" s="1"/>
  <c r="X196" i="12" s="1"/>
  <c r="Y196" i="12" s="1"/>
  <c r="Z196" i="12" s="1"/>
  <c r="AA196" i="12" s="1"/>
  <c r="N37" i="17"/>
  <c r="N39" i="17" s="1"/>
  <c r="O36" i="17" s="1"/>
  <c r="N230" i="12"/>
  <c r="P221" i="12" l="1"/>
  <c r="N203" i="12"/>
  <c r="L210" i="12"/>
  <c r="K65" i="12"/>
  <c r="L60" i="12" s="1"/>
  <c r="L65" i="12" s="1"/>
  <c r="M60" i="12" s="1"/>
  <c r="L45" i="12"/>
  <c r="M40" i="12" s="1"/>
  <c r="M215" i="12"/>
  <c r="K75" i="12"/>
  <c r="L70" i="12" s="1"/>
  <c r="M152" i="12"/>
  <c r="I173" i="12"/>
  <c r="J170" i="12" s="1"/>
  <c r="AE31" i="13"/>
  <c r="N143" i="12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K128" i="12"/>
  <c r="L126" i="12" s="1"/>
  <c r="H37" i="13"/>
  <c r="L144" i="12"/>
  <c r="L163" i="12" s="1"/>
  <c r="L127" i="12" s="1"/>
  <c r="S99" i="12"/>
  <c r="T99" i="12" s="1"/>
  <c r="U99" i="12" s="1"/>
  <c r="V99" i="12" s="1"/>
  <c r="W99" i="12" s="1"/>
  <c r="X99" i="12" s="1"/>
  <c r="Y99" i="12" s="1"/>
  <c r="Z99" i="12" s="1"/>
  <c r="AA99" i="12" s="1"/>
  <c r="Q106" i="12"/>
  <c r="K97" i="12"/>
  <c r="K100" i="12" s="1"/>
  <c r="E109" i="8"/>
  <c r="AA205" i="12"/>
  <c r="Y245" i="12"/>
  <c r="Z245" i="12" s="1"/>
  <c r="AA245" i="12" s="1"/>
  <c r="O203" i="12"/>
  <c r="P203" i="12" s="1"/>
  <c r="J54" i="12"/>
  <c r="J55" i="12" s="1"/>
  <c r="K50" i="12" s="1"/>
  <c r="K55" i="12" s="1"/>
  <c r="L50" i="12" s="1"/>
  <c r="J261" i="12"/>
  <c r="J172" i="12" s="1"/>
  <c r="M227" i="12"/>
  <c r="N227" i="12" s="1"/>
  <c r="L234" i="12"/>
  <c r="P229" i="12"/>
  <c r="Q229" i="12" s="1"/>
  <c r="M234" i="12"/>
  <c r="F24" i="17"/>
  <c r="L97" i="12"/>
  <c r="I119" i="12"/>
  <c r="I83" i="12" s="1"/>
  <c r="H282" i="6"/>
  <c r="G309" i="6"/>
  <c r="H179" i="6"/>
  <c r="H143" i="6"/>
  <c r="P108" i="12"/>
  <c r="Q105" i="12"/>
  <c r="F28" i="8"/>
  <c r="F29" i="8" s="1"/>
  <c r="F32" i="8" s="1"/>
  <c r="F36" i="8" s="1"/>
  <c r="F13" i="8" s="1"/>
  <c r="G84" i="6"/>
  <c r="F86" i="6"/>
  <c r="P152" i="12"/>
  <c r="Q150" i="12"/>
  <c r="G69" i="6"/>
  <c r="G70" i="6" s="1"/>
  <c r="G83" i="6" s="1"/>
  <c r="G39" i="6" s="1"/>
  <c r="G41" i="6" s="1"/>
  <c r="G53" i="6"/>
  <c r="E93" i="6"/>
  <c r="N152" i="12"/>
  <c r="N64" i="12" s="1"/>
  <c r="F43" i="6"/>
  <c r="F44" i="6"/>
  <c r="F45" i="6" s="1"/>
  <c r="F19" i="6" s="1"/>
  <c r="F20" i="6" s="1"/>
  <c r="M64" i="12"/>
  <c r="D56" i="13"/>
  <c r="D57" i="13" s="1"/>
  <c r="F107" i="8"/>
  <c r="O152" i="12"/>
  <c r="E30" i="17"/>
  <c r="D58" i="17"/>
  <c r="D59" i="17" s="1"/>
  <c r="J11" i="14"/>
  <c r="J15" i="14" s="1"/>
  <c r="I15" i="14"/>
  <c r="Q30" i="13"/>
  <c r="E38" i="13"/>
  <c r="E55" i="13"/>
  <c r="AB30" i="13"/>
  <c r="M144" i="12"/>
  <c r="N141" i="12"/>
  <c r="F5" i="12"/>
  <c r="E14" i="12"/>
  <c r="E77" i="12"/>
  <c r="O136" i="12"/>
  <c r="P133" i="12"/>
  <c r="L92" i="12"/>
  <c r="L24" i="12" s="1"/>
  <c r="L25" i="12" s="1"/>
  <c r="M20" i="12" s="1"/>
  <c r="M89" i="12"/>
  <c r="T149" i="12"/>
  <c r="N160" i="12"/>
  <c r="O157" i="12"/>
  <c r="L116" i="12"/>
  <c r="L74" i="12" s="1"/>
  <c r="M113" i="12"/>
  <c r="N113" i="12" s="1"/>
  <c r="J34" i="12"/>
  <c r="J35" i="12" s="1"/>
  <c r="K30" i="12" s="1"/>
  <c r="J119" i="12"/>
  <c r="J83" i="12" s="1"/>
  <c r="M258" i="12"/>
  <c r="M198" i="12"/>
  <c r="N192" i="12"/>
  <c r="G45" i="17"/>
  <c r="H42" i="17" s="1"/>
  <c r="Z206" i="12"/>
  <c r="AA206" i="12" s="1"/>
  <c r="N252" i="12"/>
  <c r="N258" i="12" s="1"/>
  <c r="N49" i="17"/>
  <c r="N51" i="17" s="1"/>
  <c r="O48" i="17" s="1"/>
  <c r="Q228" i="12"/>
  <c r="M210" i="12"/>
  <c r="N204" i="12"/>
  <c r="O246" i="12"/>
  <c r="P240" i="12"/>
  <c r="O37" i="17"/>
  <c r="O39" i="17" s="1"/>
  <c r="P36" i="17" s="1"/>
  <c r="P216" i="12"/>
  <c r="O230" i="12"/>
  <c r="L261" i="12" l="1"/>
  <c r="L172" i="12" s="1"/>
  <c r="M65" i="12"/>
  <c r="N60" i="12" s="1"/>
  <c r="N65" i="12" s="1"/>
  <c r="O60" i="12" s="1"/>
  <c r="Q221" i="12"/>
  <c r="R221" i="12" s="1"/>
  <c r="M163" i="12"/>
  <c r="M127" i="12" s="1"/>
  <c r="J173" i="12"/>
  <c r="K170" i="12" s="1"/>
  <c r="K173" i="12" s="1"/>
  <c r="L170" i="12" s="1"/>
  <c r="L75" i="12"/>
  <c r="M70" i="12" s="1"/>
  <c r="N215" i="12"/>
  <c r="N222" i="12" s="1"/>
  <c r="N44" i="12" s="1"/>
  <c r="M222" i="12"/>
  <c r="M44" i="12" s="1"/>
  <c r="M45" i="12" s="1"/>
  <c r="N40" i="12" s="1"/>
  <c r="L128" i="12"/>
  <c r="M126" i="12" s="1"/>
  <c r="O64" i="12"/>
  <c r="K34" i="12"/>
  <c r="K35" i="12" s="1"/>
  <c r="L30" i="12" s="1"/>
  <c r="K119" i="12"/>
  <c r="K83" i="12" s="1"/>
  <c r="K9" i="12" s="1"/>
  <c r="R106" i="12"/>
  <c r="R229" i="12"/>
  <c r="S229" i="12" s="1"/>
  <c r="T229" i="12" s="1"/>
  <c r="U229" i="12" s="1"/>
  <c r="V229" i="12" s="1"/>
  <c r="W229" i="12" s="1"/>
  <c r="X229" i="12" s="1"/>
  <c r="O227" i="12"/>
  <c r="P227" i="12" s="1"/>
  <c r="Q227" i="12" s="1"/>
  <c r="R227" i="12" s="1"/>
  <c r="S227" i="12" s="1"/>
  <c r="T227" i="12" s="1"/>
  <c r="U227" i="12" s="1"/>
  <c r="V227" i="12" s="1"/>
  <c r="W227" i="12" s="1"/>
  <c r="N234" i="12"/>
  <c r="J9" i="12"/>
  <c r="AG31" i="13" s="1"/>
  <c r="Q203" i="12"/>
  <c r="R203" i="12" s="1"/>
  <c r="S203" i="12" s="1"/>
  <c r="T203" i="12" s="1"/>
  <c r="U203" i="12" s="1"/>
  <c r="V203" i="12" s="1"/>
  <c r="W203" i="12" s="1"/>
  <c r="X203" i="12" s="1"/>
  <c r="Y203" i="12" s="1"/>
  <c r="Z203" i="12" s="1"/>
  <c r="AA203" i="12" s="1"/>
  <c r="M128" i="12"/>
  <c r="N126" i="12" s="1"/>
  <c r="L54" i="12"/>
  <c r="L55" i="12" s="1"/>
  <c r="M50" i="12" s="1"/>
  <c r="M54" i="12"/>
  <c r="N116" i="12"/>
  <c r="N74" i="12" s="1"/>
  <c r="O113" i="12"/>
  <c r="U149" i="12"/>
  <c r="P136" i="12"/>
  <c r="Q133" i="12"/>
  <c r="E31" i="17"/>
  <c r="E55" i="17"/>
  <c r="G184" i="3"/>
  <c r="G26" i="8" s="1"/>
  <c r="G27" i="8" s="1"/>
  <c r="G42" i="6"/>
  <c r="E39" i="13"/>
  <c r="E31" i="13" s="1"/>
  <c r="E30" i="13"/>
  <c r="Q108" i="12"/>
  <c r="R105" i="12"/>
  <c r="L100" i="12"/>
  <c r="L34" i="12" s="1"/>
  <c r="M97" i="12"/>
  <c r="Q152" i="12"/>
  <c r="R150" i="12"/>
  <c r="M116" i="12"/>
  <c r="M74" i="12" s="1"/>
  <c r="F112" i="8"/>
  <c r="F108" i="8"/>
  <c r="F113" i="8" s="1"/>
  <c r="M92" i="12"/>
  <c r="N89" i="12"/>
  <c r="H145" i="6"/>
  <c r="H185" i="6" s="1"/>
  <c r="H183" i="6"/>
  <c r="F25" i="17"/>
  <c r="F10" i="12"/>
  <c r="F12" i="12" s="1"/>
  <c r="E56" i="13"/>
  <c r="D58" i="13"/>
  <c r="N144" i="12"/>
  <c r="N163" i="12" s="1"/>
  <c r="N127" i="12" s="1"/>
  <c r="O141" i="12"/>
  <c r="F91" i="6"/>
  <c r="F87" i="6"/>
  <c r="F92" i="6" s="1"/>
  <c r="O160" i="12"/>
  <c r="P157" i="12"/>
  <c r="L119" i="12"/>
  <c r="L83" i="12" s="1"/>
  <c r="E56" i="6"/>
  <c r="E95" i="6"/>
  <c r="H306" i="6"/>
  <c r="H283" i="6"/>
  <c r="H307" i="6" s="1"/>
  <c r="H82" i="6" s="1"/>
  <c r="H38" i="6" s="1"/>
  <c r="G66" i="6"/>
  <c r="G79" i="6" s="1"/>
  <c r="G85" i="6" s="1"/>
  <c r="I9" i="12"/>
  <c r="I84" i="12"/>
  <c r="J82" i="12" s="1"/>
  <c r="J84" i="12" s="1"/>
  <c r="K82" i="12" s="1"/>
  <c r="K84" i="12" s="1"/>
  <c r="L82" i="12" s="1"/>
  <c r="L84" i="12" s="1"/>
  <c r="M82" i="12" s="1"/>
  <c r="O252" i="12"/>
  <c r="O258" i="12" s="1"/>
  <c r="O192" i="12"/>
  <c r="N198" i="12"/>
  <c r="Q216" i="12"/>
  <c r="P37" i="17"/>
  <c r="P39" i="17" s="1"/>
  <c r="Q36" i="17" s="1"/>
  <c r="R228" i="12"/>
  <c r="H43" i="17"/>
  <c r="P246" i="12"/>
  <c r="P64" i="12" s="1"/>
  <c r="Q240" i="12"/>
  <c r="O49" i="17"/>
  <c r="O51" i="17" s="1"/>
  <c r="P48" i="17" s="1"/>
  <c r="P230" i="12"/>
  <c r="N210" i="12"/>
  <c r="O204" i="12"/>
  <c r="L9" i="12" l="1"/>
  <c r="L173" i="12"/>
  <c r="M170" i="12" s="1"/>
  <c r="S221" i="12"/>
  <c r="T221" i="12" s="1"/>
  <c r="U221" i="12" s="1"/>
  <c r="N45" i="12"/>
  <c r="O40" i="12" s="1"/>
  <c r="M75" i="12"/>
  <c r="N70" i="12" s="1"/>
  <c r="N75" i="12" s="1"/>
  <c r="O70" i="12" s="1"/>
  <c r="M261" i="12"/>
  <c r="M172" i="12" s="1"/>
  <c r="O215" i="12"/>
  <c r="O234" i="12"/>
  <c r="O65" i="12"/>
  <c r="P60" i="12" s="1"/>
  <c r="P65" i="12" s="1"/>
  <c r="Q60" i="12" s="1"/>
  <c r="L35" i="12"/>
  <c r="M30" i="12" s="1"/>
  <c r="S106" i="12"/>
  <c r="T106" i="12" s="1"/>
  <c r="U106" i="12" s="1"/>
  <c r="V106" i="12" s="1"/>
  <c r="W106" i="12" s="1"/>
  <c r="X106" i="12" s="1"/>
  <c r="Y106" i="12" s="1"/>
  <c r="Z106" i="12" s="1"/>
  <c r="AA106" i="12" s="1"/>
  <c r="F109" i="8"/>
  <c r="F114" i="8"/>
  <c r="F83" i="8" s="1"/>
  <c r="F84" i="8" s="1"/>
  <c r="F72" i="8" s="1"/>
  <c r="F73" i="8" s="1"/>
  <c r="F12" i="8" s="1"/>
  <c r="F16" i="8" s="1"/>
  <c r="J37" i="13"/>
  <c r="Y229" i="12"/>
  <c r="Z229" i="12" s="1"/>
  <c r="AA229" i="12" s="1"/>
  <c r="V31" i="13"/>
  <c r="N128" i="12"/>
  <c r="O126" i="12" s="1"/>
  <c r="X227" i="12"/>
  <c r="Y227" i="12" s="1"/>
  <c r="Z227" i="12" s="1"/>
  <c r="AA227" i="12" s="1"/>
  <c r="M55" i="12"/>
  <c r="N50" i="12" s="1"/>
  <c r="P252" i="12"/>
  <c r="Q252" i="12" s="1"/>
  <c r="R252" i="12" s="1"/>
  <c r="R258" i="12" s="1"/>
  <c r="R108" i="12"/>
  <c r="S105" i="12"/>
  <c r="AF31" i="13"/>
  <c r="I37" i="13"/>
  <c r="U31" i="13"/>
  <c r="F93" i="6"/>
  <c r="M119" i="12"/>
  <c r="M83" i="12" s="1"/>
  <c r="O144" i="12"/>
  <c r="O163" i="12" s="1"/>
  <c r="O127" i="12" s="1"/>
  <c r="O128" i="12" s="1"/>
  <c r="P126" i="12" s="1"/>
  <c r="P141" i="12"/>
  <c r="F14" i="12"/>
  <c r="F77" i="12"/>
  <c r="G5" i="12"/>
  <c r="G10" i="12" s="1"/>
  <c r="S150" i="12"/>
  <c r="R152" i="12"/>
  <c r="Q136" i="12"/>
  <c r="R133" i="12"/>
  <c r="D59" i="13"/>
  <c r="D60" i="13" s="1"/>
  <c r="G86" i="6"/>
  <c r="H84" i="6"/>
  <c r="E10" i="6"/>
  <c r="E57" i="6"/>
  <c r="E7" i="6" s="1"/>
  <c r="AC30" i="13"/>
  <c r="F38" i="13"/>
  <c r="F39" i="13" s="1"/>
  <c r="F31" i="13" s="1"/>
  <c r="R30" i="13"/>
  <c r="F55" i="13"/>
  <c r="N54" i="12"/>
  <c r="P160" i="12"/>
  <c r="Q157" i="12"/>
  <c r="F27" i="17"/>
  <c r="M100" i="12"/>
  <c r="M34" i="12" s="1"/>
  <c r="N97" i="12"/>
  <c r="G44" i="6"/>
  <c r="G45" i="6" s="1"/>
  <c r="G19" i="6" s="1"/>
  <c r="G20" i="6" s="1"/>
  <c r="G43" i="6"/>
  <c r="V149" i="12"/>
  <c r="M24" i="12"/>
  <c r="M25" i="12" s="1"/>
  <c r="N20" i="12" s="1"/>
  <c r="G28" i="8"/>
  <c r="G29" i="8" s="1"/>
  <c r="G32" i="8" s="1"/>
  <c r="G36" i="8" s="1"/>
  <c r="G13" i="8" s="1"/>
  <c r="G16" i="8" s="1"/>
  <c r="O116" i="12"/>
  <c r="O74" i="12" s="1"/>
  <c r="P113" i="12"/>
  <c r="N92" i="12"/>
  <c r="O89" i="12"/>
  <c r="E33" i="17"/>
  <c r="E56" i="17"/>
  <c r="E54" i="13" s="1"/>
  <c r="E57" i="13" s="1"/>
  <c r="H285" i="6"/>
  <c r="H309" i="6" s="1"/>
  <c r="F88" i="6"/>
  <c r="H69" i="6"/>
  <c r="H70" i="6" s="1"/>
  <c r="H83" i="6" s="1"/>
  <c r="H39" i="6" s="1"/>
  <c r="H41" i="6" s="1"/>
  <c r="H53" i="6"/>
  <c r="P192" i="12"/>
  <c r="O198" i="12"/>
  <c r="Q37" i="17"/>
  <c r="Q39" i="17" s="1"/>
  <c r="R36" i="17" s="1"/>
  <c r="Q230" i="12"/>
  <c r="P234" i="12"/>
  <c r="R216" i="12"/>
  <c r="O210" i="12"/>
  <c r="P204" i="12"/>
  <c r="Q246" i="12"/>
  <c r="Q64" i="12" s="1"/>
  <c r="R240" i="12"/>
  <c r="P49" i="17"/>
  <c r="P51" i="17" s="1"/>
  <c r="Q48" i="17" s="1"/>
  <c r="N261" i="12"/>
  <c r="N172" i="12" s="1"/>
  <c r="H45" i="17"/>
  <c r="S228" i="12"/>
  <c r="M173" i="12" l="1"/>
  <c r="N170" i="12" s="1"/>
  <c r="N173" i="12" s="1"/>
  <c r="O170" i="12" s="1"/>
  <c r="V221" i="12"/>
  <c r="W221" i="12" s="1"/>
  <c r="X221" i="12" s="1"/>
  <c r="Y221" i="12" s="1"/>
  <c r="Z221" i="12" s="1"/>
  <c r="AA221" i="12" s="1"/>
  <c r="P215" i="12"/>
  <c r="O222" i="12"/>
  <c r="O44" i="12" s="1"/>
  <c r="O45" i="12" s="1"/>
  <c r="P40" i="12" s="1"/>
  <c r="O75" i="12"/>
  <c r="P70" i="12" s="1"/>
  <c r="M35" i="12"/>
  <c r="N30" i="12" s="1"/>
  <c r="Q65" i="12"/>
  <c r="R60" i="12" s="1"/>
  <c r="N55" i="12"/>
  <c r="O50" i="12" s="1"/>
  <c r="O54" i="12"/>
  <c r="P258" i="12"/>
  <c r="F30" i="13"/>
  <c r="H42" i="6"/>
  <c r="H184" i="3"/>
  <c r="H26" i="8" s="1"/>
  <c r="H27" i="8" s="1"/>
  <c r="F56" i="13"/>
  <c r="E58" i="13"/>
  <c r="E59" i="13" s="1"/>
  <c r="E60" i="13" s="1"/>
  <c r="F30" i="17"/>
  <c r="E58" i="17"/>
  <c r="E59" i="17" s="1"/>
  <c r="G88" i="6"/>
  <c r="G87" i="6"/>
  <c r="G92" i="6" s="1"/>
  <c r="G91" i="6"/>
  <c r="G93" i="6" s="1"/>
  <c r="T150" i="12"/>
  <c r="S152" i="12"/>
  <c r="F95" i="6"/>
  <c r="F56" i="6"/>
  <c r="O92" i="12"/>
  <c r="P89" i="12"/>
  <c r="W149" i="12"/>
  <c r="M9" i="12"/>
  <c r="G12" i="12"/>
  <c r="H5" i="12"/>
  <c r="G77" i="12"/>
  <c r="G14" i="12"/>
  <c r="G24" i="17"/>
  <c r="D33" i="13"/>
  <c r="D34" i="13" s="1"/>
  <c r="D4" i="14" s="1"/>
  <c r="D64" i="13"/>
  <c r="AA33" i="13" s="1"/>
  <c r="AA34" i="13" s="1"/>
  <c r="P33" i="13"/>
  <c r="P34" i="13" s="1"/>
  <c r="N100" i="12"/>
  <c r="N34" i="12" s="1"/>
  <c r="O97" i="12"/>
  <c r="H66" i="6"/>
  <c r="H79" i="6" s="1"/>
  <c r="H85" i="6" s="1"/>
  <c r="H86" i="6" s="1"/>
  <c r="P116" i="12"/>
  <c r="Q113" i="12"/>
  <c r="Q160" i="12"/>
  <c r="R157" i="12"/>
  <c r="M84" i="12"/>
  <c r="N82" i="12" s="1"/>
  <c r="P144" i="12"/>
  <c r="P163" i="12" s="1"/>
  <c r="P127" i="12" s="1"/>
  <c r="P128" i="12" s="1"/>
  <c r="Q126" i="12" s="1"/>
  <c r="Q141" i="12"/>
  <c r="S108" i="12"/>
  <c r="T105" i="12"/>
  <c r="N24" i="12"/>
  <c r="N25" i="12" s="1"/>
  <c r="O20" i="12" s="1"/>
  <c r="E11" i="6"/>
  <c r="R136" i="12"/>
  <c r="S133" i="12"/>
  <c r="Q192" i="12"/>
  <c r="Q198" i="12" s="1"/>
  <c r="P198" i="12"/>
  <c r="Q258" i="12"/>
  <c r="S252" i="12"/>
  <c r="S258" i="12" s="1"/>
  <c r="R246" i="12"/>
  <c r="R64" i="12" s="1"/>
  <c r="S240" i="12"/>
  <c r="I42" i="17"/>
  <c r="R37" i="17"/>
  <c r="R39" i="17" s="1"/>
  <c r="S36" i="17" s="1"/>
  <c r="P210" i="12"/>
  <c r="Q204" i="12"/>
  <c r="S216" i="12"/>
  <c r="T228" i="12"/>
  <c r="Q49" i="17"/>
  <c r="Q51" i="17" s="1"/>
  <c r="R48" i="17" s="1"/>
  <c r="R230" i="12"/>
  <c r="Q234" i="12"/>
  <c r="O55" i="12" l="1"/>
  <c r="P50" i="12" s="1"/>
  <c r="O261" i="12"/>
  <c r="O172" i="12" s="1"/>
  <c r="O173" i="12" s="1"/>
  <c r="P170" i="12" s="1"/>
  <c r="Q215" i="12"/>
  <c r="P222" i="12"/>
  <c r="P44" i="12" s="1"/>
  <c r="P45" i="12" s="1"/>
  <c r="Q40" i="12" s="1"/>
  <c r="R65" i="12"/>
  <c r="S60" i="12" s="1"/>
  <c r="N35" i="12"/>
  <c r="O30" i="12" s="1"/>
  <c r="P35" i="13"/>
  <c r="P74" i="12"/>
  <c r="P75" i="12" s="1"/>
  <c r="Q70" i="12" s="1"/>
  <c r="T108" i="12"/>
  <c r="U105" i="12"/>
  <c r="Q116" i="12"/>
  <c r="Q74" i="12" s="1"/>
  <c r="R113" i="12"/>
  <c r="D35" i="13"/>
  <c r="H10" i="12"/>
  <c r="H12" i="12" s="1"/>
  <c r="F10" i="6"/>
  <c r="F57" i="6"/>
  <c r="F7" i="6" s="1"/>
  <c r="F11" i="6" s="1"/>
  <c r="F31" i="17"/>
  <c r="F55" i="17"/>
  <c r="R160" i="12"/>
  <c r="S157" i="12"/>
  <c r="E64" i="13"/>
  <c r="AB33" i="13" s="1"/>
  <c r="AB34" i="13" s="1"/>
  <c r="E33" i="13"/>
  <c r="E34" i="13" s="1"/>
  <c r="E4" i="14" s="1"/>
  <c r="E6" i="14" s="1"/>
  <c r="E13" i="14" s="1"/>
  <c r="Q33" i="13"/>
  <c r="Q34" i="13" s="1"/>
  <c r="H91" i="6"/>
  <c r="H87" i="6"/>
  <c r="H92" i="6" s="1"/>
  <c r="H88" i="6"/>
  <c r="X149" i="12"/>
  <c r="U150" i="12"/>
  <c r="T152" i="12"/>
  <c r="H28" i="8"/>
  <c r="H29" i="8" s="1"/>
  <c r="H32" i="8" s="1"/>
  <c r="H36" i="8" s="1"/>
  <c r="H13" i="8" s="1"/>
  <c r="H16" i="8" s="1"/>
  <c r="G20" i="8" s="1"/>
  <c r="D5" i="14" s="1"/>
  <c r="D6" i="14" s="1"/>
  <c r="D13" i="14" s="1"/>
  <c r="O119" i="12"/>
  <c r="O83" i="12" s="1"/>
  <c r="S136" i="12"/>
  <c r="T133" i="12"/>
  <c r="G25" i="17"/>
  <c r="G95" i="6"/>
  <c r="G56" i="6"/>
  <c r="H43" i="6"/>
  <c r="H44" i="6" s="1"/>
  <c r="H45" i="6" s="1"/>
  <c r="H19" i="6" s="1"/>
  <c r="H20" i="6" s="1"/>
  <c r="D22" i="6" s="1"/>
  <c r="O100" i="12"/>
  <c r="O34" i="12" s="1"/>
  <c r="P97" i="12"/>
  <c r="S30" i="13"/>
  <c r="G55" i="13"/>
  <c r="AD30" i="13"/>
  <c r="G38" i="13"/>
  <c r="G39" i="13" s="1"/>
  <c r="G31" i="13" s="1"/>
  <c r="Q144" i="12"/>
  <c r="Q163" i="12" s="1"/>
  <c r="Q127" i="12" s="1"/>
  <c r="Q128" i="12" s="1"/>
  <c r="R126" i="12" s="1"/>
  <c r="R141" i="12"/>
  <c r="P24" i="12"/>
  <c r="P54" i="12"/>
  <c r="O24" i="12"/>
  <c r="O25" i="12" s="1"/>
  <c r="P20" i="12" s="1"/>
  <c r="N119" i="12"/>
  <c r="N83" i="12" s="1"/>
  <c r="N9" i="12" s="1"/>
  <c r="P92" i="12"/>
  <c r="Q89" i="12"/>
  <c r="T252" i="12"/>
  <c r="R192" i="12"/>
  <c r="S37" i="17"/>
  <c r="S39" i="17" s="1"/>
  <c r="T36" i="17" s="1"/>
  <c r="S246" i="12"/>
  <c r="S64" i="12" s="1"/>
  <c r="T240" i="12"/>
  <c r="I43" i="17"/>
  <c r="Q210" i="12"/>
  <c r="R204" i="12"/>
  <c r="S230" i="12"/>
  <c r="R234" i="12"/>
  <c r="R49" i="17"/>
  <c r="R51" i="17" s="1"/>
  <c r="S48" i="17" s="1"/>
  <c r="U228" i="12"/>
  <c r="P261" i="12"/>
  <c r="P172" i="12" s="1"/>
  <c r="T216" i="12"/>
  <c r="P55" i="12" l="1"/>
  <c r="Q50" i="12" s="1"/>
  <c r="O9" i="12"/>
  <c r="R215" i="12"/>
  <c r="Q222" i="12"/>
  <c r="Q44" i="12" s="1"/>
  <c r="Q45" i="12" s="1"/>
  <c r="R40" i="12" s="1"/>
  <c r="Q75" i="12"/>
  <c r="R70" i="12" s="1"/>
  <c r="S65" i="12"/>
  <c r="T60" i="12" s="1"/>
  <c r="N84" i="12"/>
  <c r="O82" i="12" s="1"/>
  <c r="O35" i="12"/>
  <c r="P30" i="12" s="1"/>
  <c r="E35" i="13"/>
  <c r="G30" i="13"/>
  <c r="E17" i="14"/>
  <c r="E19" i="14" s="1"/>
  <c r="G27" i="17"/>
  <c r="H93" i="6"/>
  <c r="P25" i="12"/>
  <c r="Q20" i="12" s="1"/>
  <c r="P100" i="12"/>
  <c r="P34" i="12" s="1"/>
  <c r="Q97" i="12"/>
  <c r="O84" i="12"/>
  <c r="P82" i="12" s="1"/>
  <c r="F33" i="17"/>
  <c r="F56" i="17"/>
  <c r="F54" i="13" s="1"/>
  <c r="F57" i="13" s="1"/>
  <c r="U108" i="12"/>
  <c r="V105" i="12"/>
  <c r="R116" i="12"/>
  <c r="R74" i="12" s="1"/>
  <c r="S113" i="12"/>
  <c r="R144" i="12"/>
  <c r="R163" i="12" s="1"/>
  <c r="R127" i="12" s="1"/>
  <c r="R128" i="12" s="1"/>
  <c r="S126" i="12" s="1"/>
  <c r="S141" i="12"/>
  <c r="T136" i="12"/>
  <c r="U133" i="12"/>
  <c r="Q92" i="12"/>
  <c r="R89" i="12"/>
  <c r="V150" i="12"/>
  <c r="U152" i="12"/>
  <c r="Y149" i="12"/>
  <c r="Q35" i="13"/>
  <c r="H55" i="13"/>
  <c r="AE30" i="13"/>
  <c r="H38" i="13"/>
  <c r="T30" i="13"/>
  <c r="Q54" i="12"/>
  <c r="G10" i="6"/>
  <c r="G57" i="6"/>
  <c r="G7" i="6" s="1"/>
  <c r="S160" i="12"/>
  <c r="T157" i="12"/>
  <c r="I5" i="12"/>
  <c r="I10" i="12" s="1"/>
  <c r="I12" i="12" s="1"/>
  <c r="AF30" i="13" s="1"/>
  <c r="H77" i="12"/>
  <c r="H14" i="12"/>
  <c r="I45" i="17"/>
  <c r="J42" i="17" s="1"/>
  <c r="R198" i="12"/>
  <c r="S192" i="12"/>
  <c r="T258" i="12"/>
  <c r="U252" i="12"/>
  <c r="U216" i="12"/>
  <c r="S49" i="17"/>
  <c r="S51" i="17" s="1"/>
  <c r="T48" i="17" s="1"/>
  <c r="V228" i="12"/>
  <c r="R210" i="12"/>
  <c r="S204" i="12"/>
  <c r="T246" i="12"/>
  <c r="T64" i="12" s="1"/>
  <c r="U240" i="12"/>
  <c r="T37" i="17"/>
  <c r="T39" i="17" s="1"/>
  <c r="U36" i="17" s="1"/>
  <c r="P173" i="12"/>
  <c r="Q170" i="12" s="1"/>
  <c r="T230" i="12"/>
  <c r="S234" i="12"/>
  <c r="Q55" i="12" l="1"/>
  <c r="R50" i="12" s="1"/>
  <c r="Q261" i="12"/>
  <c r="Q172" i="12" s="1"/>
  <c r="Q173" i="12" s="1"/>
  <c r="R170" i="12" s="1"/>
  <c r="S215" i="12"/>
  <c r="R222" i="12"/>
  <c r="R44" i="12" s="1"/>
  <c r="R45" i="12" s="1"/>
  <c r="S40" i="12" s="1"/>
  <c r="R75" i="12"/>
  <c r="S70" i="12" s="1"/>
  <c r="I38" i="13"/>
  <c r="I39" i="13" s="1"/>
  <c r="I31" i="13" s="1"/>
  <c r="T65" i="12"/>
  <c r="U60" i="12" s="1"/>
  <c r="P119" i="12"/>
  <c r="P83" i="12" s="1"/>
  <c r="P9" i="12" s="1"/>
  <c r="P35" i="12"/>
  <c r="Q30" i="12" s="1"/>
  <c r="J5" i="12"/>
  <c r="J10" i="12" s="1"/>
  <c r="J12" i="12" s="1"/>
  <c r="J56" i="4" s="1"/>
  <c r="J55" i="4" s="1"/>
  <c r="I77" i="12"/>
  <c r="U30" i="13"/>
  <c r="I55" i="13"/>
  <c r="I56" i="4"/>
  <c r="I55" i="4" s="1"/>
  <c r="V108" i="12"/>
  <c r="W105" i="12"/>
  <c r="G56" i="13"/>
  <c r="F58" i="13"/>
  <c r="H24" i="17"/>
  <c r="I14" i="12"/>
  <c r="H39" i="13"/>
  <c r="H31" i="13" s="1"/>
  <c r="H30" i="13"/>
  <c r="R54" i="12"/>
  <c r="G30" i="17"/>
  <c r="F58" i="17"/>
  <c r="F59" i="17" s="1"/>
  <c r="H56" i="6"/>
  <c r="H95" i="6"/>
  <c r="S116" i="12"/>
  <c r="S74" i="12" s="1"/>
  <c r="T113" i="12"/>
  <c r="Q24" i="12"/>
  <c r="Q25" i="12" s="1"/>
  <c r="R20" i="12" s="1"/>
  <c r="S144" i="12"/>
  <c r="S163" i="12" s="1"/>
  <c r="S127" i="12" s="1"/>
  <c r="S128" i="12" s="1"/>
  <c r="T126" i="12" s="1"/>
  <c r="T141" i="12"/>
  <c r="W150" i="12"/>
  <c r="V152" i="12"/>
  <c r="T160" i="12"/>
  <c r="U157" i="12"/>
  <c r="R92" i="12"/>
  <c r="S89" i="12"/>
  <c r="Q100" i="12"/>
  <c r="Q34" i="12" s="1"/>
  <c r="R97" i="12"/>
  <c r="G11" i="6"/>
  <c r="Z149" i="12"/>
  <c r="U136" i="12"/>
  <c r="V133" i="12"/>
  <c r="S198" i="12"/>
  <c r="T192" i="12"/>
  <c r="U258" i="12"/>
  <c r="V252" i="12"/>
  <c r="T49" i="17"/>
  <c r="T51" i="17" s="1"/>
  <c r="U48" i="17" s="1"/>
  <c r="J43" i="17"/>
  <c r="U230" i="12"/>
  <c r="T234" i="12"/>
  <c r="W228" i="12"/>
  <c r="U37" i="17"/>
  <c r="U39" i="17" s="1"/>
  <c r="V36" i="17" s="1"/>
  <c r="S210" i="12"/>
  <c r="T204" i="12"/>
  <c r="U246" i="12"/>
  <c r="U64" i="12" s="1"/>
  <c r="V240" i="12"/>
  <c r="V216" i="12"/>
  <c r="R55" i="12" l="1"/>
  <c r="S50" i="12" s="1"/>
  <c r="R261" i="12"/>
  <c r="R172" i="12" s="1"/>
  <c r="R173" i="12" s="1"/>
  <c r="S170" i="12" s="1"/>
  <c r="S75" i="12"/>
  <c r="T70" i="12" s="1"/>
  <c r="I30" i="13"/>
  <c r="T215" i="12"/>
  <c r="S222" i="12"/>
  <c r="S44" i="12" s="1"/>
  <c r="S45" i="12" s="1"/>
  <c r="T40" i="12" s="1"/>
  <c r="Q35" i="12"/>
  <c r="R30" i="12" s="1"/>
  <c r="U65" i="12"/>
  <c r="V60" i="12" s="1"/>
  <c r="P84" i="12"/>
  <c r="Q82" i="12" s="1"/>
  <c r="S54" i="12"/>
  <c r="I53" i="13"/>
  <c r="R100" i="12"/>
  <c r="R34" i="12" s="1"/>
  <c r="S97" i="12"/>
  <c r="X150" i="12"/>
  <c r="W152" i="12"/>
  <c r="G31" i="17"/>
  <c r="G55" i="17"/>
  <c r="H25" i="17"/>
  <c r="T144" i="12"/>
  <c r="T163" i="12" s="1"/>
  <c r="T127" i="12" s="1"/>
  <c r="T128" i="12" s="1"/>
  <c r="U126" i="12" s="1"/>
  <c r="U141" i="12"/>
  <c r="F59" i="13"/>
  <c r="F60" i="13" s="1"/>
  <c r="V136" i="12"/>
  <c r="W133" i="12"/>
  <c r="R24" i="12"/>
  <c r="R25" i="12" s="1"/>
  <c r="S20" i="12" s="1"/>
  <c r="W108" i="12"/>
  <c r="X105" i="12"/>
  <c r="AA149" i="12"/>
  <c r="U160" i="12"/>
  <c r="V157" i="12"/>
  <c r="H10" i="6"/>
  <c r="H57" i="6"/>
  <c r="H7" i="6" s="1"/>
  <c r="S92" i="12"/>
  <c r="S24" i="12" s="1"/>
  <c r="T89" i="12"/>
  <c r="T116" i="12"/>
  <c r="T74" i="12" s="1"/>
  <c r="U113" i="12"/>
  <c r="Q119" i="12"/>
  <c r="Q83" i="12" s="1"/>
  <c r="Q9" i="12" s="1"/>
  <c r="W252" i="12"/>
  <c r="W258" i="12" s="1"/>
  <c r="V258" i="12"/>
  <c r="T198" i="12"/>
  <c r="U192" i="12"/>
  <c r="J38" i="13"/>
  <c r="J39" i="13" s="1"/>
  <c r="J31" i="13" s="1"/>
  <c r="J55" i="13"/>
  <c r="AG30" i="13"/>
  <c r="V30" i="13"/>
  <c r="V37" i="17"/>
  <c r="V39" i="17" s="1"/>
  <c r="W36" i="17" s="1"/>
  <c r="J45" i="17"/>
  <c r="X228" i="12"/>
  <c r="W216" i="12"/>
  <c r="K5" i="12"/>
  <c r="J14" i="12"/>
  <c r="J77" i="12"/>
  <c r="V246" i="12"/>
  <c r="V64" i="12" s="1"/>
  <c r="W240" i="12"/>
  <c r="T210" i="12"/>
  <c r="U204" i="12"/>
  <c r="V230" i="12"/>
  <c r="U234" i="12"/>
  <c r="U49" i="17"/>
  <c r="U51" i="17" s="1"/>
  <c r="V48" i="17" s="1"/>
  <c r="S55" i="12" l="1"/>
  <c r="T50" i="12" s="1"/>
  <c r="S261" i="12"/>
  <c r="S172" i="12" s="1"/>
  <c r="S173" i="12" s="1"/>
  <c r="T170" i="12" s="1"/>
  <c r="T75" i="12"/>
  <c r="U70" i="12" s="1"/>
  <c r="U215" i="12"/>
  <c r="T222" i="12"/>
  <c r="T44" i="12" s="1"/>
  <c r="T45" i="12" s="1"/>
  <c r="U40" i="12" s="1"/>
  <c r="R35" i="12"/>
  <c r="S30" i="12" s="1"/>
  <c r="V65" i="12"/>
  <c r="W60" i="12" s="1"/>
  <c r="I32" i="13"/>
  <c r="AF32" i="13"/>
  <c r="U32" i="13"/>
  <c r="X252" i="12"/>
  <c r="X258" i="12" s="1"/>
  <c r="S25" i="12"/>
  <c r="T20" i="12" s="1"/>
  <c r="F33" i="13"/>
  <c r="F34" i="13" s="1"/>
  <c r="F4" i="14" s="1"/>
  <c r="F6" i="14" s="1"/>
  <c r="F13" i="14" s="1"/>
  <c r="R33" i="13"/>
  <c r="R34" i="13" s="1"/>
  <c r="F64" i="13"/>
  <c r="AC33" i="13" s="1"/>
  <c r="AC34" i="13" s="1"/>
  <c r="U116" i="12"/>
  <c r="U74" i="12" s="1"/>
  <c r="V113" i="12"/>
  <c r="V160" i="12"/>
  <c r="W157" i="12"/>
  <c r="R119" i="12"/>
  <c r="R83" i="12" s="1"/>
  <c r="R9" i="12" s="1"/>
  <c r="T54" i="12"/>
  <c r="T55" i="12" s="1"/>
  <c r="U50" i="12" s="1"/>
  <c r="Y150" i="12"/>
  <c r="X152" i="12"/>
  <c r="T92" i="12"/>
  <c r="T24" i="12" s="1"/>
  <c r="U89" i="12"/>
  <c r="W136" i="12"/>
  <c r="X133" i="12"/>
  <c r="U144" i="12"/>
  <c r="U163" i="12" s="1"/>
  <c r="U127" i="12" s="1"/>
  <c r="U128" i="12" s="1"/>
  <c r="V126" i="12" s="1"/>
  <c r="V141" i="12"/>
  <c r="Q84" i="12"/>
  <c r="R82" i="12" s="1"/>
  <c r="R84" i="12" s="1"/>
  <c r="S82" i="12" s="1"/>
  <c r="H27" i="17"/>
  <c r="G33" i="17"/>
  <c r="G56" i="17"/>
  <c r="G54" i="13" s="1"/>
  <c r="G57" i="13" s="1"/>
  <c r="S100" i="12"/>
  <c r="S34" i="12" s="1"/>
  <c r="T97" i="12"/>
  <c r="H11" i="6"/>
  <c r="D13" i="6" s="1"/>
  <c r="D24" i="6" s="1"/>
  <c r="X108" i="12"/>
  <c r="Y105" i="12"/>
  <c r="U198" i="12"/>
  <c r="V192" i="12"/>
  <c r="V49" i="17"/>
  <c r="V51" i="17" s="1"/>
  <c r="W48" i="17" s="1"/>
  <c r="J53" i="13"/>
  <c r="AG32" i="13"/>
  <c r="V32" i="13"/>
  <c r="J32" i="13"/>
  <c r="X216" i="12"/>
  <c r="W246" i="12"/>
  <c r="W64" i="12" s="1"/>
  <c r="X240" i="12"/>
  <c r="J30" i="13"/>
  <c r="K42" i="17"/>
  <c r="H7" i="20" s="1"/>
  <c r="Y228" i="12"/>
  <c r="K10" i="12"/>
  <c r="W37" i="17"/>
  <c r="W39" i="17" s="1"/>
  <c r="X36" i="17" s="1"/>
  <c r="W230" i="12"/>
  <c r="V234" i="12"/>
  <c r="U210" i="12"/>
  <c r="V204" i="12"/>
  <c r="S35" i="12" l="1"/>
  <c r="T30" i="12" s="1"/>
  <c r="U75" i="12"/>
  <c r="V70" i="12" s="1"/>
  <c r="T261" i="12"/>
  <c r="T172" i="12" s="1"/>
  <c r="T173" i="12" s="1"/>
  <c r="U170" i="12" s="1"/>
  <c r="V215" i="12"/>
  <c r="U222" i="12"/>
  <c r="U44" i="12" s="1"/>
  <c r="U45" i="12" s="1"/>
  <c r="V40" i="12" s="1"/>
  <c r="Y252" i="12"/>
  <c r="Z252" i="12" s="1"/>
  <c r="Z258" i="12" s="1"/>
  <c r="W65" i="12"/>
  <c r="X60" i="12" s="1"/>
  <c r="T25" i="12"/>
  <c r="U20" i="12" s="1"/>
  <c r="F35" i="13"/>
  <c r="R35" i="13"/>
  <c r="U92" i="12"/>
  <c r="U24" i="12" s="1"/>
  <c r="V89" i="12"/>
  <c r="V116" i="12"/>
  <c r="V74" i="12" s="1"/>
  <c r="W113" i="12"/>
  <c r="W160" i="12"/>
  <c r="X157" i="12"/>
  <c r="H56" i="13"/>
  <c r="G58" i="13"/>
  <c r="G59" i="13" s="1"/>
  <c r="G60" i="13" s="1"/>
  <c r="H30" i="17"/>
  <c r="G58" i="17"/>
  <c r="G59" i="17" s="1"/>
  <c r="U54" i="12"/>
  <c r="U55" i="12" s="1"/>
  <c r="V50" i="12" s="1"/>
  <c r="Z150" i="12"/>
  <c r="Y152" i="12"/>
  <c r="S119" i="12"/>
  <c r="S83" i="12" s="1"/>
  <c r="S9" i="12" s="1"/>
  <c r="Y108" i="12"/>
  <c r="Z105" i="12"/>
  <c r="V144" i="12"/>
  <c r="V163" i="12" s="1"/>
  <c r="V127" i="12" s="1"/>
  <c r="V128" i="12" s="1"/>
  <c r="W126" i="12" s="1"/>
  <c r="W141" i="12"/>
  <c r="T100" i="12"/>
  <c r="T34" i="12" s="1"/>
  <c r="U97" i="12"/>
  <c r="I24" i="17"/>
  <c r="X136" i="12"/>
  <c r="Y133" i="12"/>
  <c r="F17" i="14"/>
  <c r="F19" i="14" s="1"/>
  <c r="V198" i="12"/>
  <c r="W192" i="12"/>
  <c r="X37" i="17"/>
  <c r="X39" i="17" s="1"/>
  <c r="Y36" i="17" s="1"/>
  <c r="W49" i="17"/>
  <c r="W51" i="17" s="1"/>
  <c r="X48" i="17" s="1"/>
  <c r="X246" i="12"/>
  <c r="X64" i="12" s="1"/>
  <c r="Y240" i="12"/>
  <c r="V210" i="12"/>
  <c r="W204" i="12"/>
  <c r="X230" i="12"/>
  <c r="W234" i="12"/>
  <c r="Z228" i="12"/>
  <c r="K43" i="17"/>
  <c r="Y216" i="12"/>
  <c r="K14" i="12"/>
  <c r="L5" i="12"/>
  <c r="K77" i="12"/>
  <c r="K12" i="12"/>
  <c r="V75" i="12" l="1"/>
  <c r="W70" i="12" s="1"/>
  <c r="T35" i="12"/>
  <c r="U30" i="12" s="1"/>
  <c r="AA252" i="12"/>
  <c r="AA258" i="12" s="1"/>
  <c r="U261" i="12"/>
  <c r="U172" i="12" s="1"/>
  <c r="U173" i="12" s="1"/>
  <c r="V170" i="12" s="1"/>
  <c r="Y258" i="12"/>
  <c r="W215" i="12"/>
  <c r="V222" i="12"/>
  <c r="V44" i="12" s="1"/>
  <c r="V45" i="12" s="1"/>
  <c r="W40" i="12" s="1"/>
  <c r="X65" i="12"/>
  <c r="Y60" i="12" s="1"/>
  <c r="T119" i="12"/>
  <c r="T83" i="12" s="1"/>
  <c r="T9" i="12" s="1"/>
  <c r="U25" i="12"/>
  <c r="V20" i="12" s="1"/>
  <c r="S33" i="13"/>
  <c r="S34" i="13" s="1"/>
  <c r="G64" i="13"/>
  <c r="AD33" i="13" s="1"/>
  <c r="AD34" i="13" s="1"/>
  <c r="G33" i="13"/>
  <c r="G34" i="13" s="1"/>
  <c r="G4" i="14" s="1"/>
  <c r="G6" i="14" s="1"/>
  <c r="G13" i="14" s="1"/>
  <c r="G17" i="14" s="1"/>
  <c r="G19" i="14" s="1"/>
  <c r="V92" i="12"/>
  <c r="W89" i="12"/>
  <c r="X160" i="12"/>
  <c r="Y157" i="12"/>
  <c r="W144" i="12"/>
  <c r="W163" i="12" s="1"/>
  <c r="W127" i="12" s="1"/>
  <c r="W128" i="12" s="1"/>
  <c r="X126" i="12" s="1"/>
  <c r="X141" i="12"/>
  <c r="AA150" i="12"/>
  <c r="AA152" i="12" s="1"/>
  <c r="Z152" i="12"/>
  <c r="S84" i="12"/>
  <c r="T82" i="12" s="1"/>
  <c r="I25" i="17"/>
  <c r="V54" i="12"/>
  <c r="V55" i="12" s="1"/>
  <c r="W50" i="12" s="1"/>
  <c r="H31" i="17"/>
  <c r="H55" i="17"/>
  <c r="U100" i="12"/>
  <c r="U34" i="12" s="1"/>
  <c r="V97" i="12"/>
  <c r="U119" i="12"/>
  <c r="U83" i="12" s="1"/>
  <c r="Y136" i="12"/>
  <c r="Z133" i="12"/>
  <c r="Z108" i="12"/>
  <c r="AA105" i="12"/>
  <c r="AA108" i="12" s="1"/>
  <c r="W116" i="12"/>
  <c r="W74" i="12" s="1"/>
  <c r="X113" i="12"/>
  <c r="K45" i="17"/>
  <c r="L42" i="17" s="1"/>
  <c r="W198" i="12"/>
  <c r="X192" i="12"/>
  <c r="X49" i="17"/>
  <c r="X51" i="17" s="1"/>
  <c r="Y48" i="17" s="1"/>
  <c r="L10" i="12"/>
  <c r="L12" i="12" s="1"/>
  <c r="W210" i="12"/>
  <c r="X204" i="12"/>
  <c r="Y230" i="12"/>
  <c r="X234" i="12"/>
  <c r="Z216" i="12"/>
  <c r="Y246" i="12"/>
  <c r="Y64" i="12" s="1"/>
  <c r="Z240" i="12"/>
  <c r="Y37" i="17"/>
  <c r="Y39" i="17" s="1"/>
  <c r="Z36" i="17" s="1"/>
  <c r="AA228" i="12"/>
  <c r="W75" i="12" l="1"/>
  <c r="X70" i="12" s="1"/>
  <c r="U35" i="12"/>
  <c r="V30" i="12" s="1"/>
  <c r="U9" i="12"/>
  <c r="V261" i="12"/>
  <c r="V172" i="12" s="1"/>
  <c r="V173" i="12" s="1"/>
  <c r="W170" i="12" s="1"/>
  <c r="Y65" i="12"/>
  <c r="Z60" i="12" s="1"/>
  <c r="X215" i="12"/>
  <c r="W222" i="12"/>
  <c r="W44" i="12" s="1"/>
  <c r="W45" i="12" s="1"/>
  <c r="X40" i="12" s="1"/>
  <c r="T84" i="12"/>
  <c r="U82" i="12" s="1"/>
  <c r="S35" i="13"/>
  <c r="G35" i="13"/>
  <c r="X144" i="12"/>
  <c r="X163" i="12" s="1"/>
  <c r="X127" i="12" s="1"/>
  <c r="X128" i="12" s="1"/>
  <c r="Y126" i="12" s="1"/>
  <c r="Y141" i="12"/>
  <c r="I27" i="17"/>
  <c r="Y160" i="12"/>
  <c r="Z157" i="12"/>
  <c r="W54" i="12"/>
  <c r="W55" i="12" s="1"/>
  <c r="X50" i="12" s="1"/>
  <c r="V119" i="12"/>
  <c r="V83" i="12" s="1"/>
  <c r="X116" i="12"/>
  <c r="X74" i="12" s="1"/>
  <c r="X75" i="12" s="1"/>
  <c r="Y70" i="12" s="1"/>
  <c r="Y113" i="12"/>
  <c r="H33" i="17"/>
  <c r="H56" i="17"/>
  <c r="H54" i="13" s="1"/>
  <c r="H57" i="13" s="1"/>
  <c r="V100" i="12"/>
  <c r="V34" i="12" s="1"/>
  <c r="V35" i="12" s="1"/>
  <c r="W30" i="12" s="1"/>
  <c r="W97" i="12"/>
  <c r="V24" i="12"/>
  <c r="V25" i="12" s="1"/>
  <c r="W20" i="12" s="1"/>
  <c r="Z136" i="12"/>
  <c r="AA133" i="12"/>
  <c r="AA136" i="12" s="1"/>
  <c r="U84" i="12"/>
  <c r="V82" i="12" s="1"/>
  <c r="W92" i="12"/>
  <c r="W24" i="12" s="1"/>
  <c r="X89" i="12"/>
  <c r="X198" i="12"/>
  <c r="Y192" i="12"/>
  <c r="Y49" i="17"/>
  <c r="Y51" i="17" s="1"/>
  <c r="Z48" i="17" s="1"/>
  <c r="X210" i="12"/>
  <c r="Y204" i="12"/>
  <c r="Z246" i="12"/>
  <c r="Z64" i="12" s="1"/>
  <c r="AA240" i="12"/>
  <c r="AA246" i="12" s="1"/>
  <c r="AA64" i="12" s="1"/>
  <c r="Z37" i="17"/>
  <c r="Z39" i="17" s="1"/>
  <c r="AA36" i="17" s="1"/>
  <c r="L77" i="12"/>
  <c r="M5" i="12"/>
  <c r="L14" i="12"/>
  <c r="Z230" i="12"/>
  <c r="Y234" i="12"/>
  <c r="L43" i="17"/>
  <c r="AA216" i="12"/>
  <c r="Z65" i="12" l="1"/>
  <c r="AA60" i="12" s="1"/>
  <c r="V9" i="12"/>
  <c r="W261" i="12"/>
  <c r="W172" i="12" s="1"/>
  <c r="W173" i="12" s="1"/>
  <c r="X170" i="12" s="1"/>
  <c r="Y215" i="12"/>
  <c r="X222" i="12"/>
  <c r="X44" i="12" s="1"/>
  <c r="X45" i="12" s="1"/>
  <c r="Y40" i="12" s="1"/>
  <c r="W25" i="12"/>
  <c r="X20" i="12" s="1"/>
  <c r="J24" i="17"/>
  <c r="Y144" i="12"/>
  <c r="Y163" i="12" s="1"/>
  <c r="Y127" i="12" s="1"/>
  <c r="Y128" i="12" s="1"/>
  <c r="Z126" i="12" s="1"/>
  <c r="Z141" i="12"/>
  <c r="W100" i="12"/>
  <c r="W34" i="12" s="1"/>
  <c r="W35" i="12" s="1"/>
  <c r="X30" i="12" s="1"/>
  <c r="X97" i="12"/>
  <c r="X92" i="12"/>
  <c r="X24" i="12" s="1"/>
  <c r="Y89" i="12"/>
  <c r="H58" i="13"/>
  <c r="H59" i="13" s="1"/>
  <c r="H60" i="13" s="1"/>
  <c r="I56" i="13"/>
  <c r="Y54" i="12"/>
  <c r="Y116" i="12"/>
  <c r="Y74" i="12" s="1"/>
  <c r="Y75" i="12" s="1"/>
  <c r="Z70" i="12" s="1"/>
  <c r="Z113" i="12"/>
  <c r="V84" i="12"/>
  <c r="W82" i="12" s="1"/>
  <c r="I30" i="17"/>
  <c r="H58" i="17"/>
  <c r="H59" i="17" s="1"/>
  <c r="Z160" i="12"/>
  <c r="AA157" i="12"/>
  <c r="AA160" i="12" s="1"/>
  <c r="X54" i="12"/>
  <c r="X55" i="12" s="1"/>
  <c r="Y50" i="12" s="1"/>
  <c r="AA65" i="12"/>
  <c r="Z192" i="12"/>
  <c r="Y198" i="12"/>
  <c r="AA37" i="17"/>
  <c r="AA39" i="17" s="1"/>
  <c r="Z49" i="17"/>
  <c r="Z51" i="17" s="1"/>
  <c r="AA48" i="17" s="1"/>
  <c r="L45" i="17"/>
  <c r="AA230" i="12"/>
  <c r="AA234" i="12" s="1"/>
  <c r="Z234" i="12"/>
  <c r="Y210" i="12"/>
  <c r="Z204" i="12"/>
  <c r="M10" i="12"/>
  <c r="X261" i="12" l="1"/>
  <c r="X172" i="12" s="1"/>
  <c r="X173" i="12" s="1"/>
  <c r="Y170" i="12" s="1"/>
  <c r="Z215" i="12"/>
  <c r="Y222" i="12"/>
  <c r="Y44" i="12" s="1"/>
  <c r="Y45" i="12" s="1"/>
  <c r="Z40" i="12" s="1"/>
  <c r="X25" i="12"/>
  <c r="Y20" i="12" s="1"/>
  <c r="Y55" i="12"/>
  <c r="Z50" i="12" s="1"/>
  <c r="W119" i="12"/>
  <c r="W83" i="12" s="1"/>
  <c r="W9" i="12" s="1"/>
  <c r="I31" i="17"/>
  <c r="I55" i="17"/>
  <c r="Y92" i="12"/>
  <c r="Z89" i="12"/>
  <c r="J25" i="17"/>
  <c r="Y24" i="12"/>
  <c r="Z144" i="12"/>
  <c r="Z163" i="12" s="1"/>
  <c r="Z127" i="12" s="1"/>
  <c r="Z128" i="12" s="1"/>
  <c r="AA126" i="12" s="1"/>
  <c r="AA141" i="12"/>
  <c r="AA144" i="12" s="1"/>
  <c r="AA163" i="12" s="1"/>
  <c r="AA127" i="12" s="1"/>
  <c r="H64" i="13"/>
  <c r="AE33" i="13" s="1"/>
  <c r="AE34" i="13" s="1"/>
  <c r="H33" i="13"/>
  <c r="H34" i="13" s="1"/>
  <c r="H4" i="14" s="1"/>
  <c r="H6" i="14" s="1"/>
  <c r="H13" i="14" s="1"/>
  <c r="H17" i="14" s="1"/>
  <c r="H19" i="14" s="1"/>
  <c r="T33" i="13"/>
  <c r="T34" i="13" s="1"/>
  <c r="Z116" i="12"/>
  <c r="Z74" i="12" s="1"/>
  <c r="Z75" i="12" s="1"/>
  <c r="AA70" i="12" s="1"/>
  <c r="AA113" i="12"/>
  <c r="AA116" i="12" s="1"/>
  <c r="AA74" i="12" s="1"/>
  <c r="X100" i="12"/>
  <c r="X34" i="12" s="1"/>
  <c r="X35" i="12" s="1"/>
  <c r="Y30" i="12" s="1"/>
  <c r="Y97" i="12"/>
  <c r="Z198" i="12"/>
  <c r="AA192" i="12"/>
  <c r="AA198" i="12" s="1"/>
  <c r="N5" i="12"/>
  <c r="M77" i="12"/>
  <c r="M14" i="12"/>
  <c r="M12" i="12"/>
  <c r="AA49" i="17"/>
  <c r="AA51" i="17" s="1"/>
  <c r="Z210" i="12"/>
  <c r="AA204" i="12"/>
  <c r="AA210" i="12" s="1"/>
  <c r="M42" i="17"/>
  <c r="Y25" i="12" l="1"/>
  <c r="Z20" i="12" s="1"/>
  <c r="AA215" i="12"/>
  <c r="AA222" i="12" s="1"/>
  <c r="AA44" i="12" s="1"/>
  <c r="Z222" i="12"/>
  <c r="Z44" i="12" s="1"/>
  <c r="Z45" i="12" s="1"/>
  <c r="AA40" i="12" s="1"/>
  <c r="Y261" i="12"/>
  <c r="Y172" i="12" s="1"/>
  <c r="Y173" i="12" s="1"/>
  <c r="Z170" i="12" s="1"/>
  <c r="W84" i="12"/>
  <c r="X82" i="12" s="1"/>
  <c r="H35" i="13"/>
  <c r="AA128" i="12"/>
  <c r="AA75" i="12"/>
  <c r="Z92" i="12"/>
  <c r="AA89" i="12"/>
  <c r="AA92" i="12" s="1"/>
  <c r="AA24" i="12" s="1"/>
  <c r="X119" i="12"/>
  <c r="X83" i="12" s="1"/>
  <c r="X9" i="12" s="1"/>
  <c r="Y100" i="12"/>
  <c r="Y34" i="12" s="1"/>
  <c r="Y35" i="12" s="1"/>
  <c r="Z30" i="12" s="1"/>
  <c r="Z97" i="12"/>
  <c r="Z54" i="12"/>
  <c r="Z55" i="12" s="1"/>
  <c r="AA50" i="12" s="1"/>
  <c r="I33" i="17"/>
  <c r="I56" i="17"/>
  <c r="I54" i="13" s="1"/>
  <c r="I57" i="13" s="1"/>
  <c r="T35" i="13"/>
  <c r="AA54" i="12"/>
  <c r="Z24" i="12"/>
  <c r="D129" i="12"/>
  <c r="C129" i="12" s="1"/>
  <c r="J27" i="17"/>
  <c r="M43" i="17"/>
  <c r="M45" i="17" s="1"/>
  <c r="N10" i="12"/>
  <c r="N12" i="12" s="1"/>
  <c r="Z25" i="12" l="1"/>
  <c r="AA20" i="12" s="1"/>
  <c r="AA25" i="12" s="1"/>
  <c r="AA45" i="12"/>
  <c r="AA261" i="12"/>
  <c r="AA172" i="12" s="1"/>
  <c r="Z261" i="12"/>
  <c r="Z172" i="12" s="1"/>
  <c r="Z173" i="12" s="1"/>
  <c r="AA170" i="12" s="1"/>
  <c r="Y119" i="12"/>
  <c r="Y83" i="12" s="1"/>
  <c r="Y9" i="12" s="1"/>
  <c r="X84" i="12"/>
  <c r="Y82" i="12" s="1"/>
  <c r="Y84" i="12" s="1"/>
  <c r="Z82" i="12" s="1"/>
  <c r="AA55" i="12"/>
  <c r="Z100" i="12"/>
  <c r="Z34" i="12" s="1"/>
  <c r="Z35" i="12" s="1"/>
  <c r="AA30" i="12" s="1"/>
  <c r="AA97" i="12"/>
  <c r="AA100" i="12" s="1"/>
  <c r="AA34" i="12" s="1"/>
  <c r="K24" i="17"/>
  <c r="H5" i="20" s="1"/>
  <c r="H9" i="20" s="1"/>
  <c r="J56" i="13"/>
  <c r="I58" i="13"/>
  <c r="I59" i="13" s="1"/>
  <c r="I60" i="13" s="1"/>
  <c r="J30" i="17"/>
  <c r="I58" i="17"/>
  <c r="I59" i="17" s="1"/>
  <c r="N14" i="12"/>
  <c r="O5" i="12"/>
  <c r="N77" i="12"/>
  <c r="N42" i="17"/>
  <c r="AA173" i="12" l="1"/>
  <c r="D174" i="12"/>
  <c r="C174" i="12" s="1"/>
  <c r="Z119" i="12"/>
  <c r="Z83" i="12" s="1"/>
  <c r="Z84" i="12" s="1"/>
  <c r="AA82" i="12" s="1"/>
  <c r="J31" i="17"/>
  <c r="J55" i="17"/>
  <c r="K25" i="17"/>
  <c r="K27" i="17" s="1"/>
  <c r="I64" i="13"/>
  <c r="AF33" i="13" s="1"/>
  <c r="AF34" i="13" s="1"/>
  <c r="U33" i="13"/>
  <c r="U34" i="13" s="1"/>
  <c r="I33" i="13"/>
  <c r="I34" i="13" s="1"/>
  <c r="I4" i="14" s="1"/>
  <c r="I6" i="14" s="1"/>
  <c r="I13" i="14" s="1"/>
  <c r="I17" i="14" s="1"/>
  <c r="I19" i="14" s="1"/>
  <c r="AA119" i="12"/>
  <c r="AA83" i="12" s="1"/>
  <c r="AA35" i="12"/>
  <c r="O10" i="12"/>
  <c r="O12" i="12" s="1"/>
  <c r="N43" i="17"/>
  <c r="Z9" i="12" l="1"/>
  <c r="U35" i="13"/>
  <c r="J33" i="17"/>
  <c r="J56" i="17"/>
  <c r="J54" i="13" s="1"/>
  <c r="J57" i="13" s="1"/>
  <c r="L24" i="17"/>
  <c r="D85" i="12"/>
  <c r="C85" i="12" s="1"/>
  <c r="AA9" i="12"/>
  <c r="I35" i="13"/>
  <c r="AA84" i="12"/>
  <c r="N45" i="17"/>
  <c r="O77" i="12"/>
  <c r="O14" i="12"/>
  <c r="P5" i="12"/>
  <c r="J58" i="13" l="1"/>
  <c r="B20" i="20"/>
  <c r="J59" i="13"/>
  <c r="J60" i="13" s="1"/>
  <c r="L25" i="17"/>
  <c r="K30" i="17"/>
  <c r="J58" i="17"/>
  <c r="J59" i="17" s="1"/>
  <c r="P10" i="12"/>
  <c r="P12" i="12" s="1"/>
  <c r="O42" i="17"/>
  <c r="V33" i="13" l="1"/>
  <c r="V34" i="13" s="1"/>
  <c r="J64" i="13"/>
  <c r="AG33" i="13" s="1"/>
  <c r="AG34" i="13" s="1"/>
  <c r="J33" i="13"/>
  <c r="J34" i="13" s="1"/>
  <c r="J4" i="14" s="1"/>
  <c r="J6" i="14" s="1"/>
  <c r="J13" i="14" s="1"/>
  <c r="J17" i="14" s="1"/>
  <c r="K31" i="17"/>
  <c r="K55" i="17"/>
  <c r="L27" i="17"/>
  <c r="O43" i="17"/>
  <c r="P77" i="12"/>
  <c r="Q5" i="12"/>
  <c r="P14" i="12"/>
  <c r="V35" i="13" l="1"/>
  <c r="J19" i="14"/>
  <c r="M24" i="17"/>
  <c r="K33" i="17"/>
  <c r="K56" i="17"/>
  <c r="J35" i="13"/>
  <c r="O45" i="17"/>
  <c r="P42" i="17" s="1"/>
  <c r="Q10" i="12"/>
  <c r="C35" i="13" l="1"/>
  <c r="D1" i="13" s="1"/>
  <c r="L30" i="17"/>
  <c r="K58" i="17"/>
  <c r="K59" i="17" s="1"/>
  <c r="M25" i="17"/>
  <c r="Q77" i="12"/>
  <c r="Q14" i="12"/>
  <c r="R5" i="12"/>
  <c r="P43" i="17"/>
  <c r="Q12" i="12"/>
  <c r="C1" i="13" l="1"/>
  <c r="M27" i="17"/>
  <c r="L31" i="17"/>
  <c r="L55" i="17"/>
  <c r="P45" i="17"/>
  <c r="R10" i="12"/>
  <c r="L33" i="17" l="1"/>
  <c r="L56" i="17"/>
  <c r="N24" i="17"/>
  <c r="R77" i="12"/>
  <c r="S5" i="12"/>
  <c r="R14" i="12"/>
  <c r="R12" i="12"/>
  <c r="Q42" i="17"/>
  <c r="N25" i="17" l="1"/>
  <c r="N27" i="17" s="1"/>
  <c r="M30" i="17"/>
  <c r="L58" i="17"/>
  <c r="L59" i="17" s="1"/>
  <c r="Q43" i="17"/>
  <c r="Q45" i="17" s="1"/>
  <c r="S10" i="12"/>
  <c r="O24" i="17" l="1"/>
  <c r="M31" i="17"/>
  <c r="M55" i="17"/>
  <c r="S14" i="12"/>
  <c r="S77" i="12"/>
  <c r="T5" i="12"/>
  <c r="R42" i="17"/>
  <c r="S12" i="12"/>
  <c r="M33" i="17" l="1"/>
  <c r="M56" i="17"/>
  <c r="O25" i="17"/>
  <c r="O27" i="17" s="1"/>
  <c r="R43" i="17"/>
  <c r="T10" i="12"/>
  <c r="P24" i="17" l="1"/>
  <c r="N30" i="17"/>
  <c r="M58" i="17"/>
  <c r="M59" i="17" s="1"/>
  <c r="U5" i="12"/>
  <c r="T14" i="12"/>
  <c r="T77" i="12"/>
  <c r="T12" i="12"/>
  <c r="R45" i="17"/>
  <c r="N31" i="17" l="1"/>
  <c r="N55" i="17"/>
  <c r="P25" i="17"/>
  <c r="S42" i="17"/>
  <c r="U10" i="12"/>
  <c r="P27" i="17" l="1"/>
  <c r="N33" i="17"/>
  <c r="N56" i="17"/>
  <c r="U77" i="12"/>
  <c r="U14" i="12"/>
  <c r="V5" i="12"/>
  <c r="U12" i="12"/>
  <c r="S43" i="17"/>
  <c r="O30" i="17" l="1"/>
  <c r="N58" i="17"/>
  <c r="N59" i="17" s="1"/>
  <c r="Q24" i="17"/>
  <c r="S45" i="17"/>
  <c r="T42" i="17" s="1"/>
  <c r="V10" i="12"/>
  <c r="V12" i="12" s="1"/>
  <c r="Q25" i="17" l="1"/>
  <c r="Q27" i="17" s="1"/>
  <c r="O31" i="17"/>
  <c r="O55" i="17"/>
  <c r="V77" i="12"/>
  <c r="W5" i="12"/>
  <c r="V14" i="12"/>
  <c r="T43" i="17"/>
  <c r="R24" i="17" l="1"/>
  <c r="O33" i="17"/>
  <c r="O56" i="17"/>
  <c r="T45" i="17"/>
  <c r="W10" i="12"/>
  <c r="W12" i="12" s="1"/>
  <c r="R25" i="17" l="1"/>
  <c r="R27" i="17" s="1"/>
  <c r="P30" i="17"/>
  <c r="O58" i="17"/>
  <c r="O59" i="17" s="1"/>
  <c r="W77" i="12"/>
  <c r="W14" i="12"/>
  <c r="X5" i="12"/>
  <c r="U42" i="17"/>
  <c r="S24" i="17" l="1"/>
  <c r="P31" i="17"/>
  <c r="P56" i="17" s="1"/>
  <c r="P55" i="17"/>
  <c r="X10" i="12"/>
  <c r="X12" i="12" s="1"/>
  <c r="U43" i="17"/>
  <c r="P33" i="17" l="1"/>
  <c r="S25" i="17"/>
  <c r="S27" i="17" s="1"/>
  <c r="U45" i="17"/>
  <c r="Y5" i="12"/>
  <c r="X77" i="12"/>
  <c r="X14" i="12"/>
  <c r="T24" i="17" l="1"/>
  <c r="Q30" i="17"/>
  <c r="P58" i="17"/>
  <c r="P59" i="17" s="1"/>
  <c r="Y10" i="12"/>
  <c r="V42" i="17"/>
  <c r="Q31" i="17" l="1"/>
  <c r="Q55" i="17"/>
  <c r="T25" i="17"/>
  <c r="T27" i="17" s="1"/>
  <c r="Z5" i="12"/>
  <c r="Y14" i="12"/>
  <c r="Y77" i="12"/>
  <c r="V43" i="17"/>
  <c r="Y12" i="12"/>
  <c r="U24" i="17" l="1"/>
  <c r="Q33" i="17"/>
  <c r="Q56" i="17"/>
  <c r="V45" i="17"/>
  <c r="Z10" i="12"/>
  <c r="Z12" i="12" s="1"/>
  <c r="R30" i="17" l="1"/>
  <c r="Q58" i="17"/>
  <c r="Q59" i="17" s="1"/>
  <c r="U25" i="17"/>
  <c r="Z14" i="12"/>
  <c r="Z77" i="12"/>
  <c r="AA5" i="12"/>
  <c r="W42" i="17"/>
  <c r="U27" i="17" l="1"/>
  <c r="R31" i="17"/>
  <c r="R56" i="17" s="1"/>
  <c r="R55" i="17"/>
  <c r="W43" i="17"/>
  <c r="W45" i="17" s="1"/>
  <c r="AA10" i="12"/>
  <c r="AA12" i="12" s="1"/>
  <c r="R33" i="17" l="1"/>
  <c r="V24" i="17"/>
  <c r="X42" i="17"/>
  <c r="AA14" i="12"/>
  <c r="C14" i="12" s="1"/>
  <c r="AA77" i="12"/>
  <c r="C77" i="12" s="1"/>
  <c r="V25" i="17" l="1"/>
  <c r="V27" i="17" s="1"/>
  <c r="S30" i="17"/>
  <c r="R58" i="17"/>
  <c r="R59" i="17" s="1"/>
  <c r="X43" i="17"/>
  <c r="C2" i="12"/>
  <c r="C1" i="12"/>
  <c r="S31" i="17" l="1"/>
  <c r="S55" i="17"/>
  <c r="W24" i="17"/>
  <c r="X45" i="17"/>
  <c r="W25" i="17" l="1"/>
  <c r="S33" i="17"/>
  <c r="S56" i="17"/>
  <c r="Y42" i="17"/>
  <c r="T30" i="17" l="1"/>
  <c r="S58" i="17"/>
  <c r="S59" i="17" s="1"/>
  <c r="W27" i="17"/>
  <c r="Y43" i="17"/>
  <c r="Y45" i="17" s="1"/>
  <c r="X24" i="17" l="1"/>
  <c r="T31" i="17"/>
  <c r="T55" i="17"/>
  <c r="Z42" i="17"/>
  <c r="T33" i="17" l="1"/>
  <c r="T56" i="17"/>
  <c r="X25" i="17"/>
  <c r="Z43" i="17"/>
  <c r="Z45" i="17" s="1"/>
  <c r="X27" i="17" l="1"/>
  <c r="U30" i="17"/>
  <c r="T58" i="17"/>
  <c r="T59" i="17" s="1"/>
  <c r="AA42" i="17"/>
  <c r="Y24" i="17" l="1"/>
  <c r="U31" i="17"/>
  <c r="U55" i="17"/>
  <c r="AA43" i="17"/>
  <c r="U33" i="17" l="1"/>
  <c r="U56" i="17"/>
  <c r="Y25" i="17"/>
  <c r="AA45" i="17"/>
  <c r="V30" i="17" l="1"/>
  <c r="U58" i="17"/>
  <c r="U59" i="17" s="1"/>
  <c r="Y27" i="17"/>
  <c r="Z24" i="17" l="1"/>
  <c r="V31" i="17"/>
  <c r="V55" i="17"/>
  <c r="V33" i="17" l="1"/>
  <c r="V56" i="17"/>
  <c r="Z25" i="17"/>
  <c r="Z27" i="17" l="1"/>
  <c r="W30" i="17"/>
  <c r="V58" i="17"/>
  <c r="V59" i="17" s="1"/>
  <c r="W31" i="17" l="1"/>
  <c r="W56" i="17" s="1"/>
  <c r="W55" i="17"/>
  <c r="AA24" i="17"/>
  <c r="W33" i="17" l="1"/>
  <c r="X30" i="17" s="1"/>
  <c r="AA25" i="17"/>
  <c r="AA27" i="17" s="1"/>
  <c r="W58" i="17" l="1"/>
  <c r="W59" i="17" s="1"/>
  <c r="X31" i="17"/>
  <c r="X55" i="17"/>
  <c r="X33" i="17" l="1"/>
  <c r="X56" i="17"/>
  <c r="Y30" i="17" l="1"/>
  <c r="X58" i="17"/>
  <c r="X59" i="17" s="1"/>
  <c r="Y31" i="17" l="1"/>
  <c r="Y55" i="17"/>
  <c r="Y33" i="17" l="1"/>
  <c r="Y56" i="17"/>
  <c r="Z30" i="17" l="1"/>
  <c r="Y58" i="17"/>
  <c r="Y59" i="17" s="1"/>
  <c r="Z31" i="17" l="1"/>
  <c r="Z55" i="17"/>
  <c r="Z33" i="17" l="1"/>
  <c r="Z56" i="17"/>
  <c r="AA30" i="17" l="1"/>
  <c r="Z58" i="17"/>
  <c r="Z59" i="17" s="1"/>
  <c r="AA31" i="17" l="1"/>
  <c r="AA55" i="17"/>
  <c r="AA33" i="17" l="1"/>
  <c r="AA58" i="17" s="1"/>
  <c r="AA56" i="17"/>
  <c r="AA59" i="17" l="1"/>
  <c r="C59" i="17" s="1"/>
  <c r="C2" i="17" s="1"/>
  <c r="F1" i="14" s="1"/>
  <c r="C1" i="17" l="1"/>
</calcChain>
</file>

<file path=xl/comments1.xml><?xml version="1.0" encoding="utf-8"?>
<comments xmlns="http://schemas.openxmlformats.org/spreadsheetml/2006/main">
  <authors>
    <author>Rombo</author>
  </authors>
  <commentList>
    <comment ref="A40" authorId="0">
      <text>
        <r>
          <rPr>
            <sz val="8"/>
            <color indexed="81"/>
            <rFont val="Tahoma"/>
            <family val="2"/>
          </rPr>
          <t xml:space="preserve">Tax Losses included in Duos tax calculation.
</t>
        </r>
      </text>
    </comment>
  </commentList>
</comments>
</file>

<file path=xl/sharedStrings.xml><?xml version="1.0" encoding="utf-8"?>
<sst xmlns="http://schemas.openxmlformats.org/spreadsheetml/2006/main" count="1238" uniqueCount="424">
  <si>
    <t>Check</t>
  </si>
  <si>
    <t>OPERATING &amp; MAINTENANCE EXPENDITURE</t>
  </si>
  <si>
    <t>Operating and Maintenance Expenditure</t>
  </si>
  <si>
    <t>CUSTOMER CONTRIBUTIONS AND DISPOSAL PROCEEDS</t>
  </si>
  <si>
    <t>Customer contributions</t>
  </si>
  <si>
    <t>Disposals - proceeds from sale of assets</t>
  </si>
  <si>
    <t>Real 2008 $</t>
  </si>
  <si>
    <t>Regulatory</t>
  </si>
  <si>
    <t xml:space="preserve"> Life (years)</t>
  </si>
  <si>
    <t>Market Observables</t>
  </si>
  <si>
    <t>Nominal risk free rate</t>
  </si>
  <si>
    <t>Debt risk premium</t>
  </si>
  <si>
    <t>Non Market Observables</t>
  </si>
  <si>
    <t>Equity premium</t>
  </si>
  <si>
    <t>Equity beta</t>
  </si>
  <si>
    <t>Gearing (debt/assets)</t>
  </si>
  <si>
    <t>Forecast inflation</t>
  </si>
  <si>
    <t>Franking credit value</t>
  </si>
  <si>
    <t>Forecast</t>
  </si>
  <si>
    <t>BENCHMARK TAX RELATED INPUTS</t>
  </si>
  <si>
    <t>Actual</t>
  </si>
  <si>
    <t>Proposed</t>
  </si>
  <si>
    <t>Nominal $</t>
  </si>
  <si>
    <t>Quantities</t>
  </si>
  <si>
    <t>Metering data services</t>
  </si>
  <si>
    <t>Charge per meter ($ p.a.)</t>
  </si>
  <si>
    <t>metering data services - monthly read meter</t>
  </si>
  <si>
    <t>metering data services - quarterly read meter</t>
  </si>
  <si>
    <t>Charge per NMIs ($ p.a.)</t>
  </si>
  <si>
    <t>Meter provision Charge</t>
  </si>
  <si>
    <t>single phase single element meter</t>
  </si>
  <si>
    <t>single phase single element meter with contactor</t>
  </si>
  <si>
    <t>single phase two element meter with contactor</t>
  </si>
  <si>
    <t>three phase direct connected meter</t>
  </si>
  <si>
    <t>three phase direct connected meter with contactor</t>
  </si>
  <si>
    <t>three phase Current transformer connected meter</t>
  </si>
  <si>
    <t>CPI Index</t>
  </si>
  <si>
    <t>GROSS CAPITAL EXPENDITURE</t>
  </si>
  <si>
    <t>DISTRIBUTOR INPUTS</t>
  </si>
  <si>
    <t>AER INPUTS</t>
  </si>
  <si>
    <t>IMRO  - DATA INPUTS</t>
  </si>
  <si>
    <t>Actual Capex Nominal $</t>
  </si>
  <si>
    <t>Accumulation Meters</t>
  </si>
  <si>
    <t>Metering Data Services (IT)</t>
  </si>
  <si>
    <t>Metering Data Services (Other)</t>
  </si>
  <si>
    <t>Total</t>
  </si>
  <si>
    <t>F'cast $2007 Real</t>
  </si>
  <si>
    <t>Capital Expenditure by Taxation Category</t>
  </si>
  <si>
    <t>Tax Depn rate</t>
  </si>
  <si>
    <t>Standard metering (Group 1)</t>
  </si>
  <si>
    <t>Standard metering (Group 2)</t>
  </si>
  <si>
    <t>Maintenance</t>
  </si>
  <si>
    <t>Meter Maintenance</t>
  </si>
  <si>
    <t>Meter replacement costs (customer service costs)</t>
  </si>
  <si>
    <t>Indirect Overheads</t>
  </si>
  <si>
    <t xml:space="preserve"> - Number of customers with meters</t>
  </si>
  <si>
    <t>Number of meters read monthly - accumulation</t>
  </si>
  <si>
    <t>Number of meters read quarterly - accumulation</t>
  </si>
  <si>
    <t>Number of meters read monthly  - interval</t>
  </si>
  <si>
    <t>Number of meters read quarterly  - interval</t>
  </si>
  <si>
    <t xml:space="preserve"> - Meter replacement installations</t>
  </si>
  <si>
    <t>TARIFF REVENUE</t>
  </si>
  <si>
    <t>Actual Tariff Revenue Nominal $</t>
  </si>
  <si>
    <t>Actual Tariff Revenue</t>
  </si>
  <si>
    <t>Pre Start Date Costs (AMI Only)</t>
  </si>
  <si>
    <t>Telecommunications systems - WAN / 'Backhaul'</t>
  </si>
  <si>
    <t>IT systems</t>
  </si>
  <si>
    <t>Technology trials</t>
  </si>
  <si>
    <t>Customer response trials</t>
  </si>
  <si>
    <t>Project management including training and project office</t>
  </si>
  <si>
    <t>Customer service costs</t>
  </si>
  <si>
    <t>Other costs of provision of reg. services</t>
  </si>
  <si>
    <t>Indirect costs</t>
  </si>
  <si>
    <t>Actual O &amp; M Nominal $</t>
  </si>
  <si>
    <t>Only include prescribed metering services costs under the current Price Determination 1/1/2006 to 31/12/2008.</t>
  </si>
  <si>
    <t>Annual CPI</t>
  </si>
  <si>
    <t>CPI p.a.</t>
  </si>
  <si>
    <t>Escalator : Nominal $ to Real $ 2008</t>
  </si>
  <si>
    <t>WEIGHTED AVERAGE COST OF CAPITAL (WACC) :  EDPR 2006-10</t>
  </si>
  <si>
    <t>Risk free rate (real)</t>
  </si>
  <si>
    <t>Debt premium</t>
  </si>
  <si>
    <t>After tax cost of equity (real)</t>
  </si>
  <si>
    <t>After tax cost of equity (nominal)</t>
  </si>
  <si>
    <t>Cost of debt (real)</t>
  </si>
  <si>
    <t>Cost of debt (nominal)</t>
  </si>
  <si>
    <t>'Vanilla' after tax WACC (real)</t>
  </si>
  <si>
    <t>Inflation</t>
  </si>
  <si>
    <t>CPI increase</t>
  </si>
  <si>
    <t>Company income tax rate</t>
  </si>
  <si>
    <t>Tax Depreciation Rates</t>
  </si>
  <si>
    <t>Metering data services (IT related)</t>
  </si>
  <si>
    <t>Metering data services (other)</t>
  </si>
  <si>
    <t>BENCHMARK TAX RELATED INPUTS : EDPR 2006-10</t>
  </si>
  <si>
    <t>DUOS TAX OFFSET : EDPR 2006-10</t>
  </si>
  <si>
    <t>Efficiency Carry-over : EDPR 2006-10</t>
  </si>
  <si>
    <t>Forecast Quantities</t>
  </si>
  <si>
    <t>Benchmark Unit Costs (Real 2004 $)</t>
  </si>
  <si>
    <t>Meter Maintenance per customer</t>
  </si>
  <si>
    <t>O &amp; M EXPENDITURE BENCHMARKS (Real 2004 $)</t>
  </si>
  <si>
    <t>Metering data services :</t>
  </si>
  <si>
    <t xml:space="preserve"> - Cost per read accumulation meter</t>
  </si>
  <si>
    <t xml:space="preserve"> - Cost per read interval meter</t>
  </si>
  <si>
    <t xml:space="preserve"> - Meter data management per customer - accumulation meter</t>
  </si>
  <si>
    <t xml:space="preserve"> - Meter data management per customer - read interval meter</t>
  </si>
  <si>
    <t>Total O &amp; M included in Efficiency Carry-over</t>
  </si>
  <si>
    <t>O &amp; M Expenditure not included in Efficiency Carry-over</t>
  </si>
  <si>
    <t>Total O &amp; M not included in Efficiency Carry-over</t>
  </si>
  <si>
    <t>Total O &amp; M</t>
  </si>
  <si>
    <t>Operating costs - Indirect Overheads</t>
  </si>
  <si>
    <t>Maintenance costs - Metering data services (IT related)</t>
  </si>
  <si>
    <t>Regulatory Depreciation</t>
  </si>
  <si>
    <t>Total Pre Start Date Costs (AMI Only)</t>
  </si>
  <si>
    <t>Powercor</t>
  </si>
  <si>
    <t>STANDARD METERING (PRESCRIBED SERVICE)</t>
  </si>
  <si>
    <t>($m 1/7/2004)</t>
  </si>
  <si>
    <t xml:space="preserve">Total building blocks revenue requirement - standard metering </t>
  </si>
  <si>
    <t>Gross Benchmark Revenue Requirement</t>
  </si>
  <si>
    <t>Net Capital Expenditure</t>
  </si>
  <si>
    <t>O&amp;M Expenditure</t>
  </si>
  <si>
    <t>Benchmark Tax Liability</t>
  </si>
  <si>
    <t>Net Cash Flow</t>
  </si>
  <si>
    <t>Standard metering revenue from metering charges</t>
  </si>
  <si>
    <t>Forecast Tariff Revenue</t>
  </si>
  <si>
    <t>NPV Building Blocks Revenue Requirement less NPV Revenue from Metering Charges</t>
  </si>
  <si>
    <t>Revenue from metering charges</t>
  </si>
  <si>
    <t>$m (MOD)</t>
  </si>
  <si>
    <t>Customer Contributions</t>
  </si>
  <si>
    <t>Operating &amp; maintenance expenditure</t>
  </si>
  <si>
    <t>Tax depreciation</t>
  </si>
  <si>
    <t>Interest</t>
  </si>
  <si>
    <t>Tax losses brought forward</t>
  </si>
  <si>
    <t>Taxable profit/(loss)</t>
  </si>
  <si>
    <t>Cost of Tax</t>
  </si>
  <si>
    <t>Franking benefit</t>
  </si>
  <si>
    <t>Benchmark Tax Liability $m (MOD)</t>
  </si>
  <si>
    <t>Benchmark Tax Liability $m (1/7/2004)</t>
  </si>
  <si>
    <t>BUILDING BLOCKS PRESCRIBED SERVICES REVENUE REQUIREMENT (METERING SERVICES)</t>
  </si>
  <si>
    <t>Return on assets</t>
  </si>
  <si>
    <t>Regulatory depreciation</t>
  </si>
  <si>
    <t>O&amp;M expenditure</t>
  </si>
  <si>
    <t>Forecast tax liability</t>
  </si>
  <si>
    <t>TAXATION CALCULATION</t>
  </si>
  <si>
    <t>Gearing</t>
  </si>
  <si>
    <t>Tax rate</t>
  </si>
  <si>
    <t>Revenue requirement ($m 1/7/2004)</t>
  </si>
  <si>
    <t>Customer contributions ($m 1/7/2004)</t>
  </si>
  <si>
    <t>Operating &amp; maintenance expenditure ($m 1/7/2004)</t>
  </si>
  <si>
    <t>Average RAB ($m 1/7/2004)</t>
  </si>
  <si>
    <t>Inflation factor</t>
  </si>
  <si>
    <t>Debt margin</t>
  </si>
  <si>
    <t>($m MOD)</t>
  </si>
  <si>
    <t>Revenue requirement</t>
  </si>
  <si>
    <t>After tax net income</t>
  </si>
  <si>
    <t>Cost of tax</t>
  </si>
  <si>
    <t>Forecast tax liability ($m MOD)</t>
  </si>
  <si>
    <t>Forecast tax liability ($m 1/7/2004)</t>
  </si>
  <si>
    <t>Forecast tax liability (% 1/7/2004)</t>
  </si>
  <si>
    <t>O&amp;M EXPENDITURE - METERING SERVICES</t>
  </si>
  <si>
    <t>($000 1/7/2004)</t>
  </si>
  <si>
    <t>Maintenance costs</t>
  </si>
  <si>
    <t>Standard metering (accumulation meters and interval meters)</t>
  </si>
  <si>
    <t>Operating costs</t>
  </si>
  <si>
    <t>IT Operating expenditure</t>
  </si>
  <si>
    <t>TOTAL O&amp;M COSTS</t>
  </si>
  <si>
    <t>CAPITAL EXPENDITURE - METERING SERVICES</t>
  </si>
  <si>
    <t>Standard metering (accumulation meters) - gross</t>
  </si>
  <si>
    <t>Standard metering (interval meters) - gross</t>
  </si>
  <si>
    <t>Standard metering (net of customer contributions)</t>
  </si>
  <si>
    <t>Metering data services (Other)</t>
  </si>
  <si>
    <t>TOTAL CAPEX</t>
  </si>
  <si>
    <t>REGULATED ASSET BASE - METERING SERVICES</t>
  </si>
  <si>
    <t>Standard metering (accumulation meters)</t>
  </si>
  <si>
    <t>Opening asset base</t>
  </si>
  <si>
    <t>Capital expenditure (net of customer contributions)</t>
  </si>
  <si>
    <t>Closing asset base</t>
  </si>
  <si>
    <t>Average asset base</t>
  </si>
  <si>
    <t>Standard metering (interval meters)</t>
  </si>
  <si>
    <t>Depreciation</t>
  </si>
  <si>
    <t>Disposals</t>
  </si>
  <si>
    <t>Regulatory depreciation lives on capex 2006-10</t>
  </si>
  <si>
    <t>Weighted average regulatory life (years)</t>
  </si>
  <si>
    <t>Regulatory depreciation on capex 2006-10 ($000 1/7/2004)</t>
  </si>
  <si>
    <t>Depreciation Factors</t>
  </si>
  <si>
    <t>Avg Reg Life</t>
  </si>
  <si>
    <t>REGULATED TAX ASSET VALUE</t>
  </si>
  <si>
    <t>$'000 (MOD)</t>
  </si>
  <si>
    <t>Post Ralph Tax Depreciation</t>
  </si>
  <si>
    <t>Asset Class</t>
  </si>
  <si>
    <t>Tax Depreciation Declining Balance</t>
  </si>
  <si>
    <t>Standard metering (prescribed service)</t>
  </si>
  <si>
    <t>Gross Capex Standard Metering ($000 1/7/2004)</t>
  </si>
  <si>
    <t>Total gross capex standard metering</t>
  </si>
  <si>
    <t xml:space="preserve">   - accumulation</t>
  </si>
  <si>
    <t xml:space="preserve">   - interval</t>
  </si>
  <si>
    <t xml:space="preserve">  - single phase non off peak meters</t>
  </si>
  <si>
    <t xml:space="preserve">  - single phase off peak meters</t>
  </si>
  <si>
    <t xml:space="preserve">  - three phase direct connected meters</t>
  </si>
  <si>
    <t xml:space="preserve">  - three phase CT connected meters</t>
  </si>
  <si>
    <t xml:space="preserve">  - multiple meter sites</t>
  </si>
  <si>
    <t>Total (net of customer contributions)</t>
  </si>
  <si>
    <t>($'000 MOD)</t>
  </si>
  <si>
    <t>Opening asset value ($m)</t>
  </si>
  <si>
    <t>Gross capex</t>
  </si>
  <si>
    <t>Closing asset value</t>
  </si>
  <si>
    <t>Forecast unit costs and Volumes for O &amp; M and Capex</t>
  </si>
  <si>
    <t>($ 1/7/2004)</t>
  </si>
  <si>
    <t>Capital expenditure</t>
  </si>
  <si>
    <t>Material cost (including warehouse and transport) , Installation costs</t>
  </si>
  <si>
    <t>Unit Costs per meter installed</t>
  </si>
  <si>
    <t>Volumes of Meters installed</t>
  </si>
  <si>
    <t>New installations</t>
  </si>
  <si>
    <t xml:space="preserve">    - single phase non off peak</t>
  </si>
  <si>
    <t xml:space="preserve">    - single phase off peak</t>
  </si>
  <si>
    <t xml:space="preserve">    - three phase direct connected</t>
  </si>
  <si>
    <t xml:space="preserve">    - three phase CT connected</t>
  </si>
  <si>
    <t>Replacement installations</t>
  </si>
  <si>
    <t xml:space="preserve">    - multiple meter sites</t>
  </si>
  <si>
    <t>Project management and training, p.a.</t>
  </si>
  <si>
    <t>Metering data services - IT, p.a.</t>
  </si>
  <si>
    <t>Metering data services - other, p.a.</t>
  </si>
  <si>
    <t xml:space="preserve">Operating and Maintenance expenditure </t>
  </si>
  <si>
    <t>Number of customers with meters</t>
  </si>
  <si>
    <t>Unit Costs - per customer</t>
  </si>
  <si>
    <t>Maintenance - metering data services, per annum</t>
  </si>
  <si>
    <t>Operating Costs</t>
  </si>
  <si>
    <t>Customer service costs, per meter installed</t>
  </si>
  <si>
    <t>Metering data services, per read</t>
  </si>
  <si>
    <t xml:space="preserve">   - interval </t>
  </si>
  <si>
    <t xml:space="preserve">   - meter data management - accumulation</t>
  </si>
  <si>
    <t xml:space="preserve">   - meter data management - Interval</t>
  </si>
  <si>
    <t>Volumes of meter reading per cycle</t>
  </si>
  <si>
    <t>No. of meters read monthly - accumulation</t>
  </si>
  <si>
    <t>No. of meters read quarterly - accumulation</t>
  </si>
  <si>
    <t>No. of meters read monthly  - interval</t>
  </si>
  <si>
    <t>No. of meters read quarterly  - interval</t>
  </si>
  <si>
    <t>Forecast Meter Charges and Quantities</t>
  </si>
  <si>
    <t>Annual Prices</t>
  </si>
  <si>
    <t>Metering data services (type 5 and 6)</t>
  </si>
  <si>
    <t>Charge per meter ($ per annum)</t>
  </si>
  <si>
    <t>Number of meters read monthly - accumulation meters</t>
  </si>
  <si>
    <t>Number of meters read quarterly - accumulation meters</t>
  </si>
  <si>
    <t>Number of meters read monthly - interval meters</t>
  </si>
  <si>
    <t>Number of meters read quarterly - interval meters</t>
  </si>
  <si>
    <t>Charge per NMIs ($ per annum)</t>
  </si>
  <si>
    <t>Number of NMIs read monthly</t>
  </si>
  <si>
    <t>Number of NMIs read quarterly</t>
  </si>
  <si>
    <t>Metering data services (type 7)</t>
  </si>
  <si>
    <t>Unmetered supplies</t>
  </si>
  <si>
    <t>($ per annum)</t>
  </si>
  <si>
    <t xml:space="preserve">   -  Number of NMIs</t>
  </si>
  <si>
    <t xml:space="preserve">   -  Number of lights</t>
  </si>
  <si>
    <t>Number of customers with a single phase non off peak meter</t>
  </si>
  <si>
    <t>Number of customers with a single phase off peak meter</t>
  </si>
  <si>
    <t>Number of customers with a three phase direct connected meter</t>
  </si>
  <si>
    <t>Number of customers with a three phase CT connected meter</t>
  </si>
  <si>
    <t>Total revenues</t>
  </si>
  <si>
    <t>Number of NMIs read monthly - accumulation meters</t>
  </si>
  <si>
    <t>Number of NMIs read quarterly - accumulation meters</t>
  </si>
  <si>
    <t>Number of NMIs read monthly - interval meters</t>
  </si>
  <si>
    <t>Number of NMIs read quarterly - interval meters</t>
  </si>
  <si>
    <t>Total Revenues</t>
  </si>
  <si>
    <r>
      <t>X</t>
    </r>
    <r>
      <rPr>
        <b/>
        <vertAlign val="subscript"/>
        <sz val="14"/>
        <rFont val="Times New Roman"/>
        <family val="1"/>
      </rPr>
      <t>1-4</t>
    </r>
  </si>
  <si>
    <r>
      <t>X</t>
    </r>
    <r>
      <rPr>
        <b/>
        <vertAlign val="subscript"/>
        <sz val="12"/>
        <rFont val="Times New Roman"/>
        <family val="1"/>
      </rPr>
      <t>0</t>
    </r>
  </si>
  <si>
    <t>Actual CPI</t>
  </si>
  <si>
    <t>O &amp; M Expenditure</t>
  </si>
  <si>
    <t>TOTAL O&amp;M Expenditure</t>
  </si>
  <si>
    <t>Customer Contributions and Disposals</t>
  </si>
  <si>
    <t>Manually read interval meters</t>
  </si>
  <si>
    <t>Accumulation meters</t>
  </si>
  <si>
    <t>Customer services (meter replacements)</t>
  </si>
  <si>
    <t xml:space="preserve"> - Meter reading per cycle :</t>
  </si>
  <si>
    <t>O &amp; M Expenditure included in Efficiency Carry-over</t>
  </si>
  <si>
    <t>Operating cost - Customer services (meter replacements)</t>
  </si>
  <si>
    <t>Operating cost - Metering data services</t>
  </si>
  <si>
    <t>Maintenance cost - Accumulation and Interval meters</t>
  </si>
  <si>
    <t>Excluded from ECM</t>
  </si>
  <si>
    <t>Included in ECM</t>
  </si>
  <si>
    <t>Total O&amp;M included in Efficiency Carry-over Mechanism (ECM)</t>
  </si>
  <si>
    <t>Efficiency Carry-over : Actual Quantities</t>
  </si>
  <si>
    <t>Funding:  - Equity raising</t>
  </si>
  <si>
    <t xml:space="preserve">                 - Interest and exchange rate hedging costs</t>
  </si>
  <si>
    <t>Regulatory Depreciation :  2009-13</t>
  </si>
  <si>
    <t>Regulatory Depreciation Lives :  EDPR 2006-10</t>
  </si>
  <si>
    <t>Declining Balance</t>
  </si>
  <si>
    <t>IT</t>
  </si>
  <si>
    <t>Other</t>
  </si>
  <si>
    <t>Communications</t>
  </si>
  <si>
    <t>Year</t>
  </si>
  <si>
    <t>Single phase non off peak meter</t>
  </si>
  <si>
    <t>Single phase off peak meter</t>
  </si>
  <si>
    <t>Three phase direct connected meter</t>
  </si>
  <si>
    <t>Three phase CT connected meter</t>
  </si>
  <si>
    <t>Proposed Tariffs</t>
  </si>
  <si>
    <t>Proposed Tariffs and Forecast Tariff Quantities</t>
  </si>
  <si>
    <t>Accumulation meters and manually read interval meters</t>
  </si>
  <si>
    <t>depreciated by end of</t>
  </si>
  <si>
    <t>($000 Real 2008)</t>
  </si>
  <si>
    <t>Total metering (net of customer contributions)</t>
  </si>
  <si>
    <t>Regulatory depreciation lives on capex 2006-08</t>
  </si>
  <si>
    <t>Regulatory depreciation on capex 2006-08</t>
  </si>
  <si>
    <t>Tariff Revenue</t>
  </si>
  <si>
    <t>Tax liability</t>
  </si>
  <si>
    <t>Prescribed Metering costs</t>
  </si>
  <si>
    <t>Vanilla' after tax WACC (Nominal)</t>
  </si>
  <si>
    <t>($000 Nominal)</t>
  </si>
  <si>
    <t>Net offset</t>
  </si>
  <si>
    <t>Prescribed Metering offset</t>
  </si>
  <si>
    <t>($000 Real 2004)</t>
  </si>
  <si>
    <t>Metering Taxable loss</t>
  </si>
  <si>
    <t>Duos tax offset</t>
  </si>
  <si>
    <t>Duos Tax Offset : EDPR 2006-10</t>
  </si>
  <si>
    <t>Efficiency Carry-over</t>
  </si>
  <si>
    <t>Duos Tax Offset</t>
  </si>
  <si>
    <t>AMI O &amp; M costs</t>
  </si>
  <si>
    <t>WACC adjustment factor (time value of money)</t>
  </si>
  <si>
    <t>WEIGHTED AVERAGE COST OF CAPITAL (WACC)</t>
  </si>
  <si>
    <t>Risk free rate (nominal)</t>
  </si>
  <si>
    <t>Meter maintenance</t>
  </si>
  <si>
    <t>Actual costs</t>
  </si>
  <si>
    <t>Incremental gain</t>
  </si>
  <si>
    <t>Efficiency</t>
  </si>
  <si>
    <t>Regulatory Asset Base</t>
  </si>
  <si>
    <t>Opening RAB</t>
  </si>
  <si>
    <t>Gross capital expenditure</t>
  </si>
  <si>
    <t>Closing RAB</t>
  </si>
  <si>
    <t>Average RAB</t>
  </si>
  <si>
    <t>Net Capex</t>
  </si>
  <si>
    <t>RAB WDV</t>
  </si>
  <si>
    <t xml:space="preserve"> 1/01/2009</t>
  </si>
  <si>
    <t>Life (years)</t>
  </si>
  <si>
    <t>Remaining</t>
  </si>
  <si>
    <t>RAB at 1 January 2009</t>
  </si>
  <si>
    <t>Net</t>
  </si>
  <si>
    <t>Capex</t>
  </si>
  <si>
    <t>RAB AMI Capex 2009-11</t>
  </si>
  <si>
    <t>Regulatory Depreciation on Opening Assets at 1 January 2009 - IMRO Capex 2006-08</t>
  </si>
  <si>
    <t>Regulatory Depreciation on Opening Assets at 1 January 2009 - AMI Capex 2006-08</t>
  </si>
  <si>
    <t>TAX DEPRECIATION</t>
  </si>
  <si>
    <t>Tax Asset Class</t>
  </si>
  <si>
    <t>BUILDING BLOCKS AMI REVENUE REQUIREMENT</t>
  </si>
  <si>
    <t>Taxation calculation</t>
  </si>
  <si>
    <t>Revenue</t>
  </si>
  <si>
    <t>Total Revenue</t>
  </si>
  <si>
    <t>AMI Building Blocks Costs 2009-11</t>
  </si>
  <si>
    <t>Vanilla' after tax WACC (real)</t>
  </si>
  <si>
    <t>Vanilla' after tax WACC (nominal)</t>
  </si>
  <si>
    <t>Discount factor</t>
  </si>
  <si>
    <t>NPV Costs</t>
  </si>
  <si>
    <t>NPV Revenue</t>
  </si>
  <si>
    <t>Total costs</t>
  </si>
  <si>
    <t>Over\(Under) recovery of costs</t>
  </si>
  <si>
    <t>Offset of costs and revenue 2006-08</t>
  </si>
  <si>
    <t>Total Offset of costs and revenue 2006-08 (WACC adjusted)</t>
  </si>
  <si>
    <t>Total building blocks - AMI</t>
  </si>
  <si>
    <t>($000 MOD)</t>
  </si>
  <si>
    <t>Tax liability ($000 MOD)</t>
  </si>
  <si>
    <t>Opening asset value</t>
  </si>
  <si>
    <t>Benchmark costs (adjusted for actual quantities)</t>
  </si>
  <si>
    <t>Actual Quantities</t>
  </si>
  <si>
    <t>Standard metering (Group 2) (Unit cost =&gt; $1,000)</t>
  </si>
  <si>
    <t>Standard metering (Group 1) (Unit cost &lt; $1,000)</t>
  </si>
  <si>
    <t>Underspend\(Overspend)</t>
  </si>
  <si>
    <t>Metering Taxable profit/(loss) ($MOD)</t>
  </si>
  <si>
    <t>Remotely read interval meters &amp; transformers</t>
  </si>
  <si>
    <t>Meters and transformers (Group 1) (Unit cost &lt; $1,000)</t>
  </si>
  <si>
    <t>Meters and transformers (Group 2) (Unit cost =&gt; $1,000)</t>
  </si>
  <si>
    <t>Applying Vanilla' after tax WACC (nominal)</t>
  </si>
  <si>
    <t>Applying Vanilla' after tax WACC (real)</t>
  </si>
  <si>
    <t>Straight-line depreciation</t>
  </si>
  <si>
    <t>Less Inflation indexation</t>
  </si>
  <si>
    <t>Other Category 1 : Describe………………..</t>
  </si>
  <si>
    <t>Other Category 2 : Describe………………..</t>
  </si>
  <si>
    <t>Other Category 3 : Describe………………..</t>
  </si>
  <si>
    <t>Other Category 4 : Describe………………..</t>
  </si>
  <si>
    <t>Other Category 5 : Describe………………..</t>
  </si>
  <si>
    <t>Single phase</t>
  </si>
  <si>
    <t>Instructions</t>
  </si>
  <si>
    <t>Distributor data input fields are shaded</t>
  </si>
  <si>
    <t>Data input values are not to be rounded to $'000s or $'000,000s but inputted as individual $ units.</t>
  </si>
  <si>
    <t>Depreciated by end of  2013</t>
  </si>
  <si>
    <t>Tariffs</t>
  </si>
  <si>
    <t>Regulatory depreciation on AMI Capex 2009-15</t>
  </si>
  <si>
    <t xml:space="preserve">Initial AMI WACC - </t>
  </si>
  <si>
    <t>1 January 2009 to 31 December 2013</t>
  </si>
  <si>
    <t>AMI WACC</t>
  </si>
  <si>
    <t xml:space="preserve">Subsequent AMI WACC - </t>
  </si>
  <si>
    <t>1 January 2014 to 31 December 2015</t>
  </si>
  <si>
    <t>Actual Tariffs</t>
  </si>
  <si>
    <t>AMI DATA INPUTS 2009 - 2015</t>
  </si>
  <si>
    <t>Initial AMI WACC -</t>
  </si>
  <si>
    <t>FORECAST TARIFF REVENUE</t>
  </si>
  <si>
    <t>Global Check</t>
  </si>
  <si>
    <t>Operating and Maintenance Expenditure (excluding debt raisiing costs in 2014-15)</t>
  </si>
  <si>
    <t>Debt raisiing costs in 2014-15</t>
  </si>
  <si>
    <t xml:space="preserve">Debt Raising Cost Benchmark </t>
  </si>
  <si>
    <t>REAL 2008 $ INPUTS</t>
  </si>
  <si>
    <t>NOMINAL INPUTS</t>
  </si>
  <si>
    <t>The ABS changed the index reference base in September 2012 from 1989-90 to 2011-12.</t>
  </si>
  <si>
    <t>Operating and Maintenance Expenditure (including debt raisiing costs in 2014-15)</t>
  </si>
  <si>
    <t>These templates are for the AMI 2015 Charges Application.</t>
  </si>
  <si>
    <t>AMI Costs and Revenues for 2013 and 2014 are to be expressed in</t>
  </si>
  <si>
    <t>AMI Costs for 2015 are to be expressed in</t>
  </si>
  <si>
    <t>Real 2014 $</t>
  </si>
  <si>
    <t>AMI Proposed Tariffs for 2015 are to be expressed in</t>
  </si>
  <si>
    <t>AMI Proposed Tariffs for 2015 are to be rounded to whole cents.</t>
  </si>
  <si>
    <t>AMI DATA INPUTS 2013 - 2015</t>
  </si>
  <si>
    <t xml:space="preserve">      and located in tab "DNSP Data Inputs 2013-15".</t>
  </si>
  <si>
    <t>AMI DATA INPUTS 2009 - 2012</t>
  </si>
  <si>
    <t>Opening RAB 2016</t>
  </si>
  <si>
    <t>Opening Tax Value 2016</t>
  </si>
  <si>
    <t>Asset Categories</t>
  </si>
  <si>
    <t>($m Dec 2015)</t>
  </si>
  <si>
    <t>Standard Life</t>
  </si>
  <si>
    <t>Remaining Life</t>
  </si>
  <si>
    <t>($m Nominal)</t>
  </si>
  <si>
    <t>Tax Standard Life</t>
  </si>
  <si>
    <t>Tax Remaining Life</t>
  </si>
  <si>
    <t>Tax Losses</t>
  </si>
  <si>
    <t>RAB Remaining Lives</t>
  </si>
  <si>
    <t>Closing Asset</t>
  </si>
  <si>
    <t>Weighted Avg</t>
  </si>
  <si>
    <t>Depn Factor</t>
  </si>
  <si>
    <t>Value</t>
  </si>
  <si>
    <t>CPI : All groups – weighted average of eight capital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</si>
</sst>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164" formatCode="&quot;$&quot;#,##0.00;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#,##0.0"/>
    <numFmt numFmtId="169" formatCode="0.0%"/>
    <numFmt numFmtId="170" formatCode="#,##0.000"/>
    <numFmt numFmtId="171" formatCode="#,##0.0_ ;\-#,##0.0\ "/>
    <numFmt numFmtId="172" formatCode="0.00000"/>
    <numFmt numFmtId="173" formatCode="_-* #,##0.0_-;\-* #,##0.0_-;_-* &quot;-&quot;??_-;_-@_-"/>
    <numFmt numFmtId="174" formatCode="#,##0;\(#,##0\)"/>
    <numFmt numFmtId="175" formatCode="0.0"/>
    <numFmt numFmtId="176" formatCode="_-&quot;$&quot;* #,##0_-;\-&quot;$&quot;* #,##0_-;_-&quot;$&quot;* &quot;-&quot;??_-;_-@_-"/>
    <numFmt numFmtId="177" formatCode="_-&quot;$&quot;* #,##0.000_-;\-&quot;$&quot;* #,##0.000_-;_-&quot;$&quot;* &quot;-&quot;??_-;_-@_-"/>
    <numFmt numFmtId="178" formatCode="#,##0.0000"/>
    <numFmt numFmtId="179" formatCode="_-* #,##0.000_-;\-* #,##0.000_-;_-* &quot;-&quot;??_-;_-@_-"/>
    <numFmt numFmtId="180" formatCode="0.000%"/>
    <numFmt numFmtId="181" formatCode="#,##0.00000"/>
    <numFmt numFmtId="182" formatCode="#,##0.000000"/>
    <numFmt numFmtId="183" formatCode="#,##0.00_ ;\-#,##0.00\ "/>
    <numFmt numFmtId="184" formatCode="0.0000000%"/>
    <numFmt numFmtId="185" formatCode="#,##0.0;\(#,##0.0\)"/>
    <numFmt numFmtId="186" formatCode="#,##0;\(#,##0\);&quot;-&quot;"/>
    <numFmt numFmtId="187" formatCode="0.00000%"/>
    <numFmt numFmtId="188" formatCode="#,##0.0000000"/>
    <numFmt numFmtId="189" formatCode="&quot;$&quot;#,##0.000;\-&quot;$&quot;#,##0.000"/>
    <numFmt numFmtId="190" formatCode="#,##0.00000000000"/>
    <numFmt numFmtId="191" formatCode="0.000000"/>
    <numFmt numFmtId="192" formatCode="&quot;$&quot;#,##0.000000;\-&quot;$&quot;#,##0.000000"/>
    <numFmt numFmtId="193" formatCode="mmm\-yyyy"/>
    <numFmt numFmtId="194" formatCode="d/m/yyyy;@"/>
  </numFmts>
  <fonts count="51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u/>
      <sz val="11"/>
      <color indexed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vertAlign val="subscript"/>
      <sz val="14"/>
      <name val="Times New Roman"/>
      <family val="1"/>
    </font>
    <font>
      <b/>
      <sz val="14"/>
      <name val="Times New Roman"/>
      <family val="1"/>
    </font>
    <font>
      <b/>
      <sz val="10"/>
      <color indexed="10"/>
      <name val="Times New Roman"/>
      <family val="1"/>
    </font>
    <font>
      <sz val="10"/>
      <color indexed="63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vertAlign val="subscript"/>
      <sz val="12"/>
      <name val="Times New Roman"/>
      <family val="1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sz val="10"/>
      <color indexed="6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0"/>
      <color indexed="55"/>
      <name val="Arial"/>
      <family val="2"/>
    </font>
    <font>
      <sz val="10"/>
      <color rgb="FFFF0000"/>
      <name val="Arial"/>
      <family val="2"/>
    </font>
    <font>
      <sz val="10"/>
      <color rgb="FF0033CC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10"/>
      <color rgb="FF0033CC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56"/>
      </patternFill>
    </fill>
    <fill>
      <patternFill patternType="solid">
        <fgColor indexed="13"/>
        <bgColor indexed="56"/>
      </patternFill>
    </fill>
    <fill>
      <patternFill patternType="solid">
        <fgColor indexed="41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5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6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985">
    <xf numFmtId="0" fontId="0" fillId="0" borderId="0" xfId="0"/>
    <xf numFmtId="0" fontId="4" fillId="0" borderId="0" xfId="4" applyFont="1" applyFill="1"/>
    <xf numFmtId="0" fontId="4" fillId="0" borderId="0" xfId="4" applyFont="1" applyFill="1" applyBorder="1"/>
    <xf numFmtId="0" fontId="5" fillId="0" borderId="1" xfId="4" applyFont="1" applyFill="1" applyBorder="1"/>
    <xf numFmtId="0" fontId="5" fillId="0" borderId="2" xfId="4" quotePrefix="1" applyFont="1" applyFill="1" applyBorder="1" applyAlignment="1">
      <alignment horizontal="right"/>
    </xf>
    <xf numFmtId="0" fontId="5" fillId="0" borderId="3" xfId="4" quotePrefix="1" applyFont="1" applyFill="1" applyBorder="1" applyAlignment="1">
      <alignment horizontal="right"/>
    </xf>
    <xf numFmtId="0" fontId="5" fillId="0" borderId="4" xfId="4" quotePrefix="1" applyFont="1" applyFill="1" applyBorder="1" applyAlignment="1">
      <alignment horizontal="right"/>
    </xf>
    <xf numFmtId="0" fontId="8" fillId="0" borderId="1" xfId="4" applyFont="1" applyFill="1" applyBorder="1"/>
    <xf numFmtId="3" fontId="10" fillId="2" borderId="5" xfId="4" applyNumberFormat="1" applyFont="1" applyFill="1" applyBorder="1"/>
    <xf numFmtId="3" fontId="10" fillId="2" borderId="0" xfId="4" applyNumberFormat="1" applyFont="1" applyFill="1" applyBorder="1"/>
    <xf numFmtId="3" fontId="10" fillId="2" borderId="6" xfId="4" applyNumberFormat="1" applyFont="1" applyFill="1" applyBorder="1"/>
    <xf numFmtId="3" fontId="4" fillId="0" borderId="7" xfId="4" applyNumberFormat="1" applyFont="1" applyFill="1" applyBorder="1"/>
    <xf numFmtId="3" fontId="4" fillId="0" borderId="8" xfId="4" applyNumberFormat="1" applyFont="1" applyFill="1" applyBorder="1"/>
    <xf numFmtId="3" fontId="4" fillId="0" borderId="9" xfId="4" applyNumberFormat="1" applyFont="1" applyFill="1" applyBorder="1"/>
    <xf numFmtId="0" fontId="9" fillId="0" borderId="1" xfId="4" applyFont="1" applyFill="1" applyBorder="1"/>
    <xf numFmtId="3" fontId="9" fillId="0" borderId="0" xfId="4" applyNumberFormat="1" applyFont="1" applyFill="1" applyBorder="1" applyAlignment="1">
      <alignment horizontal="center"/>
    </xf>
    <xf numFmtId="3" fontId="10" fillId="2" borderId="7" xfId="4" applyNumberFormat="1" applyFont="1" applyFill="1" applyBorder="1"/>
    <xf numFmtId="3" fontId="10" fillId="2" borderId="8" xfId="4" applyNumberFormat="1" applyFont="1" applyFill="1" applyBorder="1"/>
    <xf numFmtId="3" fontId="10" fillId="2" borderId="9" xfId="4" applyNumberFormat="1" applyFont="1" applyFill="1" applyBorder="1"/>
    <xf numFmtId="3" fontId="4" fillId="0" borderId="0" xfId="4" applyNumberFormat="1" applyFont="1" applyFill="1" applyBorder="1"/>
    <xf numFmtId="0" fontId="4" fillId="0" borderId="0" xfId="4" applyFont="1" applyBorder="1"/>
    <xf numFmtId="0" fontId="4" fillId="0" borderId="0" xfId="4" applyFont="1"/>
    <xf numFmtId="0" fontId="4" fillId="0" borderId="1" xfId="4" applyFont="1" applyBorder="1"/>
    <xf numFmtId="0" fontId="4" fillId="0" borderId="5" xfId="4" applyFont="1" applyBorder="1"/>
    <xf numFmtId="3" fontId="10" fillId="2" borderId="5" xfId="3" applyNumberFormat="1" applyFont="1" applyFill="1" applyBorder="1"/>
    <xf numFmtId="3" fontId="10" fillId="2" borderId="0" xfId="3" applyNumberFormat="1" applyFont="1" applyFill="1" applyBorder="1"/>
    <xf numFmtId="3" fontId="10" fillId="2" borderId="6" xfId="3" applyNumberFormat="1" applyFont="1" applyFill="1" applyBorder="1"/>
    <xf numFmtId="3" fontId="10" fillId="2" borderId="10" xfId="3" applyNumberFormat="1" applyFont="1" applyFill="1" applyBorder="1"/>
    <xf numFmtId="3" fontId="10" fillId="2" borderId="11" xfId="3" applyNumberFormat="1" applyFont="1" applyFill="1" applyBorder="1"/>
    <xf numFmtId="3" fontId="10" fillId="2" borderId="12" xfId="3" applyNumberFormat="1" applyFont="1" applyFill="1" applyBorder="1"/>
    <xf numFmtId="0" fontId="5" fillId="0" borderId="0" xfId="4" applyFont="1" applyFill="1" applyBorder="1"/>
    <xf numFmtId="3" fontId="4" fillId="0" borderId="0" xfId="4" applyNumberFormat="1" applyFont="1"/>
    <xf numFmtId="0" fontId="5" fillId="0" borderId="0" xfId="4" applyFont="1" applyFill="1" applyBorder="1" applyAlignment="1">
      <alignment horizontal="center"/>
    </xf>
    <xf numFmtId="0" fontId="5" fillId="0" borderId="13" xfId="4" applyFont="1" applyFill="1" applyBorder="1" applyAlignment="1">
      <alignment horizontal="center"/>
    </xf>
    <xf numFmtId="0" fontId="5" fillId="0" borderId="14" xfId="4" applyFont="1" applyFill="1" applyBorder="1" applyAlignment="1">
      <alignment horizontal="center"/>
    </xf>
    <xf numFmtId="3" fontId="10" fillId="0" borderId="5" xfId="3" applyNumberFormat="1" applyFont="1" applyFill="1" applyBorder="1"/>
    <xf numFmtId="3" fontId="10" fillId="0" borderId="0" xfId="3" applyNumberFormat="1" applyFont="1" applyFill="1" applyBorder="1"/>
    <xf numFmtId="3" fontId="10" fillId="0" borderId="6" xfId="3" applyNumberFormat="1" applyFont="1" applyFill="1" applyBorder="1"/>
    <xf numFmtId="0" fontId="12" fillId="0" borderId="1" xfId="4" applyFont="1" applyBorder="1"/>
    <xf numFmtId="0" fontId="6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11" fillId="0" borderId="1" xfId="4" applyFont="1" applyFill="1" applyBorder="1"/>
    <xf numFmtId="180" fontId="5" fillId="0" borderId="0" xfId="6" applyNumberFormat="1" applyFont="1" applyFill="1" applyBorder="1" applyAlignment="1">
      <alignment horizontal="center"/>
    </xf>
    <xf numFmtId="169" fontId="4" fillId="0" borderId="0" xfId="6" applyNumberFormat="1" applyFont="1" applyFill="1" applyBorder="1"/>
    <xf numFmtId="0" fontId="5" fillId="0" borderId="15" xfId="4" quotePrefix="1" applyFont="1" applyFill="1" applyBorder="1" applyAlignment="1">
      <alignment horizontal="right"/>
    </xf>
    <xf numFmtId="0" fontId="5" fillId="0" borderId="16" xfId="4" quotePrefix="1" applyFont="1" applyFill="1" applyBorder="1" applyAlignment="1">
      <alignment horizontal="right"/>
    </xf>
    <xf numFmtId="0" fontId="5" fillId="0" borderId="17" xfId="4" quotePrefix="1" applyFont="1" applyFill="1" applyBorder="1" applyAlignment="1">
      <alignment horizontal="right"/>
    </xf>
    <xf numFmtId="0" fontId="4" fillId="0" borderId="15" xfId="4" applyFont="1" applyFill="1" applyBorder="1" applyAlignment="1">
      <alignment horizontal="center"/>
    </xf>
    <xf numFmtId="0" fontId="4" fillId="0" borderId="16" xfId="4" applyFont="1" applyFill="1" applyBorder="1" applyAlignment="1">
      <alignment horizontal="center"/>
    </xf>
    <xf numFmtId="0" fontId="4" fillId="0" borderId="17" xfId="4" applyFont="1" applyFill="1" applyBorder="1" applyAlignment="1">
      <alignment horizontal="center"/>
    </xf>
    <xf numFmtId="0" fontId="4" fillId="0" borderId="10" xfId="4" applyFont="1" applyFill="1" applyBorder="1" applyAlignment="1">
      <alignment horizontal="center"/>
    </xf>
    <xf numFmtId="0" fontId="4" fillId="0" borderId="11" xfId="4" applyFont="1" applyBorder="1" applyAlignment="1">
      <alignment horizontal="center"/>
    </xf>
    <xf numFmtId="10" fontId="5" fillId="0" borderId="0" xfId="6" applyNumberFormat="1" applyFont="1" applyFill="1" applyAlignment="1">
      <alignment horizontal="center"/>
    </xf>
    <xf numFmtId="0" fontId="11" fillId="0" borderId="0" xfId="4" applyFont="1" applyFill="1" applyBorder="1"/>
    <xf numFmtId="0" fontId="5" fillId="0" borderId="0" xfId="4" quotePrefix="1" applyFont="1" applyFill="1" applyBorder="1" applyAlignment="1">
      <alignment horizontal="right"/>
    </xf>
    <xf numFmtId="0" fontId="4" fillId="0" borderId="0" xfId="0" applyFont="1"/>
    <xf numFmtId="0" fontId="12" fillId="0" borderId="1" xfId="4" applyFont="1" applyBorder="1" applyAlignment="1">
      <alignment horizontal="left"/>
    </xf>
    <xf numFmtId="0" fontId="11" fillId="0" borderId="0" xfId="0" applyFont="1"/>
    <xf numFmtId="0" fontId="11" fillId="0" borderId="0" xfId="1" applyFont="1" applyFill="1"/>
    <xf numFmtId="178" fontId="4" fillId="0" borderId="0" xfId="4" applyNumberFormat="1" applyFont="1" applyFill="1" applyBorder="1" applyAlignment="1">
      <alignment horizontal="center"/>
    </xf>
    <xf numFmtId="0" fontId="4" fillId="3" borderId="10" xfId="4" applyFont="1" applyFill="1" applyBorder="1" applyAlignment="1">
      <alignment horizontal="center"/>
    </xf>
    <xf numFmtId="0" fontId="4" fillId="3" borderId="11" xfId="4" applyFont="1" applyFill="1" applyBorder="1" applyAlignment="1">
      <alignment horizontal="center"/>
    </xf>
    <xf numFmtId="0" fontId="4" fillId="3" borderId="12" xfId="4" applyFont="1" applyFill="1" applyBorder="1" applyAlignment="1">
      <alignment horizontal="center"/>
    </xf>
    <xf numFmtId="0" fontId="4" fillId="3" borderId="15" xfId="4" applyFont="1" applyFill="1" applyBorder="1" applyAlignment="1">
      <alignment horizontal="center"/>
    </xf>
    <xf numFmtId="0" fontId="4" fillId="3" borderId="16" xfId="4" applyFont="1" applyFill="1" applyBorder="1" applyAlignment="1">
      <alignment horizontal="center"/>
    </xf>
    <xf numFmtId="0" fontId="4" fillId="3" borderId="17" xfId="4" applyFont="1" applyFill="1" applyBorder="1" applyAlignment="1">
      <alignment horizontal="center"/>
    </xf>
    <xf numFmtId="0" fontId="4" fillId="0" borderId="15" xfId="4" applyFont="1" applyFill="1" applyBorder="1"/>
    <xf numFmtId="0" fontId="4" fillId="0" borderId="17" xfId="4" applyFont="1" applyFill="1" applyBorder="1"/>
    <xf numFmtId="0" fontId="4" fillId="0" borderId="18" xfId="4" applyFont="1" applyBorder="1"/>
    <xf numFmtId="0" fontId="4" fillId="0" borderId="18" xfId="4" applyFont="1" applyFill="1" applyBorder="1"/>
    <xf numFmtId="0" fontId="12" fillId="4" borderId="0" xfId="4" applyFont="1" applyFill="1" applyBorder="1" applyAlignment="1">
      <alignment horizontal="left"/>
    </xf>
    <xf numFmtId="0" fontId="4" fillId="0" borderId="0" xfId="1" applyFont="1" applyBorder="1"/>
    <xf numFmtId="0" fontId="12" fillId="0" borderId="0" xfId="1" applyFont="1"/>
    <xf numFmtId="3" fontId="10" fillId="2" borderId="6" xfId="1" applyNumberFormat="1" applyFont="1" applyFill="1" applyBorder="1"/>
    <xf numFmtId="3" fontId="4" fillId="0" borderId="8" xfId="1" applyNumberFormat="1" applyFont="1" applyBorder="1"/>
    <xf numFmtId="0" fontId="5" fillId="0" borderId="3" xfId="1" applyFont="1" applyBorder="1" applyAlignment="1">
      <alignment horizontal="right"/>
    </xf>
    <xf numFmtId="0" fontId="4" fillId="0" borderId="1" xfId="1" applyFont="1" applyFill="1" applyBorder="1" applyAlignment="1">
      <alignment wrapText="1"/>
    </xf>
    <xf numFmtId="3" fontId="10" fillId="2" borderId="5" xfId="1" applyNumberFormat="1" applyFont="1" applyFill="1" applyBorder="1"/>
    <xf numFmtId="3" fontId="10" fillId="2" borderId="10" xfId="1" applyNumberFormat="1" applyFont="1" applyFill="1" applyBorder="1"/>
    <xf numFmtId="3" fontId="10" fillId="2" borderId="12" xfId="1" applyNumberFormat="1" applyFont="1" applyFill="1" applyBorder="1"/>
    <xf numFmtId="3" fontId="4" fillId="0" borderId="0" xfId="1" applyNumberFormat="1" applyFont="1" applyBorder="1"/>
    <xf numFmtId="3" fontId="4" fillId="0" borderId="0" xfId="1" applyNumberFormat="1" applyFont="1" applyFill="1" applyBorder="1"/>
    <xf numFmtId="0" fontId="4" fillId="0" borderId="0" xfId="1" applyFont="1"/>
    <xf numFmtId="0" fontId="4" fillId="0" borderId="0" xfId="1" applyFont="1" applyFill="1"/>
    <xf numFmtId="0" fontId="11" fillId="0" borderId="0" xfId="1" applyFont="1" applyFill="1" applyBorder="1" applyAlignment="1">
      <alignment wrapText="1"/>
    </xf>
    <xf numFmtId="3" fontId="4" fillId="0" borderId="0" xfId="1" applyNumberFormat="1" applyFont="1"/>
    <xf numFmtId="0" fontId="4" fillId="0" borderId="0" xfId="1" applyFont="1" applyFill="1" applyBorder="1" applyAlignment="1">
      <alignment wrapText="1"/>
    </xf>
    <xf numFmtId="0" fontId="11" fillId="0" borderId="0" xfId="1" applyFont="1" applyProtection="1"/>
    <xf numFmtId="0" fontId="14" fillId="0" borderId="0" xfId="1" applyFont="1"/>
    <xf numFmtId="0" fontId="4" fillId="0" borderId="0" xfId="1" applyFont="1" applyFill="1" applyBorder="1"/>
    <xf numFmtId="3" fontId="4" fillId="0" borderId="8" xfId="3" applyNumberFormat="1" applyFont="1" applyFill="1" applyBorder="1"/>
    <xf numFmtId="0" fontId="5" fillId="0" borderId="0" xfId="1" applyFont="1" applyFill="1" applyBorder="1"/>
    <xf numFmtId="3" fontId="4" fillId="0" borderId="0" xfId="3" applyNumberFormat="1" applyFont="1" applyFill="1" applyBorder="1"/>
    <xf numFmtId="0" fontId="15" fillId="0" borderId="0" xfId="1" applyFont="1" applyFill="1"/>
    <xf numFmtId="0" fontId="12" fillId="0" borderId="0" xfId="4" applyFont="1" applyFill="1" applyBorder="1"/>
    <xf numFmtId="0" fontId="13" fillId="2" borderId="1" xfId="4" applyFont="1" applyFill="1" applyBorder="1"/>
    <xf numFmtId="0" fontId="13" fillId="3" borderId="0" xfId="4" applyFont="1" applyFill="1"/>
    <xf numFmtId="0" fontId="5" fillId="0" borderId="19" xfId="4" applyFont="1" applyFill="1" applyBorder="1" applyAlignment="1">
      <alignment horizontal="center"/>
    </xf>
    <xf numFmtId="17" fontId="4" fillId="0" borderId="0" xfId="1" applyNumberFormat="1" applyFont="1" applyFill="1" applyBorder="1"/>
    <xf numFmtId="0" fontId="5" fillId="0" borderId="0" xfId="1" applyFont="1"/>
    <xf numFmtId="10" fontId="4" fillId="0" borderId="0" xfId="4" applyNumberFormat="1" applyFont="1" applyFill="1" applyAlignment="1">
      <alignment horizontal="center"/>
    </xf>
    <xf numFmtId="2" fontId="4" fillId="0" borderId="0" xfId="4" applyNumberFormat="1" applyFont="1" applyFill="1" applyAlignment="1">
      <alignment horizontal="center"/>
    </xf>
    <xf numFmtId="9" fontId="4" fillId="0" borderId="0" xfId="4" applyNumberFormat="1" applyFont="1" applyFill="1" applyAlignment="1">
      <alignment horizontal="center"/>
    </xf>
    <xf numFmtId="10" fontId="4" fillId="0" borderId="0" xfId="6" applyNumberFormat="1" applyFont="1" applyFill="1" applyAlignment="1">
      <alignment horizontal="center"/>
    </xf>
    <xf numFmtId="175" fontId="4" fillId="0" borderId="13" xfId="4" applyNumberFormat="1" applyFont="1" applyFill="1" applyBorder="1" applyAlignment="1">
      <alignment horizontal="center"/>
    </xf>
    <xf numFmtId="175" fontId="4" fillId="0" borderId="14" xfId="4" applyNumberFormat="1" applyFont="1" applyFill="1" applyBorder="1" applyAlignment="1">
      <alignment horizontal="center"/>
    </xf>
    <xf numFmtId="3" fontId="4" fillId="0" borderId="0" xfId="1" applyNumberFormat="1" applyFont="1" applyFill="1"/>
    <xf numFmtId="3" fontId="4" fillId="0" borderId="3" xfId="1" applyNumberFormat="1" applyFont="1" applyBorder="1"/>
    <xf numFmtId="0" fontId="4" fillId="0" borderId="0" xfId="4" applyFont="1" applyFill="1" applyBorder="1" applyAlignment="1">
      <alignment horizontal="center"/>
    </xf>
    <xf numFmtId="175" fontId="10" fillId="3" borderId="13" xfId="4" applyNumberFormat="1" applyFont="1" applyFill="1" applyBorder="1" applyAlignment="1">
      <alignment horizontal="center"/>
    </xf>
    <xf numFmtId="175" fontId="10" fillId="3" borderId="14" xfId="4" applyNumberFormat="1" applyFont="1" applyFill="1" applyBorder="1" applyAlignment="1">
      <alignment horizontal="center"/>
    </xf>
    <xf numFmtId="10" fontId="10" fillId="3" borderId="0" xfId="6" applyNumberFormat="1" applyFont="1" applyFill="1" applyBorder="1" applyAlignment="1">
      <alignment horizontal="center"/>
    </xf>
    <xf numFmtId="0" fontId="10" fillId="3" borderId="0" xfId="4" applyFont="1" applyFill="1" applyAlignment="1">
      <alignment horizontal="center"/>
    </xf>
    <xf numFmtId="10" fontId="4" fillId="0" borderId="0" xfId="4" applyNumberFormat="1" applyFont="1" applyFill="1" applyBorder="1" applyAlignment="1">
      <alignment horizontal="center"/>
    </xf>
    <xf numFmtId="10" fontId="4" fillId="0" borderId="13" xfId="1" applyNumberFormat="1" applyFont="1" applyFill="1" applyBorder="1" applyAlignment="1">
      <alignment horizontal="center"/>
    </xf>
    <xf numFmtId="10" fontId="4" fillId="0" borderId="19" xfId="1" applyNumberFormat="1" applyFont="1" applyFill="1" applyBorder="1" applyAlignment="1">
      <alignment horizontal="center"/>
    </xf>
    <xf numFmtId="10" fontId="4" fillId="0" borderId="14" xfId="1" applyNumberFormat="1" applyFont="1" applyFill="1" applyBorder="1" applyAlignment="1">
      <alignment horizontal="center"/>
    </xf>
    <xf numFmtId="3" fontId="10" fillId="0" borderId="0" xfId="4" applyNumberFormat="1" applyFont="1" applyFill="1" applyBorder="1"/>
    <xf numFmtId="0" fontId="14" fillId="0" borderId="0" xfId="0" applyFont="1" applyFill="1" applyBorder="1" applyAlignment="1">
      <alignment horizontal="center"/>
    </xf>
    <xf numFmtId="177" fontId="10" fillId="0" borderId="0" xfId="3" applyNumberFormat="1" applyFont="1" applyFill="1" applyBorder="1"/>
    <xf numFmtId="3" fontId="4" fillId="0" borderId="0" xfId="4" applyNumberFormat="1" applyFont="1" applyFill="1"/>
    <xf numFmtId="0" fontId="14" fillId="0" borderId="6" xfId="0" applyFont="1" applyBorder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 applyProtection="1"/>
    <xf numFmtId="0" fontId="21" fillId="0" borderId="0" xfId="0" applyFont="1"/>
    <xf numFmtId="1" fontId="20" fillId="0" borderId="0" xfId="0" applyNumberFormat="1" applyFont="1" applyProtection="1"/>
    <xf numFmtId="0" fontId="20" fillId="0" borderId="0" xfId="0" applyFont="1" applyBorder="1"/>
    <xf numFmtId="3" fontId="19" fillId="0" borderId="0" xfId="0" applyNumberFormat="1" applyFont="1"/>
    <xf numFmtId="1" fontId="21" fillId="0" borderId="0" xfId="0" applyNumberFormat="1" applyFont="1" applyBorder="1" applyAlignment="1" applyProtection="1">
      <alignment horizontal="left"/>
    </xf>
    <xf numFmtId="0" fontId="20" fillId="0" borderId="0" xfId="0" applyFont="1"/>
    <xf numFmtId="0" fontId="20" fillId="0" borderId="3" xfId="0" applyFont="1" applyBorder="1"/>
    <xf numFmtId="168" fontId="19" fillId="0" borderId="15" xfId="2" applyNumberFormat="1" applyFont="1" applyBorder="1"/>
    <xf numFmtId="168" fontId="19" fillId="0" borderId="16" xfId="2" applyNumberFormat="1" applyFont="1" applyBorder="1"/>
    <xf numFmtId="168" fontId="19" fillId="0" borderId="17" xfId="2" applyNumberFormat="1" applyFont="1" applyBorder="1"/>
    <xf numFmtId="168" fontId="19" fillId="0" borderId="5" xfId="0" applyNumberFormat="1" applyFont="1" applyBorder="1"/>
    <xf numFmtId="168" fontId="19" fillId="0" borderId="0" xfId="0" applyNumberFormat="1" applyFont="1" applyBorder="1"/>
    <xf numFmtId="168" fontId="19" fillId="0" borderId="6" xfId="0" applyNumberFormat="1" applyFont="1" applyBorder="1"/>
    <xf numFmtId="168" fontId="19" fillId="0" borderId="10" xfId="0" applyNumberFormat="1" applyFont="1" applyBorder="1"/>
    <xf numFmtId="168" fontId="19" fillId="0" borderId="11" xfId="0" applyNumberFormat="1" applyFont="1" applyBorder="1"/>
    <xf numFmtId="168" fontId="19" fillId="0" borderId="12" xfId="0" applyNumberFormat="1" applyFont="1" applyBorder="1"/>
    <xf numFmtId="168" fontId="20" fillId="0" borderId="8" xfId="0" applyNumberFormat="1" applyFont="1" applyBorder="1"/>
    <xf numFmtId="168" fontId="19" fillId="0" borderId="0" xfId="0" applyNumberFormat="1" applyFont="1"/>
    <xf numFmtId="168" fontId="20" fillId="0" borderId="0" xfId="2" applyNumberFormat="1" applyFont="1" applyBorder="1"/>
    <xf numFmtId="168" fontId="20" fillId="0" borderId="20" xfId="0" applyNumberFormat="1" applyFont="1" applyBorder="1"/>
    <xf numFmtId="168" fontId="19" fillId="0" borderId="0" xfId="6" applyNumberFormat="1" applyFont="1" applyFill="1"/>
    <xf numFmtId="170" fontId="20" fillId="0" borderId="0" xfId="2" applyNumberFormat="1" applyFont="1"/>
    <xf numFmtId="168" fontId="19" fillId="0" borderId="0" xfId="2" applyNumberFormat="1" applyFont="1"/>
    <xf numFmtId="0" fontId="22" fillId="0" borderId="0" xfId="0" applyFont="1" applyFill="1" applyAlignment="1">
      <alignment horizontal="left"/>
    </xf>
    <xf numFmtId="0" fontId="19" fillId="0" borderId="0" xfId="0" applyFont="1" applyFill="1"/>
    <xf numFmtId="168" fontId="23" fillId="0" borderId="0" xfId="0" applyNumberFormat="1" applyFont="1" applyFill="1" applyBorder="1" applyAlignment="1">
      <alignment horizontal="center"/>
    </xf>
    <xf numFmtId="169" fontId="22" fillId="0" borderId="0" xfId="6" applyNumberFormat="1" applyFont="1" applyFill="1" applyBorder="1"/>
    <xf numFmtId="0" fontId="19" fillId="0" borderId="0" xfId="0" applyFont="1" applyBorder="1"/>
    <xf numFmtId="0" fontId="20" fillId="0" borderId="0" xfId="0" applyFont="1" applyFill="1" applyBorder="1" applyAlignment="1">
      <alignment horizontal="right"/>
    </xf>
    <xf numFmtId="0" fontId="19" fillId="0" borderId="0" xfId="0" applyFont="1" applyFill="1" applyBorder="1"/>
    <xf numFmtId="168" fontId="19" fillId="0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169" fontId="20" fillId="0" borderId="0" xfId="6" applyNumberFormat="1" applyFont="1" applyFill="1" applyBorder="1"/>
    <xf numFmtId="0" fontId="21" fillId="0" borderId="0" xfId="0" applyFont="1" applyFill="1"/>
    <xf numFmtId="3" fontId="26" fillId="0" borderId="0" xfId="0" applyNumberFormat="1" applyFont="1" applyFill="1"/>
    <xf numFmtId="171" fontId="19" fillId="0" borderId="15" xfId="0" applyNumberFormat="1" applyFont="1" applyBorder="1"/>
    <xf numFmtId="171" fontId="19" fillId="0" borderId="16" xfId="0" applyNumberFormat="1" applyFont="1" applyBorder="1"/>
    <xf numFmtId="171" fontId="19" fillId="0" borderId="17" xfId="0" applyNumberFormat="1" applyFont="1" applyBorder="1"/>
    <xf numFmtId="171" fontId="19" fillId="0" borderId="5" xfId="0" applyNumberFormat="1" applyFont="1" applyBorder="1"/>
    <xf numFmtId="171" fontId="19" fillId="0" borderId="0" xfId="0" applyNumberFormat="1" applyFont="1" applyBorder="1"/>
    <xf numFmtId="171" fontId="19" fillId="0" borderId="6" xfId="0" applyNumberFormat="1" applyFont="1" applyBorder="1"/>
    <xf numFmtId="171" fontId="23" fillId="0" borderId="0" xfId="2" applyNumberFormat="1" applyFont="1" applyBorder="1"/>
    <xf numFmtId="171" fontId="23" fillId="0" borderId="6" xfId="2" applyNumberFormat="1" applyFont="1" applyBorder="1"/>
    <xf numFmtId="171" fontId="19" fillId="0" borderId="5" xfId="2" applyNumberFormat="1" applyFont="1" applyBorder="1"/>
    <xf numFmtId="171" fontId="19" fillId="0" borderId="0" xfId="2" applyNumberFormat="1" applyFont="1" applyBorder="1"/>
    <xf numFmtId="171" fontId="19" fillId="0" borderId="6" xfId="2" applyNumberFormat="1" applyFont="1" applyBorder="1"/>
    <xf numFmtId="171" fontId="19" fillId="0" borderId="10" xfId="0" applyNumberFormat="1" applyFont="1" applyBorder="1"/>
    <xf numFmtId="171" fontId="19" fillId="0" borderId="11" xfId="0" applyNumberFormat="1" applyFont="1" applyBorder="1"/>
    <xf numFmtId="171" fontId="19" fillId="0" borderId="12" xfId="0" applyNumberFormat="1" applyFont="1" applyBorder="1"/>
    <xf numFmtId="0" fontId="19" fillId="0" borderId="11" xfId="0" applyFont="1" applyBorder="1"/>
    <xf numFmtId="0" fontId="19" fillId="0" borderId="11" xfId="0" applyFont="1" applyFill="1" applyBorder="1"/>
    <xf numFmtId="0" fontId="21" fillId="0" borderId="0" xfId="0" applyFont="1" applyFill="1" applyAlignment="1">
      <alignment wrapText="1"/>
    </xf>
    <xf numFmtId="1" fontId="20" fillId="0" borderId="0" xfId="0" applyNumberFormat="1" applyFont="1" applyBorder="1" applyAlignment="1" applyProtection="1">
      <alignment horizontal="left"/>
    </xf>
    <xf numFmtId="1" fontId="20" fillId="0" borderId="3" xfId="0" applyNumberFormat="1" applyFont="1" applyBorder="1" applyAlignment="1" applyProtection="1">
      <alignment horizontal="center"/>
    </xf>
    <xf numFmtId="1" fontId="20" fillId="0" borderId="0" xfId="0" applyNumberFormat="1" applyFont="1" applyBorder="1" applyAlignment="1" applyProtection="1">
      <alignment horizontal="center"/>
    </xf>
    <xf numFmtId="1" fontId="20" fillId="0" borderId="0" xfId="0" applyNumberFormat="1" applyFont="1" applyFill="1" applyBorder="1" applyAlignment="1" applyProtection="1">
      <alignment horizontal="center"/>
    </xf>
    <xf numFmtId="0" fontId="19" fillId="0" borderId="0" xfId="0" applyFont="1" applyProtection="1"/>
    <xf numFmtId="4" fontId="27" fillId="0" borderId="0" xfId="0" applyNumberFormat="1" applyFont="1" applyFill="1" applyBorder="1" applyAlignment="1" applyProtection="1">
      <alignment horizontal="center"/>
    </xf>
    <xf numFmtId="172" fontId="19" fillId="0" borderId="0" xfId="0" applyNumberFormat="1" applyFont="1" applyFill="1" applyBorder="1"/>
    <xf numFmtId="172" fontId="19" fillId="0" borderId="0" xfId="0" applyNumberFormat="1" applyFont="1" applyFill="1"/>
    <xf numFmtId="4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Fill="1" applyProtection="1"/>
    <xf numFmtId="4" fontId="19" fillId="0" borderId="0" xfId="0" applyNumberFormat="1" applyFont="1" applyBorder="1"/>
    <xf numFmtId="4" fontId="20" fillId="0" borderId="8" xfId="0" applyNumberFormat="1" applyFont="1" applyFill="1" applyBorder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/>
    </xf>
    <xf numFmtId="0" fontId="28" fillId="0" borderId="0" xfId="0" applyFont="1" applyFill="1" applyBorder="1" applyProtection="1"/>
    <xf numFmtId="0" fontId="28" fillId="0" borderId="0" xfId="0" applyFont="1" applyFill="1" applyBorder="1"/>
    <xf numFmtId="4" fontId="28" fillId="0" borderId="0" xfId="0" applyNumberFormat="1" applyFont="1" applyFill="1" applyBorder="1" applyAlignment="1" applyProtection="1">
      <alignment horizontal="center"/>
    </xf>
    <xf numFmtId="4" fontId="19" fillId="0" borderId="11" xfId="0" applyNumberFormat="1" applyFont="1" applyFill="1" applyBorder="1" applyAlignment="1" applyProtection="1">
      <alignment horizontal="center"/>
    </xf>
    <xf numFmtId="0" fontId="20" fillId="0" borderId="0" xfId="0" applyFont="1" applyFill="1"/>
    <xf numFmtId="0" fontId="20" fillId="0" borderId="16" xfId="5" applyFont="1" applyFill="1" applyBorder="1" applyAlignment="1">
      <alignment horizontal="right"/>
    </xf>
    <xf numFmtId="0" fontId="20" fillId="0" borderId="3" xfId="5" applyFont="1" applyFill="1" applyBorder="1" applyAlignment="1">
      <alignment horizontal="right"/>
    </xf>
    <xf numFmtId="0" fontId="20" fillId="0" borderId="0" xfId="5" applyFont="1" applyFill="1" applyBorder="1" applyAlignment="1">
      <alignment horizontal="right"/>
    </xf>
    <xf numFmtId="10" fontId="19" fillId="0" borderId="0" xfId="0" applyNumberFormat="1" applyFont="1" applyFill="1" applyBorder="1"/>
    <xf numFmtId="9" fontId="19" fillId="0" borderId="0" xfId="0" applyNumberFormat="1" applyFont="1" applyFill="1" applyBorder="1"/>
    <xf numFmtId="9" fontId="19" fillId="0" borderId="0" xfId="6" applyFont="1" applyFill="1" applyBorder="1"/>
    <xf numFmtId="173" fontId="19" fillId="0" borderId="0" xfId="0" applyNumberFormat="1" applyFont="1" applyFill="1" applyBorder="1"/>
    <xf numFmtId="173" fontId="19" fillId="0" borderId="0" xfId="2" applyNumberFormat="1" applyFont="1" applyFill="1" applyBorder="1"/>
    <xf numFmtId="167" fontId="19" fillId="0" borderId="11" xfId="2" applyFont="1" applyFill="1" applyBorder="1"/>
    <xf numFmtId="167" fontId="19" fillId="0" borderId="0" xfId="2" applyFont="1" applyFill="1" applyBorder="1"/>
    <xf numFmtId="167" fontId="19" fillId="0" borderId="0" xfId="2" applyFont="1" applyFill="1"/>
    <xf numFmtId="10" fontId="19" fillId="0" borderId="19" xfId="6" applyNumberFormat="1" applyFont="1" applyFill="1" applyBorder="1"/>
    <xf numFmtId="173" fontId="19" fillId="0" borderId="16" xfId="2" applyNumberFormat="1" applyFont="1" applyFill="1" applyBorder="1"/>
    <xf numFmtId="173" fontId="19" fillId="0" borderId="11" xfId="2" applyNumberFormat="1" applyFont="1" applyFill="1" applyBorder="1"/>
    <xf numFmtId="173" fontId="20" fillId="0" borderId="3" xfId="2" applyNumberFormat="1" applyFont="1" applyFill="1" applyBorder="1"/>
    <xf numFmtId="173" fontId="20" fillId="0" borderId="0" xfId="2" applyNumberFormat="1" applyFont="1" applyFill="1" applyBorder="1"/>
    <xf numFmtId="169" fontId="20" fillId="0" borderId="3" xfId="6" applyNumberFormat="1" applyFont="1" applyFill="1" applyBorder="1"/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3" fontId="19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/>
    <xf numFmtId="3" fontId="28" fillId="0" borderId="0" xfId="0" applyNumberFormat="1" applyFont="1" applyFill="1" applyBorder="1"/>
    <xf numFmtId="0" fontId="29" fillId="0" borderId="0" xfId="0" applyFont="1"/>
    <xf numFmtId="3" fontId="19" fillId="0" borderId="3" xfId="0" applyNumberFormat="1" applyFont="1" applyFill="1" applyBorder="1"/>
    <xf numFmtId="3" fontId="26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9" fontId="19" fillId="0" borderId="0" xfId="6" applyFont="1"/>
    <xf numFmtId="0" fontId="0" fillId="0" borderId="0" xfId="0" applyFill="1"/>
    <xf numFmtId="0" fontId="29" fillId="0" borderId="0" xfId="0" applyFont="1" applyBorder="1"/>
    <xf numFmtId="0" fontId="20" fillId="0" borderId="11" xfId="0" applyFont="1" applyBorder="1"/>
    <xf numFmtId="3" fontId="22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0" fontId="21" fillId="0" borderId="0" xfId="0" applyFont="1" applyAlignment="1">
      <alignment wrapText="1"/>
    </xf>
    <xf numFmtId="3" fontId="19" fillId="0" borderId="3" xfId="0" applyNumberFormat="1" applyFont="1" applyBorder="1"/>
    <xf numFmtId="0" fontId="28" fillId="0" borderId="0" xfId="0" applyFont="1"/>
    <xf numFmtId="1" fontId="20" fillId="0" borderId="3" xfId="0" applyNumberFormat="1" applyFont="1" applyBorder="1" applyAlignment="1" applyProtection="1">
      <alignment horizontal="right"/>
    </xf>
    <xf numFmtId="1" fontId="20" fillId="0" borderId="0" xfId="0" applyNumberFormat="1" applyFont="1" applyFill="1" applyBorder="1" applyAlignment="1" applyProtection="1">
      <alignment horizontal="right"/>
    </xf>
    <xf numFmtId="174" fontId="19" fillId="0" borderId="0" xfId="0" applyNumberFormat="1" applyFont="1" applyFill="1" applyBorder="1" applyAlignment="1">
      <alignment horizontal="left"/>
    </xf>
    <xf numFmtId="175" fontId="19" fillId="0" borderId="0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Protection="1"/>
    <xf numFmtId="0" fontId="21" fillId="0" borderId="0" xfId="0" applyFont="1" applyFill="1" applyProtection="1"/>
    <xf numFmtId="1" fontId="20" fillId="0" borderId="3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9" fillId="0" borderId="0" xfId="0" applyNumberFormat="1" applyFont="1" applyFill="1" applyAlignment="1" applyProtection="1">
      <alignment horizontal="center"/>
    </xf>
    <xf numFmtId="3" fontId="19" fillId="0" borderId="0" xfId="0" applyNumberFormat="1" applyFont="1" applyFill="1" applyProtection="1"/>
    <xf numFmtId="2" fontId="19" fillId="0" borderId="0" xfId="0" applyNumberFormat="1" applyFont="1" applyFill="1" applyBorder="1" applyProtection="1"/>
    <xf numFmtId="4" fontId="19" fillId="0" borderId="0" xfId="0" applyNumberFormat="1" applyFont="1" applyFill="1" applyProtection="1"/>
    <xf numFmtId="3" fontId="19" fillId="0" borderId="3" xfId="0" applyNumberFormat="1" applyFont="1" applyFill="1" applyBorder="1" applyProtection="1"/>
    <xf numFmtId="0" fontId="30" fillId="0" borderId="0" xfId="0" applyFont="1" applyAlignment="1">
      <alignment horizontal="center" wrapText="1"/>
    </xf>
    <xf numFmtId="0" fontId="0" fillId="0" borderId="0" xfId="0" applyAlignment="1">
      <alignment wrapText="1"/>
    </xf>
    <xf numFmtId="10" fontId="19" fillId="0" borderId="0" xfId="0" applyNumberFormat="1" applyFont="1" applyFill="1"/>
    <xf numFmtId="0" fontId="31" fillId="0" borderId="0" xfId="0" applyFont="1" applyFill="1"/>
    <xf numFmtId="0" fontId="31" fillId="0" borderId="0" xfId="0" applyFont="1"/>
    <xf numFmtId="9" fontId="19" fillId="0" borderId="0" xfId="6" applyFont="1" applyFill="1"/>
    <xf numFmtId="0" fontId="29" fillId="0" borderId="0" xfId="0" applyFont="1" applyFill="1" applyBorder="1"/>
    <xf numFmtId="4" fontId="19" fillId="0" borderId="0" xfId="0" applyNumberFormat="1" applyFont="1" applyProtection="1"/>
    <xf numFmtId="4" fontId="19" fillId="0" borderId="0" xfId="0" applyNumberFormat="1" applyFont="1" applyFill="1" applyBorder="1" applyProtection="1"/>
    <xf numFmtId="0" fontId="21" fillId="0" borderId="0" xfId="0" applyFont="1" applyFill="1" applyBorder="1"/>
    <xf numFmtId="0" fontId="26" fillId="0" borderId="0" xfId="0" applyFont="1" applyFill="1"/>
    <xf numFmtId="3" fontId="26" fillId="0" borderId="0" xfId="0" applyNumberFormat="1" applyFont="1" applyFill="1" applyAlignment="1">
      <alignment horizontal="center"/>
    </xf>
    <xf numFmtId="3" fontId="28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0" fontId="5" fillId="0" borderId="3" xfId="0" applyFont="1" applyFill="1" applyBorder="1"/>
    <xf numFmtId="0" fontId="5" fillId="0" borderId="0" xfId="0" applyFont="1" applyFill="1" applyBorder="1"/>
    <xf numFmtId="0" fontId="5" fillId="0" borderId="0" xfId="0" applyFont="1"/>
    <xf numFmtId="0" fontId="32" fillId="0" borderId="0" xfId="0" applyFont="1" applyFill="1"/>
    <xf numFmtId="0" fontId="12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3" fillId="0" borderId="0" xfId="0" applyFon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32" fillId="0" borderId="0" xfId="0" applyNumberFormat="1" applyFont="1" applyFill="1" applyBorder="1"/>
    <xf numFmtId="3" fontId="34" fillId="0" borderId="0" xfId="0" applyNumberFormat="1" applyFont="1" applyFill="1" applyBorder="1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3" fontId="0" fillId="0" borderId="3" xfId="0" applyNumberFormat="1" applyBorder="1"/>
    <xf numFmtId="0" fontId="0" fillId="0" borderId="11" xfId="0" applyBorder="1"/>
    <xf numFmtId="0" fontId="18" fillId="0" borderId="0" xfId="0" applyFont="1" applyBorder="1" applyAlignment="1">
      <alignment horizontal="right"/>
    </xf>
    <xf numFmtId="166" fontId="4" fillId="0" borderId="0" xfId="3" applyFont="1" applyFill="1"/>
    <xf numFmtId="4" fontId="0" fillId="0" borderId="0" xfId="0" applyNumberFormat="1" applyFill="1"/>
    <xf numFmtId="3" fontId="0" fillId="0" borderId="0" xfId="0" applyNumberFormat="1" applyFill="1"/>
    <xf numFmtId="3" fontId="36" fillId="0" borderId="0" xfId="0" applyNumberFormat="1" applyFont="1" applyFill="1" applyBorder="1"/>
    <xf numFmtId="3" fontId="0" fillId="0" borderId="0" xfId="0" applyNumberFormat="1"/>
    <xf numFmtId="3" fontId="9" fillId="0" borderId="0" xfId="0" applyNumberFormat="1" applyFont="1" applyFill="1" applyBorder="1"/>
    <xf numFmtId="166" fontId="4" fillId="0" borderId="0" xfId="3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4" fontId="19" fillId="0" borderId="0" xfId="0" applyNumberFormat="1" applyFont="1" applyFill="1" applyBorder="1"/>
    <xf numFmtId="176" fontId="0" fillId="0" borderId="0" xfId="0" applyNumberFormat="1"/>
    <xf numFmtId="176" fontId="0" fillId="0" borderId="3" xfId="0" applyNumberFormat="1" applyBorder="1"/>
    <xf numFmtId="176" fontId="0" fillId="0" borderId="8" xfId="0" applyNumberFormat="1" applyBorder="1"/>
    <xf numFmtId="4" fontId="9" fillId="0" borderId="0" xfId="0" applyNumberFormat="1" applyFont="1"/>
    <xf numFmtId="10" fontId="20" fillId="3" borderId="0" xfId="0" applyNumberFormat="1" applyFont="1" applyFill="1"/>
    <xf numFmtId="0" fontId="20" fillId="3" borderId="0" xfId="0" applyFont="1" applyFill="1"/>
    <xf numFmtId="10" fontId="19" fillId="3" borderId="16" xfId="0" applyNumberFormat="1" applyFont="1" applyFill="1" applyBorder="1"/>
    <xf numFmtId="9" fontId="19" fillId="3" borderId="0" xfId="0" applyNumberFormat="1" applyFont="1" applyFill="1" applyBorder="1"/>
    <xf numFmtId="10" fontId="19" fillId="3" borderId="13" xfId="0" applyNumberFormat="1" applyFont="1" applyFill="1" applyBorder="1"/>
    <xf numFmtId="10" fontId="19" fillId="3" borderId="19" xfId="0" applyNumberFormat="1" applyFont="1" applyFill="1" applyBorder="1"/>
    <xf numFmtId="167" fontId="19" fillId="3" borderId="14" xfId="0" applyNumberFormat="1" applyFont="1" applyFill="1" applyBorder="1"/>
    <xf numFmtId="10" fontId="19" fillId="3" borderId="14" xfId="0" applyNumberFormat="1" applyFont="1" applyFill="1" applyBorder="1"/>
    <xf numFmtId="0" fontId="5" fillId="0" borderId="0" xfId="1" applyFont="1" applyBorder="1" applyAlignment="1">
      <alignment horizontal="right"/>
    </xf>
    <xf numFmtId="0" fontId="5" fillId="0" borderId="13" xfId="1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10" fontId="10" fillId="3" borderId="19" xfId="1" applyNumberFormat="1" applyFont="1" applyFill="1" applyBorder="1" applyAlignment="1">
      <alignment horizontal="center"/>
    </xf>
    <xf numFmtId="169" fontId="10" fillId="3" borderId="0" xfId="6" applyNumberFormat="1" applyFont="1" applyFill="1" applyBorder="1" applyAlignment="1">
      <alignment horizontal="center"/>
    </xf>
    <xf numFmtId="10" fontId="4" fillId="0" borderId="19" xfId="6" applyNumberFormat="1" applyFont="1" applyBorder="1" applyAlignment="1" applyProtection="1">
      <alignment horizontal="center"/>
    </xf>
    <xf numFmtId="17" fontId="4" fillId="0" borderId="13" xfId="1" applyNumberFormat="1" applyFont="1" applyBorder="1" applyAlignment="1">
      <alignment horizontal="center"/>
    </xf>
    <xf numFmtId="17" fontId="4" fillId="0" borderId="19" xfId="1" applyNumberFormat="1" applyFont="1" applyBorder="1" applyAlignment="1">
      <alignment horizontal="center"/>
    </xf>
    <xf numFmtId="10" fontId="5" fillId="0" borderId="0" xfId="6" applyNumberFormat="1" applyFont="1" applyAlignment="1">
      <alignment horizontal="center"/>
    </xf>
    <xf numFmtId="175" fontId="4" fillId="0" borderId="19" xfId="4" applyNumberFormat="1" applyFont="1" applyFill="1" applyBorder="1" applyAlignment="1">
      <alignment horizontal="center"/>
    </xf>
    <xf numFmtId="175" fontId="10" fillId="3" borderId="19" xfId="4" applyNumberFormat="1" applyFont="1" applyFill="1" applyBorder="1" applyAlignment="1">
      <alignment horizontal="center"/>
    </xf>
    <xf numFmtId="0" fontId="4" fillId="0" borderId="1" xfId="4" applyFont="1" applyFill="1" applyBorder="1"/>
    <xf numFmtId="167" fontId="4" fillId="0" borderId="0" xfId="2" applyFont="1" applyFill="1"/>
    <xf numFmtId="0" fontId="9" fillId="0" borderId="0" xfId="4" applyFont="1" applyFill="1" applyBorder="1"/>
    <xf numFmtId="3" fontId="5" fillId="0" borderId="14" xfId="1" applyNumberFormat="1" applyFont="1" applyBorder="1" applyAlignment="1">
      <alignment horizontal="center"/>
    </xf>
    <xf numFmtId="10" fontId="4" fillId="0" borderId="13" xfId="4" applyNumberFormat="1" applyFont="1" applyFill="1" applyBorder="1" applyAlignment="1">
      <alignment horizontal="center"/>
    </xf>
    <xf numFmtId="10" fontId="4" fillId="0" borderId="19" xfId="6" applyNumberFormat="1" applyFont="1" applyFill="1" applyBorder="1" applyAlignment="1">
      <alignment horizontal="center"/>
    </xf>
    <xf numFmtId="10" fontId="4" fillId="0" borderId="14" xfId="6" applyNumberFormat="1" applyFont="1" applyFill="1" applyBorder="1" applyAlignment="1">
      <alignment horizontal="center"/>
    </xf>
    <xf numFmtId="3" fontId="4" fillId="0" borderId="5" xfId="4" applyNumberFormat="1" applyFont="1" applyFill="1" applyBorder="1"/>
    <xf numFmtId="3" fontId="4" fillId="0" borderId="6" xfId="4" applyNumberFormat="1" applyFont="1" applyFill="1" applyBorder="1"/>
    <xf numFmtId="3" fontId="4" fillId="0" borderId="7" xfId="3" applyNumberFormat="1" applyFont="1" applyFill="1" applyBorder="1"/>
    <xf numFmtId="3" fontId="4" fillId="0" borderId="9" xfId="3" applyNumberFormat="1" applyFont="1" applyFill="1" applyBorder="1"/>
    <xf numFmtId="3" fontId="4" fillId="0" borderId="5" xfId="3" applyNumberFormat="1" applyFont="1" applyFill="1" applyBorder="1"/>
    <xf numFmtId="3" fontId="4" fillId="0" borderId="6" xfId="3" applyNumberFormat="1" applyFont="1" applyFill="1" applyBorder="1"/>
    <xf numFmtId="0" fontId="5" fillId="0" borderId="13" xfId="4" quotePrefix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177" fontId="10" fillId="2" borderId="6" xfId="3" applyNumberFormat="1" applyFont="1" applyFill="1" applyBorder="1" applyAlignment="1"/>
    <xf numFmtId="0" fontId="4" fillId="0" borderId="0" xfId="4" applyFont="1" applyBorder="1" applyAlignment="1"/>
    <xf numFmtId="0" fontId="0" fillId="0" borderId="6" xfId="0" applyBorder="1" applyAlignment="1"/>
    <xf numFmtId="177" fontId="10" fillId="2" borderId="12" xfId="3" applyNumberFormat="1" applyFont="1" applyFill="1" applyBorder="1" applyAlignment="1"/>
    <xf numFmtId="177" fontId="4" fillId="0" borderId="0" xfId="3" applyNumberFormat="1" applyFont="1" applyFill="1" applyBorder="1" applyAlignment="1"/>
    <xf numFmtId="0" fontId="4" fillId="0" borderId="0" xfId="1" applyFont="1" applyBorder="1" applyAlignment="1"/>
    <xf numFmtId="0" fontId="14" fillId="0" borderId="5" xfId="0" applyFont="1" applyBorder="1" applyAlignment="1">
      <alignment horizontal="left"/>
    </xf>
    <xf numFmtId="0" fontId="6" fillId="0" borderId="0" xfId="0" applyFont="1"/>
    <xf numFmtId="0" fontId="5" fillId="0" borderId="0" xfId="0" applyFont="1" applyProtection="1"/>
    <xf numFmtId="0" fontId="12" fillId="0" borderId="0" xfId="0" applyFont="1"/>
    <xf numFmtId="1" fontId="5" fillId="0" borderId="0" xfId="0" applyNumberFormat="1" applyFont="1" applyProtection="1"/>
    <xf numFmtId="0" fontId="5" fillId="0" borderId="0" xfId="0" applyFont="1" applyBorder="1"/>
    <xf numFmtId="3" fontId="4" fillId="0" borderId="0" xfId="0" applyNumberFormat="1" applyFont="1"/>
    <xf numFmtId="0" fontId="5" fillId="0" borderId="3" xfId="0" applyFont="1" applyBorder="1"/>
    <xf numFmtId="168" fontId="4" fillId="0" borderId="0" xfId="0" applyNumberFormat="1" applyFont="1" applyBorder="1"/>
    <xf numFmtId="3" fontId="9" fillId="0" borderId="0" xfId="0" applyNumberFormat="1" applyFont="1" applyFill="1"/>
    <xf numFmtId="171" fontId="4" fillId="0" borderId="0" xfId="0" applyNumberFormat="1" applyFont="1" applyBorder="1"/>
    <xf numFmtId="171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Fill="1" applyBorder="1"/>
    <xf numFmtId="0" fontId="12" fillId="0" borderId="0" xfId="0" applyFont="1" applyFill="1" applyAlignment="1">
      <alignment wrapText="1"/>
    </xf>
    <xf numFmtId="0" fontId="4" fillId="0" borderId="0" xfId="0" applyFont="1" applyBorder="1"/>
    <xf numFmtId="1" fontId="5" fillId="0" borderId="0" xfId="0" applyNumberFormat="1" applyFont="1" applyBorder="1" applyAlignment="1" applyProtection="1">
      <alignment horizontal="left"/>
    </xf>
    <xf numFmtId="1" fontId="5" fillId="0" borderId="0" xfId="0" applyNumberFormat="1" applyFont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4" fontId="39" fillId="0" borderId="0" xfId="0" applyNumberFormat="1" applyFont="1" applyFill="1" applyBorder="1" applyAlignment="1" applyProtection="1">
      <alignment horizontal="center"/>
    </xf>
    <xf numFmtId="172" fontId="4" fillId="0" borderId="0" xfId="0" applyNumberFormat="1" applyFont="1" applyFill="1" applyBorder="1"/>
    <xf numFmtId="172" fontId="4" fillId="0" borderId="0" xfId="0" applyNumberFormat="1" applyFont="1" applyFill="1"/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4" fontId="4" fillId="0" borderId="0" xfId="0" applyNumberFormat="1" applyFont="1" applyBorder="1"/>
    <xf numFmtId="4" fontId="4" fillId="0" borderId="0" xfId="0" applyNumberFormat="1" applyFont="1" applyBorder="1" applyAlignment="1" applyProtection="1">
      <alignment horizontal="center"/>
    </xf>
    <xf numFmtId="0" fontId="36" fillId="0" borderId="0" xfId="0" applyFont="1" applyFill="1" applyBorder="1" applyProtection="1"/>
    <xf numFmtId="0" fontId="36" fillId="0" borderId="0" xfId="0" applyFont="1" applyFill="1" applyBorder="1"/>
    <xf numFmtId="4" fontId="36" fillId="0" borderId="0" xfId="0" applyNumberFormat="1" applyFont="1" applyFill="1" applyBorder="1" applyAlignment="1" applyProtection="1">
      <alignment horizontal="center"/>
    </xf>
    <xf numFmtId="4" fontId="4" fillId="0" borderId="11" xfId="0" applyNumberFormat="1" applyFont="1" applyFill="1" applyBorder="1" applyAlignment="1" applyProtection="1">
      <alignment horizontal="center"/>
    </xf>
    <xf numFmtId="0" fontId="5" fillId="0" borderId="3" xfId="5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10" fontId="4" fillId="0" borderId="0" xfId="0" applyNumberFormat="1" applyFont="1" applyFill="1" applyBorder="1"/>
    <xf numFmtId="173" fontId="4" fillId="0" borderId="0" xfId="0" applyNumberFormat="1" applyFont="1" applyFill="1" applyBorder="1"/>
    <xf numFmtId="173" fontId="4" fillId="0" borderId="0" xfId="2" applyNumberFormat="1" applyFont="1" applyFill="1" applyBorder="1"/>
    <xf numFmtId="167" fontId="4" fillId="0" borderId="11" xfId="2" applyFont="1" applyFill="1" applyBorder="1"/>
    <xf numFmtId="167" fontId="4" fillId="0" borderId="0" xfId="2" applyFont="1" applyFill="1" applyBorder="1"/>
    <xf numFmtId="173" fontId="5" fillId="0" borderId="0" xfId="2" applyNumberFormat="1" applyFont="1" applyFill="1" applyBorder="1"/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38" fillId="0" borderId="0" xfId="0" applyNumberFormat="1" applyFont="1" applyFill="1" applyBorder="1"/>
    <xf numFmtId="0" fontId="5" fillId="0" borderId="11" xfId="0" applyFont="1" applyBorder="1"/>
    <xf numFmtId="3" fontId="38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0" fontId="12" fillId="0" borderId="0" xfId="0" applyFont="1" applyAlignment="1">
      <alignment wrapText="1"/>
    </xf>
    <xf numFmtId="3" fontId="4" fillId="0" borderId="3" xfId="0" applyNumberFormat="1" applyFont="1" applyBorder="1"/>
    <xf numFmtId="0" fontId="36" fillId="0" borderId="0" xfId="0" applyFont="1"/>
    <xf numFmtId="1" fontId="5" fillId="0" borderId="3" xfId="0" applyNumberFormat="1" applyFont="1" applyBorder="1" applyAlignment="1" applyProtection="1">
      <alignment horizontal="right"/>
    </xf>
    <xf numFmtId="1" fontId="5" fillId="0" borderId="0" xfId="0" applyNumberFormat="1" applyFont="1" applyFill="1" applyBorder="1" applyAlignment="1" applyProtection="1">
      <alignment horizontal="right"/>
    </xf>
    <xf numFmtId="174" fontId="4" fillId="0" borderId="0" xfId="0" applyNumberFormat="1" applyFont="1" applyFill="1" applyBorder="1" applyAlignment="1">
      <alignment horizontal="left"/>
    </xf>
    <xf numFmtId="175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Protection="1"/>
    <xf numFmtId="0" fontId="12" fillId="0" borderId="0" xfId="0" applyFont="1" applyFill="1" applyProtection="1"/>
    <xf numFmtId="1" fontId="5" fillId="0" borderId="3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Protection="1"/>
    <xf numFmtId="1" fontId="4" fillId="0" borderId="0" xfId="0" applyNumberFormat="1" applyFont="1" applyFill="1" applyAlignment="1" applyProtection="1">
      <alignment horizontal="center"/>
    </xf>
    <xf numFmtId="3" fontId="4" fillId="0" borderId="0" xfId="0" applyNumberFormat="1" applyFont="1" applyFill="1" applyProtection="1"/>
    <xf numFmtId="2" fontId="4" fillId="0" borderId="0" xfId="0" applyNumberFormat="1" applyFont="1" applyFill="1" applyBorder="1" applyProtection="1"/>
    <xf numFmtId="4" fontId="4" fillId="0" borderId="0" xfId="0" applyNumberFormat="1" applyFont="1" applyFill="1" applyProtection="1"/>
    <xf numFmtId="3" fontId="4" fillId="0" borderId="3" xfId="0" applyNumberFormat="1" applyFont="1" applyFill="1" applyBorder="1" applyProtection="1"/>
    <xf numFmtId="0" fontId="4" fillId="0" borderId="0" xfId="0" applyFont="1" applyAlignment="1">
      <alignment wrapText="1"/>
    </xf>
    <xf numFmtId="10" fontId="4" fillId="0" borderId="0" xfId="0" applyNumberFormat="1" applyFont="1" applyFill="1"/>
    <xf numFmtId="0" fontId="9" fillId="0" borderId="0" xfId="0" applyFont="1" applyFill="1"/>
    <xf numFmtId="3" fontId="9" fillId="0" borderId="0" xfId="0" applyNumberFormat="1" applyFont="1" applyFill="1" applyAlignment="1">
      <alignment horizontal="center"/>
    </xf>
    <xf numFmtId="3" fontId="36" fillId="0" borderId="0" xfId="0" applyNumberFormat="1" applyFont="1"/>
    <xf numFmtId="0" fontId="38" fillId="0" borderId="0" xfId="0" applyFont="1" applyBorder="1"/>
    <xf numFmtId="175" fontId="4" fillId="0" borderId="0" xfId="0" applyNumberFormat="1" applyFont="1" applyFill="1" applyAlignment="1" applyProtection="1">
      <alignment horizontal="right"/>
    </xf>
    <xf numFmtId="10" fontId="4" fillId="0" borderId="13" xfId="0" applyNumberFormat="1" applyFont="1" applyFill="1" applyBorder="1"/>
    <xf numFmtId="10" fontId="4" fillId="0" borderId="19" xfId="0" applyNumberFormat="1" applyFont="1" applyFill="1" applyBorder="1"/>
    <xf numFmtId="10" fontId="4" fillId="0" borderId="14" xfId="0" applyNumberFormat="1" applyFont="1" applyFill="1" applyBorder="1"/>
    <xf numFmtId="0" fontId="4" fillId="0" borderId="0" xfId="0" applyFont="1" applyAlignment="1">
      <alignment horizontal="center" wrapText="1"/>
    </xf>
    <xf numFmtId="167" fontId="4" fillId="0" borderId="14" xfId="0" applyNumberFormat="1" applyFont="1" applyFill="1" applyBorder="1"/>
    <xf numFmtId="9" fontId="4" fillId="0" borderId="13" xfId="0" applyNumberFormat="1" applyFont="1" applyFill="1" applyBorder="1"/>
    <xf numFmtId="9" fontId="4" fillId="0" borderId="19" xfId="0" applyNumberFormat="1" applyFont="1" applyFill="1" applyBorder="1"/>
    <xf numFmtId="3" fontId="5" fillId="0" borderId="3" xfId="0" applyNumberFormat="1" applyFont="1" applyFill="1" applyBorder="1"/>
    <xf numFmtId="3" fontId="4" fillId="0" borderId="8" xfId="0" applyNumberFormat="1" applyFont="1" applyFill="1" applyBorder="1"/>
    <xf numFmtId="3" fontId="5" fillId="0" borderId="8" xfId="0" applyNumberFormat="1" applyFont="1" applyFill="1" applyBorder="1"/>
    <xf numFmtId="10" fontId="4" fillId="0" borderId="0" xfId="6" applyNumberFormat="1" applyFont="1"/>
    <xf numFmtId="1" fontId="4" fillId="0" borderId="0" xfId="0" applyNumberFormat="1" applyFont="1" applyProtection="1"/>
    <xf numFmtId="1" fontId="4" fillId="0" borderId="0" xfId="0" quotePrefix="1" applyNumberFormat="1" applyFont="1" applyProtection="1"/>
    <xf numFmtId="0" fontId="4" fillId="0" borderId="0" xfId="0" applyFont="1" applyFill="1" applyAlignment="1">
      <alignment wrapText="1"/>
    </xf>
    <xf numFmtId="10" fontId="4" fillId="0" borderId="0" xfId="6" applyNumberFormat="1" applyFont="1" applyFill="1" applyBorder="1"/>
    <xf numFmtId="4" fontId="4" fillId="0" borderId="0" xfId="0" applyNumberFormat="1" applyFont="1"/>
    <xf numFmtId="4" fontId="10" fillId="0" borderId="0" xfId="0" applyNumberFormat="1" applyFont="1"/>
    <xf numFmtId="10" fontId="4" fillId="0" borderId="0" xfId="6" applyNumberFormat="1" applyFont="1" applyFill="1"/>
    <xf numFmtId="3" fontId="5" fillId="0" borderId="8" xfId="0" applyNumberFormat="1" applyFont="1" applyBorder="1"/>
    <xf numFmtId="1" fontId="5" fillId="0" borderId="8" xfId="0" applyNumberFormat="1" applyFont="1" applyBorder="1" applyProtection="1"/>
    <xf numFmtId="0" fontId="5" fillId="0" borderId="8" xfId="0" applyFont="1" applyBorder="1"/>
    <xf numFmtId="3" fontId="4" fillId="0" borderId="8" xfId="0" applyNumberFormat="1" applyFont="1" applyBorder="1"/>
    <xf numFmtId="0" fontId="12" fillId="0" borderId="0" xfId="1" applyFont="1" applyFill="1"/>
    <xf numFmtId="10" fontId="4" fillId="0" borderId="13" xfId="6" applyNumberFormat="1" applyFont="1" applyFill="1" applyBorder="1" applyProtection="1">
      <protection locked="0"/>
    </xf>
    <xf numFmtId="10" fontId="4" fillId="0" borderId="19" xfId="6" applyNumberFormat="1" applyFont="1" applyFill="1" applyBorder="1" applyProtection="1">
      <protection locked="0"/>
    </xf>
    <xf numFmtId="167" fontId="4" fillId="0" borderId="19" xfId="2" applyFont="1" applyFill="1" applyBorder="1" applyProtection="1">
      <protection locked="0"/>
    </xf>
    <xf numFmtId="9" fontId="4" fillId="0" borderId="19" xfId="6" applyFont="1" applyFill="1" applyBorder="1" applyProtection="1">
      <protection locked="0"/>
    </xf>
    <xf numFmtId="10" fontId="4" fillId="0" borderId="14" xfId="6" applyNumberFormat="1" applyFont="1" applyFill="1" applyBorder="1" applyProtection="1">
      <protection locked="0"/>
    </xf>
    <xf numFmtId="10" fontId="4" fillId="0" borderId="13" xfId="6" applyNumberFormat="1" applyFont="1" applyBorder="1"/>
    <xf numFmtId="10" fontId="4" fillId="0" borderId="19" xfId="6" applyNumberFormat="1" applyFont="1" applyBorder="1" applyProtection="1"/>
    <xf numFmtId="10" fontId="4" fillId="0" borderId="19" xfId="1" applyNumberFormat="1" applyFont="1" applyBorder="1"/>
    <xf numFmtId="10" fontId="4" fillId="0" borderId="14" xfId="6" applyNumberFormat="1" applyFont="1" applyBorder="1"/>
    <xf numFmtId="0" fontId="12" fillId="0" borderId="1" xfId="4" applyFont="1" applyFill="1" applyBorder="1"/>
    <xf numFmtId="0" fontId="12" fillId="0" borderId="0" xfId="1" applyFont="1" applyFill="1" applyBorder="1" applyAlignment="1">
      <alignment wrapText="1"/>
    </xf>
    <xf numFmtId="0" fontId="14" fillId="0" borderId="0" xfId="1" applyFont="1" applyFill="1" applyBorder="1" applyAlignment="1">
      <alignment wrapText="1"/>
    </xf>
    <xf numFmtId="0" fontId="8" fillId="0" borderId="0" xfId="4" applyFont="1" applyFill="1" applyBorder="1"/>
    <xf numFmtId="0" fontId="13" fillId="0" borderId="0" xfId="4" applyFont="1" applyFill="1" applyBorder="1"/>
    <xf numFmtId="0" fontId="11" fillId="0" borderId="0" xfId="1" applyFont="1" applyFill="1" applyProtection="1"/>
    <xf numFmtId="0" fontId="14" fillId="0" borderId="0" xfId="1" applyFont="1" applyFill="1"/>
    <xf numFmtId="0" fontId="12" fillId="0" borderId="0" xfId="1" applyFont="1" applyFill="1" applyBorder="1"/>
    <xf numFmtId="0" fontId="4" fillId="0" borderId="18" xfId="1" applyFont="1" applyFill="1" applyBorder="1"/>
    <xf numFmtId="0" fontId="5" fillId="0" borderId="0" xfId="1" applyFont="1" applyFill="1"/>
    <xf numFmtId="0" fontId="9" fillId="0" borderId="0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5" fillId="0" borderId="0" xfId="1" applyFont="1" applyBorder="1"/>
    <xf numFmtId="0" fontId="4" fillId="0" borderId="0" xfId="1" applyFont="1" applyProtection="1"/>
    <xf numFmtId="0" fontId="4" fillId="0" borderId="0" xfId="1" applyFont="1" applyBorder="1" applyProtection="1"/>
    <xf numFmtId="169" fontId="4" fillId="0" borderId="0" xfId="6" applyNumberFormat="1" applyFont="1" applyProtection="1"/>
    <xf numFmtId="0" fontId="11" fillId="0" borderId="0" xfId="1" applyFont="1" applyBorder="1"/>
    <xf numFmtId="0" fontId="4" fillId="0" borderId="0" xfId="1" applyFont="1" applyFill="1" applyProtection="1"/>
    <xf numFmtId="170" fontId="4" fillId="0" borderId="0" xfId="1" applyNumberFormat="1" applyFont="1"/>
    <xf numFmtId="185" fontId="4" fillId="0" borderId="0" xfId="1" applyNumberFormat="1" applyFont="1" applyFill="1" applyBorder="1" applyAlignment="1">
      <alignment horizontal="center"/>
    </xf>
    <xf numFmtId="0" fontId="5" fillId="0" borderId="3" xfId="1" applyFont="1" applyBorder="1"/>
    <xf numFmtId="0" fontId="4" fillId="0" borderId="0" xfId="1" applyFont="1" applyAlignment="1">
      <alignment horizontal="right"/>
    </xf>
    <xf numFmtId="175" fontId="4" fillId="0" borderId="0" xfId="1" applyNumberFormat="1" applyFont="1" applyAlignment="1">
      <alignment horizontal="center"/>
    </xf>
    <xf numFmtId="3" fontId="4" fillId="0" borderId="0" xfId="1" applyNumberFormat="1" applyFont="1" applyAlignment="1">
      <alignment horizontal="center"/>
    </xf>
    <xf numFmtId="3" fontId="4" fillId="0" borderId="3" xfId="1" applyNumberFormat="1" applyFont="1" applyBorder="1" applyAlignment="1">
      <alignment horizontal="center"/>
    </xf>
    <xf numFmtId="174" fontId="5" fillId="0" borderId="13" xfId="1" applyNumberFormat="1" applyFont="1" applyFill="1" applyBorder="1" applyAlignment="1">
      <alignment horizontal="center"/>
    </xf>
    <xf numFmtId="174" fontId="5" fillId="0" borderId="14" xfId="1" applyNumberFormat="1" applyFont="1" applyFill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8" xfId="1" applyFont="1" applyBorder="1"/>
    <xf numFmtId="3" fontId="5" fillId="0" borderId="8" xfId="1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3" fontId="5" fillId="0" borderId="8" xfId="1" applyNumberFormat="1" applyFont="1" applyBorder="1" applyAlignment="1">
      <alignment horizontal="right"/>
    </xf>
    <xf numFmtId="3" fontId="4" fillId="5" borderId="0" xfId="1" applyNumberFormat="1" applyFont="1" applyFill="1"/>
    <xf numFmtId="0" fontId="4" fillId="5" borderId="0" xfId="1" applyFont="1" applyFill="1"/>
    <xf numFmtId="3" fontId="4" fillId="5" borderId="0" xfId="1" applyNumberFormat="1" applyFont="1" applyFill="1" applyBorder="1"/>
    <xf numFmtId="3" fontId="10" fillId="0" borderId="0" xfId="1" applyNumberFormat="1" applyFont="1"/>
    <xf numFmtId="0" fontId="11" fillId="6" borderId="0" xfId="1" applyFont="1" applyFill="1" applyBorder="1"/>
    <xf numFmtId="170" fontId="5" fillId="0" borderId="0" xfId="1" applyNumberFormat="1" applyFont="1" applyFill="1" applyBorder="1"/>
    <xf numFmtId="9" fontId="10" fillId="0" borderId="0" xfId="6" applyFont="1" applyFill="1"/>
    <xf numFmtId="10" fontId="4" fillId="0" borderId="13" xfId="1" applyNumberFormat="1" applyFont="1" applyFill="1" applyBorder="1"/>
    <xf numFmtId="10" fontId="4" fillId="0" borderId="19" xfId="1" applyNumberFormat="1" applyFont="1" applyFill="1" applyBorder="1"/>
    <xf numFmtId="10" fontId="4" fillId="0" borderId="14" xfId="1" applyNumberFormat="1" applyFont="1" applyFill="1" applyBorder="1"/>
    <xf numFmtId="0" fontId="4" fillId="0" borderId="0" xfId="1" applyFont="1" applyAlignment="1">
      <alignment horizontal="left"/>
    </xf>
    <xf numFmtId="3" fontId="36" fillId="0" borderId="0" xfId="1" applyNumberFormat="1" applyFont="1" applyBorder="1"/>
    <xf numFmtId="0" fontId="36" fillId="0" borderId="0" xfId="1" applyFont="1" applyFill="1"/>
    <xf numFmtId="186" fontId="36" fillId="0" borderId="0" xfId="1" applyNumberFormat="1" applyFont="1" applyFill="1" applyAlignment="1">
      <alignment horizontal="center"/>
    </xf>
    <xf numFmtId="186" fontId="36" fillId="0" borderId="0" xfId="0" applyNumberFormat="1" applyFont="1" applyFill="1"/>
    <xf numFmtId="0" fontId="9" fillId="7" borderId="2" xfId="1" applyFont="1" applyFill="1" applyBorder="1" applyAlignment="1">
      <alignment horizontal="right"/>
    </xf>
    <xf numFmtId="186" fontId="9" fillId="7" borderId="4" xfId="1" applyNumberFormat="1" applyFont="1" applyFill="1" applyBorder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4" fillId="0" borderId="0" xfId="0" applyNumberFormat="1" applyFont="1" applyFill="1" applyBorder="1" applyProtection="1"/>
    <xf numFmtId="1" fontId="4" fillId="0" borderId="0" xfId="0" applyNumberFormat="1" applyFont="1" applyBorder="1" applyProtection="1"/>
    <xf numFmtId="1" fontId="11" fillId="0" borderId="0" xfId="0" applyNumberFormat="1" applyFont="1" applyProtection="1"/>
    <xf numFmtId="182" fontId="4" fillId="0" borderId="0" xfId="0" applyNumberFormat="1" applyFont="1" applyFill="1" applyProtection="1"/>
    <xf numFmtId="181" fontId="4" fillId="0" borderId="0" xfId="0" applyNumberFormat="1" applyFont="1" applyFill="1" applyBorder="1" applyProtection="1"/>
    <xf numFmtId="4" fontId="10" fillId="0" borderId="0" xfId="0" applyNumberFormat="1" applyFont="1" applyFill="1" applyBorder="1" applyAlignment="1" applyProtection="1">
      <alignment horizontal="center"/>
    </xf>
    <xf numFmtId="1" fontId="40" fillId="0" borderId="0" xfId="0" applyNumberFormat="1" applyFont="1" applyFill="1" applyBorder="1" applyAlignment="1" applyProtection="1">
      <alignment horizontal="left"/>
    </xf>
    <xf numFmtId="1" fontId="12" fillId="0" borderId="0" xfId="0" applyNumberFormat="1" applyFont="1" applyFill="1" applyProtection="1"/>
    <xf numFmtId="1" fontId="11" fillId="0" borderId="0" xfId="0" applyNumberFormat="1" applyFont="1" applyFill="1" applyProtection="1"/>
    <xf numFmtId="0" fontId="38" fillId="0" borderId="0" xfId="0" applyFont="1" applyFill="1" applyBorder="1"/>
    <xf numFmtId="9" fontId="4" fillId="0" borderId="0" xfId="0" applyNumberFormat="1" applyFont="1" applyBorder="1"/>
    <xf numFmtId="173" fontId="5" fillId="0" borderId="3" xfId="2" applyNumberFormat="1" applyFont="1" applyBorder="1"/>
    <xf numFmtId="10" fontId="4" fillId="0" borderId="0" xfId="6" applyNumberFormat="1" applyFont="1" applyBorder="1"/>
    <xf numFmtId="167" fontId="4" fillId="0" borderId="0" xfId="0" applyNumberFormat="1" applyFont="1" applyBorder="1"/>
    <xf numFmtId="9" fontId="4" fillId="0" borderId="0" xfId="6" applyNumberFormat="1" applyFont="1" applyBorder="1"/>
    <xf numFmtId="0" fontId="14" fillId="0" borderId="0" xfId="0" applyFont="1" applyProtection="1"/>
    <xf numFmtId="3" fontId="4" fillId="0" borderId="0" xfId="0" applyNumberFormat="1" applyFont="1" applyProtection="1"/>
    <xf numFmtId="164" fontId="4" fillId="0" borderId="0" xfId="0" applyNumberFormat="1" applyFont="1" applyProtection="1"/>
    <xf numFmtId="3" fontId="4" fillId="0" borderId="8" xfId="0" applyNumberFormat="1" applyFont="1" applyBorder="1" applyProtection="1"/>
    <xf numFmtId="0" fontId="14" fillId="0" borderId="0" xfId="0" applyFont="1" applyAlignment="1" applyProtection="1">
      <alignment horizontal="right"/>
    </xf>
    <xf numFmtId="0" fontId="41" fillId="0" borderId="5" xfId="0" applyFont="1" applyBorder="1" applyAlignment="1">
      <alignment horizontal="left"/>
    </xf>
    <xf numFmtId="0" fontId="4" fillId="8" borderId="0" xfId="0" applyFont="1" applyFill="1"/>
    <xf numFmtId="10" fontId="4" fillId="0" borderId="0" xfId="0" applyNumberFormat="1" applyFont="1"/>
    <xf numFmtId="2" fontId="4" fillId="0" borderId="0" xfId="0" applyNumberFormat="1" applyFont="1"/>
    <xf numFmtId="0" fontId="9" fillId="0" borderId="0" xfId="0" applyFont="1"/>
    <xf numFmtId="3" fontId="5" fillId="0" borderId="0" xfId="0" applyNumberFormat="1" applyFont="1"/>
    <xf numFmtId="0" fontId="9" fillId="0" borderId="0" xfId="0" applyFont="1" applyAlignment="1">
      <alignment horizontal="right"/>
    </xf>
    <xf numFmtId="0" fontId="12" fillId="0" borderId="0" xfId="1" applyFont="1" applyAlignment="1">
      <alignment horizontal="center"/>
    </xf>
    <xf numFmtId="3" fontId="4" fillId="8" borderId="0" xfId="0" applyNumberFormat="1" applyFont="1" applyFill="1"/>
    <xf numFmtId="0" fontId="4" fillId="8" borderId="8" xfId="0" applyFont="1" applyFill="1" applyBorder="1"/>
    <xf numFmtId="3" fontId="4" fillId="8" borderId="8" xfId="0" applyNumberFormat="1" applyFont="1" applyFill="1" applyBorder="1"/>
    <xf numFmtId="0" fontId="4" fillId="0" borderId="18" xfId="0" applyFont="1" applyBorder="1"/>
    <xf numFmtId="3" fontId="4" fillId="0" borderId="18" xfId="0" applyNumberFormat="1" applyFont="1" applyFill="1" applyBorder="1"/>
    <xf numFmtId="169" fontId="22" fillId="3" borderId="0" xfId="6" applyNumberFormat="1" applyFont="1" applyFill="1" applyBorder="1" applyAlignment="1">
      <alignment horizontal="center"/>
    </xf>
    <xf numFmtId="3" fontId="23" fillId="3" borderId="0" xfId="0" applyNumberFormat="1" applyFont="1" applyFill="1" applyBorder="1"/>
    <xf numFmtId="175" fontId="23" fillId="3" borderId="0" xfId="0" applyNumberFormat="1" applyFont="1" applyFill="1" applyAlignment="1" applyProtection="1">
      <alignment horizontal="right"/>
    </xf>
    <xf numFmtId="166" fontId="42" fillId="3" borderId="0" xfId="3" applyFont="1" applyFill="1"/>
    <xf numFmtId="0" fontId="42" fillId="0" borderId="0" xfId="0" applyFont="1" applyFill="1"/>
    <xf numFmtId="176" fontId="42" fillId="3" borderId="0" xfId="3" applyNumberFormat="1" applyFont="1" applyFill="1"/>
    <xf numFmtId="3" fontId="10" fillId="3" borderId="0" xfId="0" applyNumberFormat="1" applyFont="1" applyFill="1" applyBorder="1"/>
    <xf numFmtId="3" fontId="10" fillId="0" borderId="0" xfId="0" applyNumberFormat="1" applyFont="1" applyFill="1" applyBorder="1"/>
    <xf numFmtId="166" fontId="42" fillId="3" borderId="0" xfId="0" applyNumberFormat="1" applyFont="1" applyFill="1"/>
    <xf numFmtId="165" fontId="42" fillId="3" borderId="0" xfId="0" applyNumberFormat="1" applyFont="1" applyFill="1"/>
    <xf numFmtId="0" fontId="42" fillId="0" borderId="0" xfId="0" applyFont="1"/>
    <xf numFmtId="3" fontId="42" fillId="3" borderId="0" xfId="0" applyNumberFormat="1" applyFont="1" applyFill="1" applyBorder="1"/>
    <xf numFmtId="168" fontId="23" fillId="3" borderId="0" xfId="0" applyNumberFormat="1" applyFont="1" applyFill="1" applyBorder="1" applyAlignment="1">
      <alignment horizontal="center"/>
    </xf>
    <xf numFmtId="166" fontId="10" fillId="3" borderId="0" xfId="3" applyFont="1" applyFill="1"/>
    <xf numFmtId="0" fontId="23" fillId="0" borderId="0" xfId="0" applyFont="1"/>
    <xf numFmtId="0" fontId="43" fillId="0" borderId="0" xfId="0" applyFont="1"/>
    <xf numFmtId="3" fontId="42" fillId="3" borderId="0" xfId="0" applyNumberFormat="1" applyFont="1" applyFill="1"/>
    <xf numFmtId="10" fontId="4" fillId="0" borderId="0" xfId="0" applyNumberFormat="1" applyFont="1" applyProtection="1"/>
    <xf numFmtId="0" fontId="12" fillId="3" borderId="0" xfId="4" applyFont="1" applyFill="1" applyBorder="1"/>
    <xf numFmtId="0" fontId="9" fillId="6" borderId="0" xfId="1" applyFont="1" applyFill="1"/>
    <xf numFmtId="186" fontId="9" fillId="6" borderId="0" xfId="1" applyNumberFormat="1" applyFont="1" applyFill="1" applyAlignment="1">
      <alignment horizontal="center"/>
    </xf>
    <xf numFmtId="186" fontId="9" fillId="4" borderId="0" xfId="0" applyNumberFormat="1" applyFont="1" applyFill="1" applyAlignment="1">
      <alignment horizontal="center"/>
    </xf>
    <xf numFmtId="0" fontId="5" fillId="6" borderId="0" xfId="1" applyFont="1" applyFill="1"/>
    <xf numFmtId="186" fontId="9" fillId="4" borderId="0" xfId="0" applyNumberFormat="1" applyFont="1" applyFill="1"/>
    <xf numFmtId="189" fontId="4" fillId="3" borderId="19" xfId="3" applyNumberFormat="1" applyFont="1" applyFill="1" applyBorder="1" applyAlignment="1">
      <alignment horizontal="center"/>
    </xf>
    <xf numFmtId="189" fontId="4" fillId="0" borderId="19" xfId="4" applyNumberFormat="1" applyFont="1" applyFill="1" applyBorder="1" applyAlignment="1">
      <alignment horizontal="center"/>
    </xf>
    <xf numFmtId="189" fontId="4" fillId="3" borderId="14" xfId="3" applyNumberFormat="1" applyFont="1" applyFill="1" applyBorder="1" applyAlignment="1">
      <alignment horizontal="center"/>
    </xf>
    <xf numFmtId="0" fontId="10" fillId="9" borderId="0" xfId="1" applyFont="1" applyFill="1"/>
    <xf numFmtId="1" fontId="11" fillId="0" borderId="0" xfId="0" applyNumberFormat="1" applyFont="1" applyBorder="1" applyAlignment="1" applyProtection="1">
      <alignment horizontal="center"/>
    </xf>
    <xf numFmtId="1" fontId="5" fillId="0" borderId="11" xfId="0" applyNumberFormat="1" applyFont="1" applyBorder="1" applyAlignment="1" applyProtection="1">
      <alignment horizontal="center"/>
    </xf>
    <xf numFmtId="1" fontId="4" fillId="0" borderId="11" xfId="0" applyNumberFormat="1" applyFont="1" applyBorder="1" applyProtection="1"/>
    <xf numFmtId="1" fontId="44" fillId="0" borderId="0" xfId="0" applyNumberFormat="1" applyFont="1" applyFill="1" applyBorder="1" applyAlignment="1" applyProtection="1">
      <alignment horizontal="center"/>
    </xf>
    <xf numFmtId="0" fontId="9" fillId="4" borderId="0" xfId="0" applyFont="1" applyFill="1" applyProtection="1"/>
    <xf numFmtId="0" fontId="4" fillId="4" borderId="0" xfId="0" applyFont="1" applyFill="1" applyProtection="1"/>
    <xf numFmtId="3" fontId="4" fillId="0" borderId="3" xfId="0" applyNumberFormat="1" applyFont="1" applyBorder="1" applyProtection="1"/>
    <xf numFmtId="173" fontId="4" fillId="0" borderId="8" xfId="2" applyNumberFormat="1" applyFont="1" applyBorder="1"/>
    <xf numFmtId="0" fontId="4" fillId="4" borderId="0" xfId="0" applyFont="1" applyFill="1" applyBorder="1" applyProtection="1"/>
    <xf numFmtId="0" fontId="4" fillId="0" borderId="0" xfId="4" applyFont="1" applyAlignment="1"/>
    <xf numFmtId="0" fontId="4" fillId="0" borderId="0" xfId="4" applyFont="1" applyFill="1" applyAlignment="1"/>
    <xf numFmtId="0" fontId="11" fillId="0" borderId="0" xfId="4" applyFont="1" applyAlignment="1"/>
    <xf numFmtId="0" fontId="5" fillId="0" borderId="0" xfId="4" applyFont="1" applyFill="1" applyAlignment="1"/>
    <xf numFmtId="0" fontId="10" fillId="2" borderId="21" xfId="4" applyFont="1" applyFill="1" applyBorder="1" applyAlignment="1"/>
    <xf numFmtId="0" fontId="5" fillId="0" borderId="0" xfId="4" applyFont="1" applyAlignment="1"/>
    <xf numFmtId="0" fontId="15" fillId="0" borderId="0" xfId="4" applyFont="1" applyFill="1" applyAlignment="1"/>
    <xf numFmtId="0" fontId="5" fillId="0" borderId="0" xfId="1" applyFont="1" applyAlignment="1"/>
    <xf numFmtId="0" fontId="2" fillId="0" borderId="0" xfId="1" applyAlignment="1"/>
    <xf numFmtId="0" fontId="38" fillId="4" borderId="21" xfId="1" applyFont="1" applyFill="1" applyBorder="1" applyAlignment="1">
      <alignment horizontal="center"/>
    </xf>
    <xf numFmtId="0" fontId="5" fillId="0" borderId="0" xfId="1" applyFont="1" applyBorder="1" applyAlignment="1"/>
    <xf numFmtId="0" fontId="2" fillId="0" borderId="0" xfId="1" applyBorder="1" applyAlignment="1"/>
    <xf numFmtId="0" fontId="38" fillId="0" borderId="0" xfId="1" applyFont="1" applyFill="1" applyBorder="1" applyAlignment="1">
      <alignment horizontal="center"/>
    </xf>
    <xf numFmtId="0" fontId="4" fillId="0" borderId="13" xfId="4" applyFont="1" applyFill="1" applyBorder="1" applyAlignment="1">
      <alignment horizontal="center"/>
    </xf>
    <xf numFmtId="3" fontId="10" fillId="2" borderId="22" xfId="4" applyNumberFormat="1" applyFont="1" applyFill="1" applyBorder="1"/>
    <xf numFmtId="177" fontId="4" fillId="3" borderId="5" xfId="3" applyNumberFormat="1" applyFont="1" applyFill="1" applyBorder="1" applyAlignment="1"/>
    <xf numFmtId="0" fontId="12" fillId="3" borderId="0" xfId="4" applyFont="1" applyFill="1" applyBorder="1" applyProtection="1"/>
    <xf numFmtId="0" fontId="9" fillId="7" borderId="2" xfId="1" applyFont="1" applyFill="1" applyBorder="1" applyAlignment="1" applyProtection="1">
      <alignment horizontal="right"/>
    </xf>
    <xf numFmtId="186" fontId="9" fillId="7" borderId="4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right"/>
    </xf>
    <xf numFmtId="0" fontId="15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0" fontId="13" fillId="0" borderId="0" xfId="4" applyFont="1" applyFill="1" applyBorder="1" applyProtection="1"/>
    <xf numFmtId="0" fontId="12" fillId="0" borderId="0" xfId="4" applyFont="1" applyFill="1" applyBorder="1" applyProtection="1"/>
    <xf numFmtId="0" fontId="5" fillId="0" borderId="1" xfId="1" applyFont="1" applyBorder="1" applyProtection="1"/>
    <xf numFmtId="0" fontId="5" fillId="0" borderId="0" xfId="1" applyFont="1" applyFill="1" applyBorder="1" applyProtection="1"/>
    <xf numFmtId="0" fontId="5" fillId="0" borderId="13" xfId="4" applyFont="1" applyFill="1" applyBorder="1" applyAlignment="1" applyProtection="1">
      <alignment horizontal="center"/>
    </xf>
    <xf numFmtId="0" fontId="5" fillId="0" borderId="3" xfId="1" applyFont="1" applyBorder="1" applyAlignment="1" applyProtection="1">
      <alignment horizontal="right"/>
    </xf>
    <xf numFmtId="0" fontId="11" fillId="0" borderId="0" xfId="1" applyFont="1" applyFill="1" applyBorder="1" applyAlignment="1" applyProtection="1">
      <alignment wrapText="1"/>
    </xf>
    <xf numFmtId="3" fontId="4" fillId="0" borderId="0" xfId="1" applyNumberFormat="1" applyFont="1" applyProtection="1"/>
    <xf numFmtId="0" fontId="4" fillId="0" borderId="0" xfId="1" applyFont="1" applyFill="1" applyBorder="1" applyAlignment="1" applyProtection="1">
      <alignment wrapText="1"/>
    </xf>
    <xf numFmtId="3" fontId="4" fillId="0" borderId="8" xfId="1" applyNumberFormat="1" applyFont="1" applyBorder="1" applyProtection="1"/>
    <xf numFmtId="0" fontId="4" fillId="0" borderId="0" xfId="1" applyFont="1" applyFill="1" applyBorder="1" applyProtection="1"/>
    <xf numFmtId="0" fontId="12" fillId="0" borderId="0" xfId="1" applyFont="1" applyProtection="1"/>
    <xf numFmtId="0" fontId="12" fillId="0" borderId="0" xfId="1" applyFont="1" applyFill="1" applyProtection="1"/>
    <xf numFmtId="3" fontId="4" fillId="0" borderId="0" xfId="1" applyNumberFormat="1" applyFont="1" applyFill="1" applyBorder="1" applyProtection="1"/>
    <xf numFmtId="0" fontId="11" fillId="0" borderId="1" xfId="4" applyFont="1" applyFill="1" applyBorder="1" applyProtection="1"/>
    <xf numFmtId="0" fontId="11" fillId="0" borderId="0" xfId="4" applyFont="1" applyFill="1" applyBorder="1" applyProtection="1"/>
    <xf numFmtId="0" fontId="14" fillId="0" borderId="0" xfId="1" applyFont="1" applyProtection="1"/>
    <xf numFmtId="0" fontId="14" fillId="0" borderId="0" xfId="1" applyFont="1" applyFill="1" applyProtection="1"/>
    <xf numFmtId="0" fontId="4" fillId="0" borderId="0" xfId="1" applyFont="1" applyAlignment="1" applyProtection="1">
      <alignment horizontal="center"/>
    </xf>
    <xf numFmtId="3" fontId="4" fillId="0" borderId="3" xfId="1" applyNumberFormat="1" applyFont="1" applyFill="1" applyBorder="1" applyProtection="1"/>
    <xf numFmtId="0" fontId="4" fillId="0" borderId="1" xfId="1" applyFont="1" applyBorder="1" applyProtection="1"/>
    <xf numFmtId="0" fontId="12" fillId="0" borderId="1" xfId="1" applyFont="1" applyBorder="1" applyProtection="1"/>
    <xf numFmtId="0" fontId="12" fillId="0" borderId="0" xfId="1" applyFont="1" applyFill="1" applyBorder="1" applyProtection="1"/>
    <xf numFmtId="0" fontId="12" fillId="0" borderId="1" xfId="1" applyFont="1" applyFill="1" applyBorder="1" applyAlignment="1" applyProtection="1">
      <alignment wrapText="1"/>
    </xf>
    <xf numFmtId="0" fontId="12" fillId="0" borderId="0" xfId="1" applyFont="1" applyFill="1" applyBorder="1" applyAlignment="1" applyProtection="1">
      <alignment wrapText="1"/>
    </xf>
    <xf numFmtId="0" fontId="14" fillId="0" borderId="1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wrapText="1"/>
    </xf>
    <xf numFmtId="3" fontId="4" fillId="0" borderId="0" xfId="1" applyNumberFormat="1" applyFont="1" applyBorder="1" applyProtection="1"/>
    <xf numFmtId="0" fontId="4" fillId="0" borderId="1" xfId="1" applyFont="1" applyFill="1" applyBorder="1" applyAlignment="1" applyProtection="1">
      <alignment wrapText="1"/>
    </xf>
    <xf numFmtId="0" fontId="5" fillId="0" borderId="2" xfId="1" quotePrefix="1" applyFont="1" applyFill="1" applyBorder="1" applyAlignment="1" applyProtection="1">
      <alignment horizontal="right"/>
    </xf>
    <xf numFmtId="0" fontId="5" fillId="0" borderId="3" xfId="1" quotePrefix="1" applyFont="1" applyFill="1" applyBorder="1" applyAlignment="1" applyProtection="1">
      <alignment horizontal="right"/>
    </xf>
    <xf numFmtId="0" fontId="5" fillId="0" borderId="4" xfId="1" quotePrefix="1" applyFont="1" applyFill="1" applyBorder="1" applyAlignment="1" applyProtection="1">
      <alignment horizontal="right"/>
    </xf>
    <xf numFmtId="0" fontId="8" fillId="0" borderId="1" xfId="4" applyFont="1" applyFill="1" applyBorder="1" applyProtection="1"/>
    <xf numFmtId="0" fontId="8" fillId="0" borderId="0" xfId="4" applyFont="1" applyFill="1" applyBorder="1" applyProtection="1"/>
    <xf numFmtId="0" fontId="5" fillId="0" borderId="19" xfId="4" applyFont="1" applyFill="1" applyBorder="1" applyAlignment="1" applyProtection="1">
      <alignment horizontal="center"/>
    </xf>
    <xf numFmtId="0" fontId="4" fillId="0" borderId="1" xfId="4" applyFont="1" applyFill="1" applyBorder="1" applyProtection="1"/>
    <xf numFmtId="0" fontId="4" fillId="0" borderId="0" xfId="4" applyFont="1" applyFill="1" applyBorder="1" applyProtection="1"/>
    <xf numFmtId="3" fontId="4" fillId="0" borderId="0" xfId="3" applyNumberFormat="1" applyFont="1" applyFill="1" applyBorder="1" applyProtection="1"/>
    <xf numFmtId="0" fontId="9" fillId="0" borderId="0" xfId="4" applyFont="1" applyFill="1" applyBorder="1" applyProtection="1"/>
    <xf numFmtId="3" fontId="4" fillId="0" borderId="0" xfId="1" applyNumberFormat="1" applyFont="1" applyFill="1" applyProtection="1"/>
    <xf numFmtId="0" fontId="5" fillId="0" borderId="1" xfId="1" applyFont="1" applyFill="1" applyBorder="1" applyProtection="1"/>
    <xf numFmtId="3" fontId="4" fillId="0" borderId="8" xfId="3" applyNumberFormat="1" applyFont="1" applyFill="1" applyBorder="1" applyProtection="1"/>
    <xf numFmtId="0" fontId="4" fillId="0" borderId="18" xfId="1" applyFont="1" applyBorder="1" applyProtection="1"/>
    <xf numFmtId="0" fontId="4" fillId="0" borderId="18" xfId="1" applyFont="1" applyFill="1" applyBorder="1" applyProtection="1"/>
    <xf numFmtId="0" fontId="13" fillId="3" borderId="0" xfId="4" applyFont="1" applyFill="1" applyProtection="1"/>
    <xf numFmtId="0" fontId="13" fillId="0" borderId="0" xfId="4" applyFont="1" applyFill="1" applyProtection="1"/>
    <xf numFmtId="179" fontId="9" fillId="0" borderId="0" xfId="2" applyNumberFormat="1" applyFont="1" applyFill="1" applyProtection="1"/>
    <xf numFmtId="10" fontId="10" fillId="3" borderId="13" xfId="6" applyNumberFormat="1" applyFont="1" applyFill="1" applyBorder="1" applyAlignment="1" applyProtection="1">
      <alignment horizontal="center"/>
    </xf>
    <xf numFmtId="180" fontId="10" fillId="3" borderId="19" xfId="6" applyNumberFormat="1" applyFont="1" applyFill="1" applyBorder="1" applyAlignment="1" applyProtection="1">
      <alignment horizontal="center"/>
    </xf>
    <xf numFmtId="10" fontId="10" fillId="3" borderId="19" xfId="6" applyNumberFormat="1" applyFont="1" applyFill="1" applyBorder="1" applyAlignment="1" applyProtection="1">
      <alignment horizontal="center"/>
    </xf>
    <xf numFmtId="183" fontId="10" fillId="3" borderId="19" xfId="2" applyNumberFormat="1" applyFont="1" applyFill="1" applyBorder="1" applyAlignment="1" applyProtection="1">
      <alignment horizontal="center"/>
    </xf>
    <xf numFmtId="9" fontId="10" fillId="3" borderId="19" xfId="6" applyFont="1" applyFill="1" applyBorder="1" applyAlignment="1" applyProtection="1">
      <alignment horizontal="center"/>
    </xf>
    <xf numFmtId="10" fontId="10" fillId="3" borderId="14" xfId="6" applyNumberFormat="1" applyFont="1" applyFill="1" applyBorder="1" applyAlignment="1" applyProtection="1">
      <alignment horizontal="center"/>
    </xf>
    <xf numFmtId="179" fontId="9" fillId="0" borderId="0" xfId="2" applyNumberFormat="1" applyFont="1" applyAlignment="1" applyProtection="1">
      <alignment horizontal="center"/>
    </xf>
    <xf numFmtId="10" fontId="4" fillId="0" borderId="13" xfId="6" applyNumberFormat="1" applyFont="1" applyBorder="1" applyAlignment="1" applyProtection="1">
      <alignment horizontal="center"/>
    </xf>
    <xf numFmtId="10" fontId="4" fillId="0" borderId="19" xfId="1" applyNumberFormat="1" applyFont="1" applyBorder="1" applyAlignment="1" applyProtection="1">
      <alignment horizontal="center"/>
    </xf>
    <xf numFmtId="10" fontId="4" fillId="0" borderId="14" xfId="6" applyNumberFormat="1" applyFont="1" applyBorder="1" applyAlignment="1" applyProtection="1">
      <alignment horizontal="center"/>
    </xf>
    <xf numFmtId="10" fontId="4" fillId="0" borderId="21" xfId="6" applyNumberFormat="1" applyFont="1" applyBorder="1" applyAlignment="1" applyProtection="1">
      <alignment horizontal="center"/>
    </xf>
    <xf numFmtId="0" fontId="12" fillId="0" borderId="0" xfId="1" applyFont="1" applyAlignment="1" applyProtection="1">
      <alignment horizontal="center"/>
    </xf>
    <xf numFmtId="17" fontId="4" fillId="0" borderId="13" xfId="1" applyNumberFormat="1" applyFont="1" applyBorder="1" applyAlignment="1" applyProtection="1">
      <alignment horizontal="center"/>
    </xf>
    <xf numFmtId="0" fontId="10" fillId="3" borderId="17" xfId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17" fontId="4" fillId="0" borderId="19" xfId="1" applyNumberFormat="1" applyFont="1" applyBorder="1" applyAlignment="1" applyProtection="1">
      <alignment horizontal="center"/>
    </xf>
    <xf numFmtId="0" fontId="10" fillId="3" borderId="6" xfId="1" applyFont="1" applyFill="1" applyBorder="1" applyAlignment="1" applyProtection="1">
      <alignment horizontal="center"/>
    </xf>
    <xf numFmtId="10" fontId="5" fillId="0" borderId="0" xfId="6" applyNumberFormat="1" applyFont="1" applyAlignment="1" applyProtection="1">
      <alignment horizontal="center"/>
    </xf>
    <xf numFmtId="184" fontId="4" fillId="0" borderId="0" xfId="1" applyNumberFormat="1" applyFont="1" applyProtection="1"/>
    <xf numFmtId="17" fontId="4" fillId="0" borderId="14" xfId="1" applyNumberFormat="1" applyFont="1" applyBorder="1" applyAlignment="1" applyProtection="1">
      <alignment horizontal="center"/>
    </xf>
    <xf numFmtId="0" fontId="10" fillId="3" borderId="12" xfId="1" applyFont="1" applyFill="1" applyBorder="1" applyAlignment="1" applyProtection="1">
      <alignment horizontal="center"/>
    </xf>
    <xf numFmtId="17" fontId="4" fillId="0" borderId="0" xfId="1" applyNumberFormat="1" applyFont="1" applyFill="1" applyBorder="1" applyProtection="1"/>
    <xf numFmtId="0" fontId="12" fillId="0" borderId="0" xfId="1" applyFont="1" applyAlignment="1" applyProtection="1">
      <alignment horizontal="right"/>
    </xf>
    <xf numFmtId="0" fontId="5" fillId="0" borderId="0" xfId="1" applyFont="1" applyProtection="1"/>
    <xf numFmtId="10" fontId="5" fillId="0" borderId="0" xfId="6" applyNumberFormat="1" applyFont="1" applyProtection="1"/>
    <xf numFmtId="170" fontId="9" fillId="0" borderId="0" xfId="2" applyNumberFormat="1" applyFont="1" applyProtection="1"/>
    <xf numFmtId="170" fontId="5" fillId="0" borderId="0" xfId="2" applyNumberFormat="1" applyFont="1" applyProtection="1"/>
    <xf numFmtId="175" fontId="4" fillId="3" borderId="13" xfId="4" applyNumberFormat="1" applyFont="1" applyFill="1" applyBorder="1" applyAlignment="1" applyProtection="1">
      <alignment horizontal="center"/>
    </xf>
    <xf numFmtId="175" fontId="4" fillId="3" borderId="19" xfId="4" applyNumberFormat="1" applyFont="1" applyFill="1" applyBorder="1" applyAlignment="1" applyProtection="1">
      <alignment horizontal="center"/>
    </xf>
    <xf numFmtId="175" fontId="4" fillId="3" borderId="14" xfId="4" applyNumberFormat="1" applyFont="1" applyFill="1" applyBorder="1" applyAlignment="1" applyProtection="1">
      <alignment horizontal="center"/>
    </xf>
    <xf numFmtId="0" fontId="4" fillId="0" borderId="0" xfId="4" applyFont="1" applyProtection="1"/>
    <xf numFmtId="0" fontId="4" fillId="0" borderId="0" xfId="4" applyFont="1" applyFill="1" applyProtection="1"/>
    <xf numFmtId="169" fontId="10" fillId="3" borderId="0" xfId="6" applyNumberFormat="1" applyFont="1" applyFill="1" applyBorder="1" applyAlignment="1" applyProtection="1">
      <alignment horizontal="center"/>
    </xf>
    <xf numFmtId="2" fontId="4" fillId="0" borderId="0" xfId="4" applyNumberFormat="1" applyFont="1" applyFill="1" applyAlignment="1" applyProtection="1">
      <alignment horizontal="center"/>
    </xf>
    <xf numFmtId="9" fontId="4" fillId="0" borderId="0" xfId="4" applyNumberFormat="1" applyFont="1" applyFill="1" applyAlignment="1" applyProtection="1">
      <alignment horizontal="center"/>
    </xf>
    <xf numFmtId="0" fontId="5" fillId="0" borderId="0" xfId="1" applyFont="1" applyFill="1" applyProtection="1"/>
    <xf numFmtId="10" fontId="10" fillId="3" borderId="13" xfId="1" applyNumberFormat="1" applyFont="1" applyFill="1" applyBorder="1" applyAlignment="1" applyProtection="1">
      <alignment horizontal="center"/>
    </xf>
    <xf numFmtId="10" fontId="10" fillId="3" borderId="19" xfId="1" applyNumberFormat="1" applyFont="1" applyFill="1" applyBorder="1" applyAlignment="1" applyProtection="1">
      <alignment horizontal="center"/>
    </xf>
    <xf numFmtId="10" fontId="10" fillId="3" borderId="14" xfId="1" applyNumberFormat="1" applyFont="1" applyFill="1" applyBorder="1" applyAlignment="1" applyProtection="1">
      <alignment horizontal="center"/>
    </xf>
    <xf numFmtId="3" fontId="4" fillId="3" borderId="0" xfId="1" applyNumberFormat="1" applyFont="1" applyFill="1" applyBorder="1" applyProtection="1"/>
    <xf numFmtId="167" fontId="4" fillId="3" borderId="0" xfId="1" applyNumberFormat="1" applyFont="1" applyFill="1" applyProtection="1"/>
    <xf numFmtId="0" fontId="5" fillId="0" borderId="0" xfId="1" applyFont="1" applyBorder="1" applyAlignment="1" applyProtection="1">
      <alignment horizontal="right"/>
    </xf>
    <xf numFmtId="3" fontId="4" fillId="0" borderId="3" xfId="1" applyNumberFormat="1" applyFont="1" applyBorder="1" applyProtection="1"/>
    <xf numFmtId="0" fontId="36" fillId="4" borderId="0" xfId="1" applyFont="1" applyFill="1" applyBorder="1" applyAlignment="1" applyProtection="1">
      <alignment wrapText="1"/>
    </xf>
    <xf numFmtId="0" fontId="9" fillId="4" borderId="0" xfId="1" applyFont="1" applyFill="1" applyBorder="1" applyAlignment="1" applyProtection="1">
      <alignment wrapText="1"/>
    </xf>
    <xf numFmtId="186" fontId="36" fillId="4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Protection="1"/>
    <xf numFmtId="166" fontId="4" fillId="0" borderId="0" xfId="1" applyNumberFormat="1" applyFont="1" applyFill="1" applyProtection="1"/>
    <xf numFmtId="0" fontId="38" fillId="0" borderId="3" xfId="4" applyFont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175" fontId="10" fillId="3" borderId="19" xfId="1" applyNumberFormat="1" applyFont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4" fillId="0" borderId="15" xfId="4" applyFont="1" applyBorder="1" applyAlignment="1">
      <alignment horizontal="center"/>
    </xf>
    <xf numFmtId="177" fontId="10" fillId="3" borderId="5" xfId="3" applyNumberFormat="1" applyFont="1" applyFill="1" applyBorder="1" applyAlignment="1"/>
    <xf numFmtId="177" fontId="10" fillId="3" borderId="10" xfId="3" applyNumberFormat="1" applyFont="1" applyFill="1" applyBorder="1" applyAlignment="1"/>
    <xf numFmtId="3" fontId="4" fillId="2" borderId="5" xfId="1" applyNumberFormat="1" applyFont="1" applyFill="1" applyBorder="1"/>
    <xf numFmtId="3" fontId="4" fillId="2" borderId="6" xfId="1" applyNumberFormat="1" applyFont="1" applyFill="1" applyBorder="1"/>
    <xf numFmtId="3" fontId="4" fillId="2" borderId="10" xfId="1" applyNumberFormat="1" applyFont="1" applyFill="1" applyBorder="1"/>
    <xf numFmtId="3" fontId="4" fillId="2" borderId="12" xfId="1" applyNumberFormat="1" applyFont="1" applyFill="1" applyBorder="1"/>
    <xf numFmtId="177" fontId="4" fillId="2" borderId="6" xfId="3" applyNumberFormat="1" applyFont="1" applyFill="1" applyBorder="1" applyAlignment="1"/>
    <xf numFmtId="177" fontId="4" fillId="2" borderId="12" xfId="3" applyNumberFormat="1" applyFont="1" applyFill="1" applyBorder="1" applyAlignment="1"/>
    <xf numFmtId="1" fontId="11" fillId="0" borderId="0" xfId="0" applyNumberFormat="1" applyFont="1" applyBorder="1" applyProtection="1"/>
    <xf numFmtId="1" fontId="5" fillId="0" borderId="0" xfId="0" applyNumberFormat="1" applyFont="1" applyBorder="1" applyAlignment="1" applyProtection="1">
      <alignment horizontal="right"/>
    </xf>
    <xf numFmtId="3" fontId="4" fillId="0" borderId="3" xfId="1" applyNumberFormat="1" applyFont="1" applyBorder="1" applyAlignment="1">
      <alignment horizontal="right"/>
    </xf>
    <xf numFmtId="0" fontId="11" fillId="0" borderId="0" xfId="4" applyFont="1" applyFill="1" applyBorder="1" applyAlignment="1">
      <alignment horizontal="center"/>
    </xf>
    <xf numFmtId="0" fontId="11" fillId="0" borderId="1" xfId="4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0" fontId="10" fillId="3" borderId="10" xfId="4" applyFont="1" applyFill="1" applyBorder="1" applyAlignment="1">
      <alignment horizontal="center"/>
    </xf>
    <xf numFmtId="0" fontId="10" fillId="3" borderId="11" xfId="4" applyFont="1" applyFill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0" fillId="3" borderId="19" xfId="1" applyFont="1" applyFill="1" applyBorder="1" applyAlignment="1">
      <alignment horizontal="center"/>
    </xf>
    <xf numFmtId="17" fontId="4" fillId="0" borderId="10" xfId="1" applyNumberFormat="1" applyFont="1" applyBorder="1" applyAlignment="1">
      <alignment horizontal="center"/>
    </xf>
    <xf numFmtId="0" fontId="38" fillId="0" borderId="2" xfId="4" applyFont="1" applyBorder="1" applyAlignment="1">
      <alignment horizontal="center"/>
    </xf>
    <xf numFmtId="10" fontId="4" fillId="3" borderId="0" xfId="4" applyNumberFormat="1" applyFont="1" applyFill="1" applyBorder="1" applyAlignment="1">
      <alignment horizontal="center"/>
    </xf>
    <xf numFmtId="10" fontId="10" fillId="3" borderId="0" xfId="4" applyNumberFormat="1" applyFont="1" applyFill="1" applyAlignment="1">
      <alignment horizontal="center"/>
    </xf>
    <xf numFmtId="2" fontId="10" fillId="3" borderId="0" xfId="4" applyNumberFormat="1" applyFont="1" applyFill="1" applyAlignment="1">
      <alignment horizontal="center"/>
    </xf>
    <xf numFmtId="9" fontId="10" fillId="3" borderId="0" xfId="4" applyNumberFormat="1" applyFont="1" applyFill="1" applyAlignment="1">
      <alignment horizontal="center"/>
    </xf>
    <xf numFmtId="10" fontId="10" fillId="3" borderId="0" xfId="6" applyNumberFormat="1" applyFont="1" applyFill="1" applyAlignment="1">
      <alignment horizontal="center"/>
    </xf>
    <xf numFmtId="3" fontId="14" fillId="0" borderId="19" xfId="4" applyNumberFormat="1" applyFont="1" applyFill="1" applyBorder="1" applyAlignment="1">
      <alignment horizontal="right"/>
    </xf>
    <xf numFmtId="189" fontId="14" fillId="0" borderId="19" xfId="4" applyNumberFormat="1" applyFont="1" applyFill="1" applyBorder="1" applyAlignment="1">
      <alignment horizontal="right"/>
    </xf>
    <xf numFmtId="0" fontId="4" fillId="0" borderId="13" xfId="4" applyFont="1" applyBorder="1" applyAlignment="1">
      <alignment horizontal="center"/>
    </xf>
    <xf numFmtId="0" fontId="4" fillId="0" borderId="14" xfId="4" applyFont="1" applyBorder="1" applyAlignment="1">
      <alignment horizontal="center"/>
    </xf>
    <xf numFmtId="0" fontId="4" fillId="0" borderId="19" xfId="4" applyFont="1" applyBorder="1"/>
    <xf numFmtId="0" fontId="41" fillId="0" borderId="19" xfId="0" applyFont="1" applyBorder="1" applyAlignment="1">
      <alignment horizontal="left"/>
    </xf>
    <xf numFmtId="177" fontId="10" fillId="3" borderId="19" xfId="3" applyNumberFormat="1" applyFont="1" applyFill="1" applyBorder="1" applyAlignment="1"/>
    <xf numFmtId="177" fontId="10" fillId="3" borderId="14" xfId="3" applyNumberFormat="1" applyFont="1" applyFill="1" applyBorder="1" applyAlignment="1"/>
    <xf numFmtId="0" fontId="4" fillId="0" borderId="2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6" xfId="4" applyFont="1" applyBorder="1"/>
    <xf numFmtId="0" fontId="4" fillId="0" borderId="3" xfId="4" applyFont="1" applyFill="1" applyBorder="1" applyAlignment="1">
      <alignment horizontal="center"/>
    </xf>
    <xf numFmtId="0" fontId="4" fillId="0" borderId="6" xfId="4" applyFont="1" applyFill="1" applyBorder="1"/>
    <xf numFmtId="0" fontId="10" fillId="0" borderId="5" xfId="4" applyFont="1" applyBorder="1" applyAlignment="1">
      <alignment horizontal="center"/>
    </xf>
    <xf numFmtId="0" fontId="10" fillId="0" borderId="13" xfId="4" applyFont="1" applyBorder="1" applyAlignment="1">
      <alignment horizontal="center"/>
    </xf>
    <xf numFmtId="0" fontId="4" fillId="0" borderId="6" xfId="4" applyFont="1" applyBorder="1" applyAlignment="1">
      <alignment horizontal="center"/>
    </xf>
    <xf numFmtId="0" fontId="4" fillId="0" borderId="16" xfId="4" applyFont="1" applyBorder="1" applyAlignment="1">
      <alignment horizontal="center"/>
    </xf>
    <xf numFmtId="0" fontId="4" fillId="0" borderId="17" xfId="4" applyFont="1" applyBorder="1" applyAlignment="1">
      <alignment horizontal="center"/>
    </xf>
    <xf numFmtId="0" fontId="4" fillId="0" borderId="10" xfId="4" applyFont="1" applyBorder="1" applyAlignment="1">
      <alignment horizontal="center"/>
    </xf>
    <xf numFmtId="0" fontId="4" fillId="0" borderId="11" xfId="4" applyFont="1" applyBorder="1"/>
    <xf numFmtId="0" fontId="4" fillId="0" borderId="12" xfId="4" applyFont="1" applyBorder="1"/>
    <xf numFmtId="0" fontId="4" fillId="0" borderId="15" xfId="4" applyFont="1" applyBorder="1"/>
    <xf numFmtId="0" fontId="4" fillId="0" borderId="17" xfId="4" applyFont="1" applyBorder="1"/>
    <xf numFmtId="0" fontId="4" fillId="0" borderId="16" xfId="4" applyFont="1" applyBorder="1"/>
    <xf numFmtId="3" fontId="4" fillId="2" borderId="0" xfId="1" applyNumberFormat="1" applyFont="1" applyFill="1" applyBorder="1"/>
    <xf numFmtId="0" fontId="4" fillId="0" borderId="5" xfId="4" applyFont="1" applyBorder="1" applyAlignment="1"/>
    <xf numFmtId="0" fontId="4" fillId="0" borderId="6" xfId="4" applyFont="1" applyBorder="1" applyAlignment="1"/>
    <xf numFmtId="177" fontId="4" fillId="3" borderId="19" xfId="3" applyNumberFormat="1" applyFont="1" applyFill="1" applyBorder="1" applyAlignment="1"/>
    <xf numFmtId="3" fontId="4" fillId="2" borderId="11" xfId="1" applyNumberFormat="1" applyFont="1" applyFill="1" applyBorder="1"/>
    <xf numFmtId="0" fontId="5" fillId="0" borderId="15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11" xfId="4" applyFont="1" applyFill="1" applyBorder="1" applyAlignment="1">
      <alignment horizontal="center"/>
    </xf>
    <xf numFmtId="0" fontId="4" fillId="0" borderId="12" xfId="4" applyFont="1" applyFill="1" applyBorder="1" applyAlignment="1">
      <alignment horizontal="center"/>
    </xf>
    <xf numFmtId="3" fontId="10" fillId="2" borderId="17" xfId="4" applyNumberFormat="1" applyFont="1" applyFill="1" applyBorder="1"/>
    <xf numFmtId="3" fontId="4" fillId="0" borderId="17" xfId="4" applyNumberFormat="1" applyFont="1" applyFill="1" applyBorder="1"/>
    <xf numFmtId="0" fontId="5" fillId="0" borderId="21" xfId="4" quotePrefix="1" applyFont="1" applyFill="1" applyBorder="1" applyAlignment="1">
      <alignment horizontal="right"/>
    </xf>
    <xf numFmtId="0" fontId="4" fillId="0" borderId="5" xfId="4" applyFont="1" applyBorder="1" applyAlignment="1">
      <alignment horizontal="center"/>
    </xf>
    <xf numFmtId="177" fontId="4" fillId="3" borderId="14" xfId="3" applyNumberFormat="1" applyFont="1" applyFill="1" applyBorder="1" applyAlignment="1"/>
    <xf numFmtId="3" fontId="10" fillId="3" borderId="5" xfId="4" applyNumberFormat="1" applyFont="1" applyFill="1" applyBorder="1"/>
    <xf numFmtId="3" fontId="10" fillId="3" borderId="0" xfId="4" applyNumberFormat="1" applyFont="1" applyFill="1" applyBorder="1"/>
    <xf numFmtId="3" fontId="10" fillId="3" borderId="6" xfId="4" applyNumberFormat="1" applyFont="1" applyFill="1" applyBorder="1"/>
    <xf numFmtId="3" fontId="10" fillId="3" borderId="7" xfId="4" applyNumberFormat="1" applyFont="1" applyFill="1" applyBorder="1"/>
    <xf numFmtId="3" fontId="10" fillId="3" borderId="8" xfId="4" applyNumberFormat="1" applyFont="1" applyFill="1" applyBorder="1"/>
    <xf numFmtId="3" fontId="10" fillId="3" borderId="9" xfId="4" applyNumberFormat="1" applyFont="1" applyFill="1" applyBorder="1"/>
    <xf numFmtId="3" fontId="10" fillId="3" borderId="23" xfId="4" applyNumberFormat="1" applyFont="1" applyFill="1" applyBorder="1"/>
    <xf numFmtId="3" fontId="4" fillId="3" borderId="5" xfId="4" applyNumberFormat="1" applyFont="1" applyFill="1" applyBorder="1"/>
    <xf numFmtId="3" fontId="4" fillId="3" borderId="0" xfId="4" applyNumberFormat="1" applyFont="1" applyFill="1" applyBorder="1"/>
    <xf numFmtId="3" fontId="4" fillId="3" borderId="6" xfId="4" applyNumberFormat="1" applyFont="1" applyFill="1" applyBorder="1"/>
    <xf numFmtId="3" fontId="4" fillId="3" borderId="7" xfId="4" applyNumberFormat="1" applyFont="1" applyFill="1" applyBorder="1"/>
    <xf numFmtId="3" fontId="4" fillId="3" borderId="8" xfId="4" applyNumberFormat="1" applyFont="1" applyFill="1" applyBorder="1"/>
    <xf numFmtId="3" fontId="4" fillId="3" borderId="5" xfId="3" applyNumberFormat="1" applyFont="1" applyFill="1" applyBorder="1"/>
    <xf numFmtId="3" fontId="4" fillId="3" borderId="0" xfId="3" applyNumberFormat="1" applyFont="1" applyFill="1" applyBorder="1"/>
    <xf numFmtId="0" fontId="11" fillId="0" borderId="0" xfId="4" applyFont="1" applyFill="1" applyBorder="1" applyAlignment="1">
      <alignment horizontal="left"/>
    </xf>
    <xf numFmtId="10" fontId="10" fillId="0" borderId="0" xfId="1" applyNumberFormat="1" applyFont="1" applyFill="1"/>
    <xf numFmtId="10" fontId="36" fillId="0" borderId="0" xfId="1" applyNumberFormat="1" applyFont="1" applyFill="1"/>
    <xf numFmtId="0" fontId="4" fillId="0" borderId="0" xfId="1" quotePrefix="1" applyFont="1" applyFill="1" applyAlignment="1">
      <alignment horizontal="left"/>
    </xf>
    <xf numFmtId="0" fontId="4" fillId="0" borderId="0" xfId="1" quotePrefix="1" applyFont="1" applyFill="1"/>
    <xf numFmtId="180" fontId="4" fillId="0" borderId="0" xfId="6" applyNumberFormat="1" applyFont="1" applyFill="1"/>
    <xf numFmtId="187" fontId="4" fillId="0" borderId="0" xfId="1" applyNumberFormat="1" applyFont="1" applyFill="1"/>
    <xf numFmtId="188" fontId="4" fillId="0" borderId="0" xfId="0" applyNumberFormat="1" applyFont="1"/>
    <xf numFmtId="3" fontId="4" fillId="0" borderId="0" xfId="0" applyNumberFormat="1" applyFont="1" applyBorder="1" applyProtection="1"/>
    <xf numFmtId="0" fontId="5" fillId="0" borderId="11" xfId="0" applyFont="1" applyBorder="1" applyProtection="1"/>
    <xf numFmtId="186" fontId="36" fillId="7" borderId="21" xfId="1" applyNumberFormat="1" applyFont="1" applyFill="1" applyBorder="1" applyAlignment="1">
      <alignment horizontal="center"/>
    </xf>
    <xf numFmtId="0" fontId="9" fillId="0" borderId="0" xfId="1" applyFont="1" applyAlignment="1"/>
    <xf numFmtId="0" fontId="2" fillId="0" borderId="0" xfId="4" applyFont="1" applyFill="1"/>
    <xf numFmtId="3" fontId="2" fillId="10" borderId="0" xfId="4" applyNumberFormat="1" applyFont="1" applyFill="1" applyBorder="1"/>
    <xf numFmtId="3" fontId="2" fillId="0" borderId="0" xfId="4" applyNumberFormat="1" applyFont="1" applyFill="1" applyBorder="1"/>
    <xf numFmtId="3" fontId="45" fillId="3" borderId="8" xfId="4" applyNumberFormat="1" applyFont="1" applyFill="1" applyBorder="1"/>
    <xf numFmtId="3" fontId="45" fillId="3" borderId="9" xfId="4" applyNumberFormat="1" applyFont="1" applyFill="1" applyBorder="1"/>
    <xf numFmtId="0" fontId="2" fillId="0" borderId="0" xfId="4" applyFont="1" applyAlignment="1"/>
    <xf numFmtId="0" fontId="2" fillId="0" borderId="0" xfId="4" applyFont="1" applyBorder="1" applyAlignment="1"/>
    <xf numFmtId="0" fontId="2" fillId="0" borderId="0" xfId="4" applyFont="1"/>
    <xf numFmtId="0" fontId="2" fillId="0" borderId="0" xfId="4" applyFont="1" applyFill="1" applyBorder="1"/>
    <xf numFmtId="180" fontId="46" fillId="3" borderId="0" xfId="6" applyNumberFormat="1" applyFont="1" applyFill="1" applyBorder="1"/>
    <xf numFmtId="180" fontId="10" fillId="0" borderId="0" xfId="6" applyNumberFormat="1" applyFont="1" applyFill="1" applyBorder="1"/>
    <xf numFmtId="0" fontId="2" fillId="0" borderId="3" xfId="4" applyFont="1" applyFill="1" applyBorder="1" applyAlignment="1">
      <alignment horizontal="center"/>
    </xf>
    <xf numFmtId="3" fontId="2" fillId="3" borderId="7" xfId="4" applyNumberFormat="1" applyFont="1" applyFill="1" applyBorder="1"/>
    <xf numFmtId="178" fontId="4" fillId="0" borderId="0" xfId="4" applyNumberFormat="1" applyFont="1" applyFill="1" applyBorder="1"/>
    <xf numFmtId="10" fontId="2" fillId="3" borderId="0" xfId="4" applyNumberFormat="1" applyFont="1" applyFill="1" applyBorder="1" applyAlignment="1">
      <alignment horizontal="center"/>
    </xf>
    <xf numFmtId="0" fontId="2" fillId="0" borderId="5" xfId="4" applyFont="1" applyFill="1" applyBorder="1"/>
    <xf numFmtId="0" fontId="2" fillId="3" borderId="10" xfId="4" applyFont="1" applyFill="1" applyBorder="1" applyAlignment="1">
      <alignment horizontal="center"/>
    </xf>
    <xf numFmtId="175" fontId="2" fillId="0" borderId="0" xfId="4" applyNumberFormat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3" fontId="5" fillId="0" borderId="0" xfId="1" applyNumberFormat="1" applyFont="1" applyBorder="1" applyAlignment="1">
      <alignment horizontal="center"/>
    </xf>
    <xf numFmtId="10" fontId="2" fillId="0" borderId="0" xfId="4" applyNumberFormat="1" applyFont="1" applyFill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0" fontId="2" fillId="0" borderId="0" xfId="4" applyFont="1" applyBorder="1"/>
    <xf numFmtId="0" fontId="2" fillId="0" borderId="18" xfId="4" applyFont="1" applyBorder="1"/>
    <xf numFmtId="3" fontId="10" fillId="2" borderId="15" xfId="4" applyNumberFormat="1" applyFont="1" applyFill="1" applyBorder="1"/>
    <xf numFmtId="0" fontId="34" fillId="3" borderId="0" xfId="4" applyFont="1" applyFill="1" applyBorder="1" applyAlignment="1">
      <alignment horizontal="center"/>
    </xf>
    <xf numFmtId="0" fontId="34" fillId="3" borderId="15" xfId="4" applyFont="1" applyFill="1" applyBorder="1" applyAlignment="1">
      <alignment horizontal="center"/>
    </xf>
    <xf numFmtId="0" fontId="34" fillId="3" borderId="6" xfId="4" applyFont="1" applyFill="1" applyBorder="1" applyAlignment="1">
      <alignment horizontal="center"/>
    </xf>
    <xf numFmtId="0" fontId="34" fillId="0" borderId="13" xfId="4" applyFont="1" applyBorder="1" applyAlignment="1">
      <alignment horizontal="center"/>
    </xf>
    <xf numFmtId="190" fontId="4" fillId="0" borderId="0" xfId="0" applyNumberFormat="1" applyFont="1"/>
    <xf numFmtId="0" fontId="13" fillId="11" borderId="1" xfId="4" applyFont="1" applyFill="1" applyBorder="1"/>
    <xf numFmtId="0" fontId="5" fillId="0" borderId="2" xfId="1" applyFont="1" applyBorder="1" applyAlignment="1">
      <alignment horizontal="right"/>
    </xf>
    <xf numFmtId="0" fontId="5" fillId="0" borderId="4" xfId="1" applyFont="1" applyFill="1" applyBorder="1" applyAlignment="1">
      <alignment horizontal="right"/>
    </xf>
    <xf numFmtId="175" fontId="2" fillId="0" borderId="13" xfId="1" applyNumberFormat="1" applyFont="1" applyBorder="1" applyAlignment="1">
      <alignment horizontal="center"/>
    </xf>
    <xf numFmtId="3" fontId="10" fillId="3" borderId="15" xfId="4" applyNumberFormat="1" applyFont="1" applyFill="1" applyBorder="1"/>
    <xf numFmtId="3" fontId="10" fillId="3" borderId="16" xfId="4" applyNumberFormat="1" applyFont="1" applyFill="1" applyBorder="1"/>
    <xf numFmtId="3" fontId="10" fillId="3" borderId="17" xfId="4" applyNumberFormat="1" applyFont="1" applyFill="1" applyBorder="1"/>
    <xf numFmtId="175" fontId="2" fillId="0" borderId="19" xfId="1" applyNumberFormat="1" applyFont="1" applyBorder="1" applyAlignment="1">
      <alignment horizontal="center"/>
    </xf>
    <xf numFmtId="175" fontId="2" fillId="0" borderId="14" xfId="1" applyNumberFormat="1" applyFont="1" applyBorder="1" applyAlignment="1">
      <alignment horizontal="center"/>
    </xf>
    <xf numFmtId="3" fontId="10" fillId="3" borderId="10" xfId="4" applyNumberFormat="1" applyFont="1" applyFill="1" applyBorder="1"/>
    <xf numFmtId="3" fontId="10" fillId="3" borderId="11" xfId="4" applyNumberFormat="1" applyFont="1" applyFill="1" applyBorder="1"/>
    <xf numFmtId="3" fontId="10" fillId="3" borderId="12" xfId="4" applyNumberFormat="1" applyFont="1" applyFill="1" applyBorder="1"/>
    <xf numFmtId="0" fontId="2" fillId="0" borderId="0" xfId="1" applyFont="1"/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0" fontId="5" fillId="0" borderId="4" xfId="1" applyFont="1" applyBorder="1" applyAlignment="1">
      <alignment horizontal="right"/>
    </xf>
    <xf numFmtId="10" fontId="2" fillId="0" borderId="19" xfId="1" applyNumberFormat="1" applyFont="1" applyFill="1" applyBorder="1" applyAlignment="1">
      <alignment horizontal="center"/>
    </xf>
    <xf numFmtId="3" fontId="2" fillId="0" borderId="0" xfId="1" applyNumberFormat="1" applyFont="1" applyFill="1" applyBorder="1"/>
    <xf numFmtId="3" fontId="2" fillId="0" borderId="6" xfId="1" applyNumberFormat="1" applyFont="1" applyFill="1" applyBorder="1"/>
    <xf numFmtId="10" fontId="2" fillId="0" borderId="14" xfId="1" applyNumberFormat="1" applyFont="1" applyFill="1" applyBorder="1" applyAlignment="1">
      <alignment horizontal="center"/>
    </xf>
    <xf numFmtId="0" fontId="5" fillId="0" borderId="21" xfId="1" applyFont="1" applyBorder="1" applyAlignment="1">
      <alignment horizontal="center"/>
    </xf>
    <xf numFmtId="1" fontId="10" fillId="3" borderId="21" xfId="4" applyNumberFormat="1" applyFont="1" applyFill="1" applyBorder="1" applyAlignment="1">
      <alignment horizontal="center"/>
    </xf>
    <xf numFmtId="0" fontId="2" fillId="0" borderId="0" xfId="1" applyFont="1" applyFill="1"/>
    <xf numFmtId="2" fontId="5" fillId="0" borderId="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4" xfId="1" applyNumberFormat="1" applyFont="1" applyFill="1" applyBorder="1"/>
    <xf numFmtId="3" fontId="2" fillId="0" borderId="5" xfId="1" applyNumberFormat="1" applyFont="1" applyFill="1" applyBorder="1"/>
    <xf numFmtId="3" fontId="10" fillId="0" borderId="5" xfId="1" applyNumberFormat="1" applyFont="1" applyFill="1" applyBorder="1"/>
    <xf numFmtId="3" fontId="10" fillId="0" borderId="0" xfId="1" applyNumberFormat="1" applyFont="1" applyFill="1" applyBorder="1"/>
    <xf numFmtId="3" fontId="10" fillId="0" borderId="6" xfId="1" applyNumberFormat="1" applyFont="1" applyFill="1" applyBorder="1"/>
    <xf numFmtId="0" fontId="2" fillId="0" borderId="0" xfId="1" applyFont="1" applyBorder="1"/>
    <xf numFmtId="3" fontId="2" fillId="0" borderId="9" xfId="1" applyNumberFormat="1" applyFont="1" applyFill="1" applyBorder="1"/>
    <xf numFmtId="3" fontId="2" fillId="0" borderId="5" xfId="1" applyNumberFormat="1" applyFont="1" applyBorder="1"/>
    <xf numFmtId="3" fontId="2" fillId="0" borderId="0" xfId="1" applyNumberFormat="1" applyFont="1" applyBorder="1"/>
    <xf numFmtId="0" fontId="2" fillId="0" borderId="5" xfId="1" applyFont="1" applyBorder="1"/>
    <xf numFmtId="0" fontId="2" fillId="0" borderId="6" xfId="1" applyFont="1" applyBorder="1"/>
    <xf numFmtId="3" fontId="2" fillId="0" borderId="10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Fill="1" applyBorder="1"/>
    <xf numFmtId="175" fontId="2" fillId="0" borderId="19" xfId="4" applyNumberFormat="1" applyFont="1" applyFill="1" applyBorder="1" applyAlignment="1">
      <alignment horizontal="center"/>
    </xf>
    <xf numFmtId="175" fontId="2" fillId="0" borderId="14" xfId="4" applyNumberFormat="1" applyFont="1" applyFill="1" applyBorder="1" applyAlignment="1">
      <alignment horizontal="center"/>
    </xf>
    <xf numFmtId="3" fontId="2" fillId="0" borderId="2" xfId="3" applyNumberFormat="1" applyFont="1" applyFill="1" applyBorder="1"/>
    <xf numFmtId="3" fontId="2" fillId="0" borderId="3" xfId="3" applyNumberFormat="1" applyFont="1" applyFill="1" applyBorder="1"/>
    <xf numFmtId="3" fontId="2" fillId="0" borderId="4" xfId="3" applyNumberFormat="1" applyFont="1" applyFill="1" applyBorder="1"/>
    <xf numFmtId="3" fontId="2" fillId="0" borderId="0" xfId="3" applyNumberFormat="1" applyFont="1" applyFill="1" applyBorder="1"/>
    <xf numFmtId="0" fontId="5" fillId="0" borderId="2" xfId="1" quotePrefix="1" applyFont="1" applyFill="1" applyBorder="1" applyAlignment="1">
      <alignment horizontal="right"/>
    </xf>
    <xf numFmtId="0" fontId="5" fillId="0" borderId="3" xfId="1" quotePrefix="1" applyFont="1" applyFill="1" applyBorder="1" applyAlignment="1">
      <alignment horizontal="right"/>
    </xf>
    <xf numFmtId="0" fontId="5" fillId="0" borderId="4" xfId="1" quotePrefix="1" applyFont="1" applyFill="1" applyBorder="1" applyAlignment="1">
      <alignment horizontal="right"/>
    </xf>
    <xf numFmtId="3" fontId="2" fillId="0" borderId="17" xfId="3" applyNumberFormat="1" applyFont="1" applyFill="1" applyBorder="1"/>
    <xf numFmtId="10" fontId="2" fillId="0" borderId="13" xfId="4" applyNumberFormat="1" applyFont="1" applyFill="1" applyBorder="1" applyAlignment="1">
      <alignment horizontal="center"/>
    </xf>
    <xf numFmtId="3" fontId="2" fillId="0" borderId="5" xfId="4" applyNumberFormat="1" applyFont="1" applyFill="1" applyBorder="1"/>
    <xf numFmtId="3" fontId="2" fillId="0" borderId="6" xfId="4" applyNumberFormat="1" applyFont="1" applyFill="1" applyBorder="1"/>
    <xf numFmtId="10" fontId="2" fillId="0" borderId="19" xfId="6" applyNumberFormat="1" applyFont="1" applyFill="1" applyBorder="1" applyAlignment="1">
      <alignment horizontal="center"/>
    </xf>
    <xf numFmtId="10" fontId="2" fillId="0" borderId="14" xfId="6" applyNumberFormat="1" applyFont="1" applyFill="1" applyBorder="1" applyAlignment="1">
      <alignment horizontal="center"/>
    </xf>
    <xf numFmtId="3" fontId="2" fillId="0" borderId="7" xfId="4" applyNumberFormat="1" applyFont="1" applyFill="1" applyBorder="1"/>
    <xf numFmtId="3" fontId="2" fillId="0" borderId="8" xfId="4" applyNumberFormat="1" applyFont="1" applyFill="1" applyBorder="1"/>
    <xf numFmtId="3" fontId="2" fillId="0" borderId="9" xfId="4" applyNumberFormat="1" applyFont="1" applyFill="1" applyBorder="1"/>
    <xf numFmtId="0" fontId="2" fillId="0" borderId="0" xfId="1" applyFont="1" applyFill="1" applyBorder="1"/>
    <xf numFmtId="175" fontId="10" fillId="3" borderId="14" xfId="1" applyNumberFormat="1" applyFont="1" applyFill="1" applyBorder="1" applyAlignment="1">
      <alignment horizontal="center"/>
    </xf>
    <xf numFmtId="0" fontId="14" fillId="0" borderId="0" xfId="4" applyFont="1" applyFill="1" applyBorder="1"/>
    <xf numFmtId="17" fontId="4" fillId="0" borderId="15" xfId="1" applyNumberFormat="1" applyFont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3" fontId="2" fillId="3" borderId="8" xfId="4" applyNumberFormat="1" applyFont="1" applyFill="1" applyBorder="1"/>
    <xf numFmtId="0" fontId="2" fillId="3" borderId="11" xfId="4" applyFont="1" applyFill="1" applyBorder="1" applyAlignment="1">
      <alignment horizontal="center"/>
    </xf>
    <xf numFmtId="0" fontId="5" fillId="0" borderId="21" xfId="0" applyFont="1" applyFill="1" applyBorder="1" applyAlignment="1" applyProtection="1">
      <alignment horizontal="center"/>
    </xf>
    <xf numFmtId="3" fontId="2" fillId="3" borderId="9" xfId="4" applyNumberFormat="1" applyFont="1" applyFill="1" applyBorder="1"/>
    <xf numFmtId="0" fontId="5" fillId="0" borderId="15" xfId="4" quotePrefix="1" applyFont="1" applyFill="1" applyBorder="1" applyAlignment="1">
      <alignment horizontal="center"/>
    </xf>
    <xf numFmtId="0" fontId="5" fillId="0" borderId="16" xfId="4" quotePrefix="1" applyFont="1" applyFill="1" applyBorder="1" applyAlignment="1">
      <alignment horizontal="center"/>
    </xf>
    <xf numFmtId="0" fontId="5" fillId="0" borderId="17" xfId="4" quotePrefix="1" applyFont="1" applyFill="1" applyBorder="1" applyAlignment="1">
      <alignment horizontal="center"/>
    </xf>
    <xf numFmtId="0" fontId="34" fillId="3" borderId="10" xfId="4" applyFont="1" applyFill="1" applyBorder="1" applyAlignment="1">
      <alignment horizontal="center"/>
    </xf>
    <xf numFmtId="0" fontId="2" fillId="3" borderId="12" xfId="4" applyFont="1" applyFill="1" applyBorder="1" applyAlignment="1">
      <alignment horizontal="center"/>
    </xf>
    <xf numFmtId="0" fontId="2" fillId="0" borderId="13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1" fontId="11" fillId="0" borderId="0" xfId="0" applyNumberFormat="1" applyFont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5" fillId="0" borderId="21" xfId="4" applyFont="1" applyFill="1" applyBorder="1" applyAlignment="1">
      <alignment horizontal="center"/>
    </xf>
    <xf numFmtId="0" fontId="2" fillId="0" borderId="0" xfId="0" applyFont="1"/>
    <xf numFmtId="0" fontId="2" fillId="0" borderId="0" xfId="7"/>
    <xf numFmtId="0" fontId="5" fillId="0" borderId="21" xfId="7" applyFont="1" applyBorder="1"/>
    <xf numFmtId="0" fontId="2" fillId="0" borderId="16" xfId="7" applyBorder="1"/>
    <xf numFmtId="0" fontId="5" fillId="0" borderId="21" xfId="7" applyFont="1" applyBorder="1" applyAlignment="1">
      <alignment horizontal="right"/>
    </xf>
    <xf numFmtId="0" fontId="5" fillId="0" borderId="21" xfId="7" applyFont="1" applyBorder="1" applyAlignment="1">
      <alignment horizontal="center" wrapText="1"/>
    </xf>
    <xf numFmtId="0" fontId="2" fillId="0" borderId="13" xfId="7" applyBorder="1"/>
    <xf numFmtId="3" fontId="2" fillId="0" borderId="19" xfId="7" applyNumberFormat="1" applyBorder="1"/>
    <xf numFmtId="0" fontId="2" fillId="0" borderId="0" xfId="7" applyBorder="1"/>
    <xf numFmtId="4" fontId="2" fillId="12" borderId="19" xfId="7" applyNumberFormat="1" applyFill="1" applyBorder="1"/>
    <xf numFmtId="175" fontId="2" fillId="12" borderId="19" xfId="7" applyNumberFormat="1" applyFill="1" applyBorder="1" applyAlignment="1">
      <alignment horizontal="center"/>
    </xf>
    <xf numFmtId="175" fontId="48" fillId="12" borderId="19" xfId="7" applyNumberFormat="1" applyFont="1" applyFill="1" applyBorder="1" applyAlignment="1">
      <alignment horizontal="center"/>
    </xf>
    <xf numFmtId="191" fontId="2" fillId="0" borderId="0" xfId="7" applyNumberFormat="1"/>
    <xf numFmtId="0" fontId="2" fillId="0" borderId="19" xfId="7" applyBorder="1"/>
    <xf numFmtId="0" fontId="2" fillId="0" borderId="14" xfId="7" applyBorder="1"/>
    <xf numFmtId="3" fontId="2" fillId="0" borderId="21" xfId="7" applyNumberFormat="1" applyBorder="1"/>
    <xf numFmtId="0" fontId="2" fillId="0" borderId="11" xfId="7" applyBorder="1"/>
    <xf numFmtId="4" fontId="2" fillId="0" borderId="21" xfId="7" applyNumberFormat="1" applyBorder="1"/>
    <xf numFmtId="0" fontId="38" fillId="0" borderId="4" xfId="4" applyFont="1" applyBorder="1" applyAlignment="1">
      <alignment horizontal="center"/>
    </xf>
    <xf numFmtId="10" fontId="2" fillId="3" borderId="5" xfId="4" applyNumberFormat="1" applyFont="1" applyFill="1" applyBorder="1" applyAlignment="1">
      <alignment horizontal="center"/>
    </xf>
    <xf numFmtId="10" fontId="2" fillId="3" borderId="6" xfId="4" applyNumberFormat="1" applyFont="1" applyFill="1" applyBorder="1" applyAlignment="1">
      <alignment horizontal="center"/>
    </xf>
    <xf numFmtId="178" fontId="2" fillId="0" borderId="10" xfId="4" applyNumberFormat="1" applyFont="1" applyFill="1" applyBorder="1" applyAlignment="1">
      <alignment horizontal="center"/>
    </xf>
    <xf numFmtId="178" fontId="2" fillId="0" borderId="11" xfId="4" applyNumberFormat="1" applyFont="1" applyFill="1" applyBorder="1" applyAlignment="1">
      <alignment horizontal="center"/>
    </xf>
    <xf numFmtId="178" fontId="2" fillId="0" borderId="12" xfId="4" applyNumberFormat="1" applyFont="1" applyFill="1" applyBorder="1" applyAlignment="1">
      <alignment horizontal="center"/>
    </xf>
    <xf numFmtId="0" fontId="47" fillId="11" borderId="0" xfId="7" applyFont="1" applyFill="1"/>
    <xf numFmtId="0" fontId="5" fillId="0" borderId="0" xfId="7" applyFont="1" applyBorder="1" applyAlignment="1">
      <alignment horizontal="left"/>
    </xf>
    <xf numFmtId="0" fontId="5" fillId="0" borderId="3" xfId="7" applyFont="1" applyBorder="1"/>
    <xf numFmtId="4" fontId="2" fillId="12" borderId="0" xfId="7" applyNumberFormat="1" applyFill="1"/>
    <xf numFmtId="0" fontId="47" fillId="0" borderId="0" xfId="7" applyFont="1"/>
    <xf numFmtId="3" fontId="47" fillId="0" borderId="0" xfId="7" applyNumberFormat="1" applyFont="1" applyAlignment="1">
      <alignment horizontal="left"/>
    </xf>
    <xf numFmtId="0" fontId="2" fillId="0" borderId="0" xfId="7" applyFont="1"/>
    <xf numFmtId="175" fontId="2" fillId="0" borderId="0" xfId="7" applyNumberFormat="1" applyAlignment="1">
      <alignment horizontal="left"/>
    </xf>
    <xf numFmtId="175" fontId="2" fillId="0" borderId="13" xfId="7" applyNumberFormat="1" applyBorder="1" applyAlignment="1">
      <alignment horizontal="left"/>
    </xf>
    <xf numFmtId="0" fontId="2" fillId="0" borderId="15" xfId="7" applyBorder="1"/>
    <xf numFmtId="0" fontId="2" fillId="0" borderId="17" xfId="7" applyBorder="1" applyAlignment="1">
      <alignment horizontal="center"/>
    </xf>
    <xf numFmtId="0" fontId="2" fillId="0" borderId="13" xfId="7" applyBorder="1" applyAlignment="1">
      <alignment horizontal="center"/>
    </xf>
    <xf numFmtId="175" fontId="2" fillId="0" borderId="14" xfId="7" applyNumberFormat="1" applyBorder="1" applyAlignment="1">
      <alignment horizontal="center"/>
    </xf>
    <xf numFmtId="0" fontId="2" fillId="0" borderId="14" xfId="7" applyBorder="1" applyAlignment="1">
      <alignment horizontal="center"/>
    </xf>
    <xf numFmtId="0" fontId="2" fillId="0" borderId="10" xfId="7" applyBorder="1" applyAlignment="1">
      <alignment horizontal="center"/>
    </xf>
    <xf numFmtId="0" fontId="2" fillId="0" borderId="12" xfId="7" applyBorder="1" applyAlignment="1">
      <alignment horizontal="center"/>
    </xf>
    <xf numFmtId="0" fontId="47" fillId="0" borderId="14" xfId="7" applyFont="1" applyBorder="1" applyAlignment="1">
      <alignment horizontal="right"/>
    </xf>
    <xf numFmtId="0" fontId="5" fillId="0" borderId="19" xfId="7" applyFont="1" applyBorder="1" applyAlignment="1">
      <alignment horizontal="center"/>
    </xf>
    <xf numFmtId="0" fontId="2" fillId="0" borderId="19" xfId="7" applyBorder="1" applyAlignment="1">
      <alignment horizontal="center"/>
    </xf>
    <xf numFmtId="3" fontId="2" fillId="0" borderId="5" xfId="7" applyNumberFormat="1" applyBorder="1" applyAlignment="1">
      <alignment horizontal="center"/>
    </xf>
    <xf numFmtId="3" fontId="2" fillId="0" borderId="6" xfId="7" applyNumberFormat="1" applyBorder="1" applyAlignment="1">
      <alignment horizontal="center"/>
    </xf>
    <xf numFmtId="175" fontId="2" fillId="0" borderId="19" xfId="7" applyNumberFormat="1" applyBorder="1" applyAlignment="1">
      <alignment horizontal="center"/>
    </xf>
    <xf numFmtId="0" fontId="5" fillId="0" borderId="14" xfId="7" applyFont="1" applyBorder="1"/>
    <xf numFmtId="0" fontId="2" fillId="0" borderId="10" xfId="7" applyBorder="1"/>
    <xf numFmtId="3" fontId="2" fillId="0" borderId="4" xfId="7" applyNumberFormat="1" applyBorder="1" applyAlignment="1">
      <alignment horizontal="center"/>
    </xf>
    <xf numFmtId="168" fontId="5" fillId="0" borderId="21" xfId="7" applyNumberFormat="1" applyFont="1" applyBorder="1" applyAlignment="1">
      <alignment horizontal="center"/>
    </xf>
    <xf numFmtId="3" fontId="47" fillId="0" borderId="21" xfId="7" applyNumberFormat="1" applyFont="1" applyBorder="1"/>
    <xf numFmtId="0" fontId="5" fillId="0" borderId="0" xfId="7" applyFont="1"/>
    <xf numFmtId="0" fontId="50" fillId="0" borderId="4" xfId="4" applyFont="1" applyBorder="1" applyAlignment="1">
      <alignment horizontal="center"/>
    </xf>
    <xf numFmtId="192" fontId="4" fillId="0" borderId="0" xfId="0" applyNumberFormat="1" applyFont="1" applyProtection="1"/>
    <xf numFmtId="4" fontId="2" fillId="13" borderId="19" xfId="7" applyNumberFormat="1" applyFill="1" applyBorder="1"/>
    <xf numFmtId="193" fontId="5" fillId="13" borderId="21" xfId="7" applyNumberFormat="1" applyFont="1" applyFill="1" applyBorder="1" applyAlignment="1">
      <alignment horizontal="center"/>
    </xf>
    <xf numFmtId="0" fontId="49" fillId="13" borderId="2" xfId="7" applyFont="1" applyFill="1" applyBorder="1" applyAlignment="1">
      <alignment horizontal="center"/>
    </xf>
    <xf numFmtId="3" fontId="12" fillId="13" borderId="15" xfId="0" applyNumberFormat="1" applyFont="1" applyFill="1" applyBorder="1"/>
    <xf numFmtId="0" fontId="5" fillId="13" borderId="16" xfId="7" applyFont="1" applyFill="1" applyBorder="1"/>
    <xf numFmtId="0" fontId="5" fillId="13" borderId="17" xfId="7" applyFont="1" applyFill="1" applyBorder="1"/>
    <xf numFmtId="10" fontId="2" fillId="13" borderId="5" xfId="7" applyNumberFormat="1" applyFont="1" applyFill="1" applyBorder="1" applyAlignment="1">
      <alignment horizontal="center"/>
    </xf>
    <xf numFmtId="175" fontId="5" fillId="13" borderId="5" xfId="0" applyNumberFormat="1" applyFont="1" applyFill="1" applyBorder="1" applyProtection="1"/>
    <xf numFmtId="194" fontId="5" fillId="13" borderId="0" xfId="0" applyNumberFormat="1" applyFont="1" applyFill="1" applyBorder="1" applyProtection="1"/>
    <xf numFmtId="0" fontId="5" fillId="13" borderId="0" xfId="7" applyFont="1" applyFill="1" applyBorder="1"/>
    <xf numFmtId="0" fontId="5" fillId="13" borderId="6" xfId="7" applyFont="1" applyFill="1" applyBorder="1"/>
    <xf numFmtId="178" fontId="2" fillId="13" borderId="12" xfId="4" applyNumberFormat="1" applyFont="1" applyFill="1" applyBorder="1" applyAlignment="1">
      <alignment horizontal="center"/>
    </xf>
    <xf numFmtId="175" fontId="5" fillId="13" borderId="10" xfId="0" applyNumberFormat="1" applyFont="1" applyFill="1" applyBorder="1" applyProtection="1"/>
    <xf numFmtId="194" fontId="5" fillId="13" borderId="11" xfId="0" applyNumberFormat="1" applyFont="1" applyFill="1" applyBorder="1" applyProtection="1"/>
    <xf numFmtId="0" fontId="5" fillId="13" borderId="11" xfId="7" applyFont="1" applyFill="1" applyBorder="1"/>
    <xf numFmtId="0" fontId="5" fillId="13" borderId="12" xfId="7" applyFont="1" applyFill="1" applyBorder="1"/>
    <xf numFmtId="0" fontId="2" fillId="0" borderId="2" xfId="7" applyBorder="1" applyAlignment="1">
      <alignment horizontal="center"/>
    </xf>
    <xf numFmtId="0" fontId="1" fillId="0" borderId="4" xfId="8" applyBorder="1" applyAlignment="1">
      <alignment horizontal="center"/>
    </xf>
    <xf numFmtId="0" fontId="47" fillId="11" borderId="2" xfId="7" applyFont="1" applyFill="1" applyBorder="1" applyAlignment="1">
      <alignment horizontal="center"/>
    </xf>
    <xf numFmtId="0" fontId="1" fillId="0" borderId="3" xfId="8" applyBorder="1" applyAlignment="1">
      <alignment horizontal="center"/>
    </xf>
    <xf numFmtId="0" fontId="2" fillId="0" borderId="3" xfId="7" applyBorder="1" applyAlignment="1"/>
    <xf numFmtId="0" fontId="2" fillId="0" borderId="4" xfId="7" applyBorder="1" applyAlignment="1"/>
    <xf numFmtId="0" fontId="5" fillId="4" borderId="2" xfId="4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2" xfId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6" fillId="4" borderId="2" xfId="1" applyFont="1" applyFill="1" applyBorder="1" applyAlignment="1" applyProtection="1">
      <alignment horizontal="center"/>
    </xf>
    <xf numFmtId="0" fontId="6" fillId="4" borderId="3" xfId="1" applyFont="1" applyFill="1" applyBorder="1" applyAlignment="1" applyProtection="1">
      <alignment horizontal="center"/>
    </xf>
    <xf numFmtId="0" fontId="7" fillId="4" borderId="3" xfId="1" applyFont="1" applyFill="1" applyBorder="1" applyAlignment="1" applyProtection="1">
      <alignment horizontal="center"/>
    </xf>
    <xf numFmtId="0" fontId="7" fillId="4" borderId="4" xfId="1" applyFont="1" applyFill="1" applyBorder="1" applyAlignment="1" applyProtection="1">
      <alignment horizontal="center"/>
    </xf>
    <xf numFmtId="2" fontId="5" fillId="0" borderId="2" xfId="1" applyNumberFormat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2" fontId="5" fillId="0" borderId="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5" fillId="0" borderId="2" xfId="4" applyFont="1" applyFill="1" applyBorder="1" applyAlignment="1">
      <alignment horizontal="center"/>
    </xf>
  </cellXfs>
  <cellStyles count="10">
    <cellStyle name="Comma" xfId="2" builtinId="3"/>
    <cellStyle name="Currency" xfId="3" builtinId="4"/>
    <cellStyle name="Normal" xfId="0" builtinId="0"/>
    <cellStyle name="Normal 2" xfId="7"/>
    <cellStyle name="Normal 3" xfId="8"/>
    <cellStyle name="Normal_CP Templates 260209 am" xfId="4"/>
    <cellStyle name="Normal_Tax Dep" xfId="5"/>
    <cellStyle name="Percent" xfId="6" builtinId="5"/>
    <cellStyle name="Percent 2" xfId="9"/>
    <cellStyle name="Style 1" xfId="1"/>
  </cellStyles>
  <dxfs count="1"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78"/>
  <sheetViews>
    <sheetView tabSelected="1" zoomScale="80" zoomScaleNormal="80" workbookViewId="0"/>
  </sheetViews>
  <sheetFormatPr defaultRowHeight="12.75" outlineLevelRow="1" x14ac:dyDescent="0.2"/>
  <cols>
    <col min="1" max="1" width="42.85546875" style="890" customWidth="1"/>
    <col min="2" max="2" width="16" style="890" customWidth="1"/>
    <col min="3" max="3" width="12" style="890" customWidth="1"/>
    <col min="4" max="4" width="14.85546875" style="890" customWidth="1"/>
    <col min="5" max="5" width="13.42578125" style="890" customWidth="1"/>
    <col min="6" max="6" width="13.5703125" style="890" customWidth="1"/>
    <col min="7" max="7" width="13.140625" style="890" customWidth="1"/>
    <col min="8" max="8" width="13.85546875" style="890" customWidth="1"/>
    <col min="9" max="9" width="14.5703125" style="890" customWidth="1"/>
    <col min="10" max="10" width="16.85546875" style="890" customWidth="1"/>
    <col min="11" max="11" width="15" style="890" customWidth="1"/>
    <col min="12" max="12" width="13.85546875" style="890" customWidth="1"/>
    <col min="13" max="13" width="16.42578125" style="890" customWidth="1"/>
    <col min="14" max="16384" width="9.140625" style="890"/>
  </cols>
  <sheetData>
    <row r="3" spans="1:13" x14ac:dyDescent="0.2">
      <c r="B3" s="961" t="s">
        <v>408</v>
      </c>
      <c r="C3" s="962"/>
      <c r="D3" s="962"/>
      <c r="E3" s="962"/>
      <c r="F3" s="960"/>
      <c r="H3" s="961" t="s">
        <v>409</v>
      </c>
      <c r="I3" s="963"/>
      <c r="J3" s="964"/>
    </row>
    <row r="4" spans="1:13" ht="25.5" x14ac:dyDescent="0.2">
      <c r="A4" s="891" t="s">
        <v>410</v>
      </c>
      <c r="B4" s="891" t="str">
        <f>'AMI RAB 2009-15'!A19</f>
        <v>($000 Real 2008)</v>
      </c>
      <c r="C4" s="892"/>
      <c r="D4" s="893" t="s">
        <v>411</v>
      </c>
      <c r="E4" s="894" t="s">
        <v>412</v>
      </c>
      <c r="F4" s="894" t="s">
        <v>413</v>
      </c>
      <c r="H4" s="893" t="s">
        <v>414</v>
      </c>
      <c r="I4" s="894" t="s">
        <v>415</v>
      </c>
      <c r="J4" s="894" t="s">
        <v>416</v>
      </c>
    </row>
    <row r="5" spans="1:13" x14ac:dyDescent="0.2">
      <c r="A5" s="895" t="str">
        <f>'AMI RAB 2009-15'!A38</f>
        <v>Remotely read interval meters &amp; transformers</v>
      </c>
      <c r="B5" s="896">
        <f>'AMI RAB 2009-15'!K40</f>
        <v>230323.08126345355</v>
      </c>
      <c r="C5" s="897"/>
      <c r="D5" s="943">
        <f>B5*$I$15/10^3</f>
        <v>280.08420773070156</v>
      </c>
      <c r="E5" s="899">
        <f>'DNSP Data Inputs 2013-15'!C12</f>
        <v>15</v>
      </c>
      <c r="F5" s="899">
        <f>F36</f>
        <v>11.239936293310807</v>
      </c>
      <c r="H5" s="898">
        <f>'AMI Tax Depn 2009-15'!K24/10^3</f>
        <v>71.090901689979773</v>
      </c>
      <c r="I5" s="900">
        <v>15</v>
      </c>
      <c r="J5" s="899">
        <f>I5*F5/E5</f>
        <v>11.239936293310807</v>
      </c>
      <c r="L5" s="901"/>
    </row>
    <row r="6" spans="1:13" x14ac:dyDescent="0.2">
      <c r="A6" s="902" t="str">
        <f>'AMI RAB 2009-15'!A48</f>
        <v>IT</v>
      </c>
      <c r="B6" s="896">
        <f>'AMI RAB 2009-15'!K50</f>
        <v>26359.825180816737</v>
      </c>
      <c r="C6" s="897"/>
      <c r="D6" s="943">
        <f t="shared" ref="D6:D8" si="0">B6*$I$15/10^3</f>
        <v>32.05484535544177</v>
      </c>
      <c r="E6" s="899">
        <f>'DNSP Data Inputs 2013-15'!C13</f>
        <v>7</v>
      </c>
      <c r="F6" s="899">
        <f>F50</f>
        <v>3.8384573886203479</v>
      </c>
      <c r="H6" s="898">
        <f>'AMI Tax Depn 2009-15'!K36/10^3</f>
        <v>15.138238149808299</v>
      </c>
      <c r="I6" s="900">
        <v>3</v>
      </c>
      <c r="J6" s="899">
        <f t="shared" ref="J6:J8" si="1">I6*F6/E6</f>
        <v>1.6450531665515775</v>
      </c>
      <c r="L6" s="901"/>
    </row>
    <row r="7" spans="1:13" x14ac:dyDescent="0.2">
      <c r="A7" s="902" t="str">
        <f>'AMI RAB 2009-15'!A58</f>
        <v>Communications</v>
      </c>
      <c r="B7" s="896">
        <f>'AMI RAB 2009-15'!K60</f>
        <v>15849.552994546659</v>
      </c>
      <c r="C7" s="897"/>
      <c r="D7" s="943">
        <f t="shared" si="0"/>
        <v>19.273836859995843</v>
      </c>
      <c r="E7" s="899">
        <f>'DNSP Data Inputs 2013-15'!C14</f>
        <v>7</v>
      </c>
      <c r="F7" s="899">
        <f>F64</f>
        <v>3.5773673108914217</v>
      </c>
      <c r="H7" s="898">
        <f>'AMI Tax Depn 2009-15'!K42/10^3</f>
        <v>16.579204001586863</v>
      </c>
      <c r="I7" s="900">
        <v>3</v>
      </c>
      <c r="J7" s="899">
        <f t="shared" si="1"/>
        <v>1.5331574189534665</v>
      </c>
      <c r="L7" s="901"/>
    </row>
    <row r="8" spans="1:13" x14ac:dyDescent="0.2">
      <c r="A8" s="902" t="str">
        <f>'AMI RAB 2009-15'!A68</f>
        <v>Other</v>
      </c>
      <c r="B8" s="896">
        <f>'AMI RAB 2009-15'!K70</f>
        <v>565.60671957813099</v>
      </c>
      <c r="C8" s="897"/>
      <c r="D8" s="943">
        <f t="shared" si="0"/>
        <v>0.68780562100503095</v>
      </c>
      <c r="E8" s="899">
        <f>'DNSP Data Inputs 2013-15'!C15</f>
        <v>7</v>
      </c>
      <c r="F8" s="899">
        <f>F78</f>
        <v>3.5613670862228197</v>
      </c>
      <c r="H8" s="898">
        <f>'AMI Tax Depn 2009-15'!K48/10^3</f>
        <v>0.91402779393047195</v>
      </c>
      <c r="I8" s="900">
        <v>3</v>
      </c>
      <c r="J8" s="899">
        <f t="shared" si="1"/>
        <v>1.5263001798097799</v>
      </c>
      <c r="L8" s="901"/>
    </row>
    <row r="9" spans="1:13" x14ac:dyDescent="0.2">
      <c r="A9" s="903"/>
      <c r="B9" s="904">
        <f>SUM(B5:B8)</f>
        <v>273098.06615839509</v>
      </c>
      <c r="C9" s="905"/>
      <c r="D9" s="906">
        <f>SUM(D5:D8)</f>
        <v>332.10069556714427</v>
      </c>
      <c r="E9" s="903"/>
      <c r="F9" s="903"/>
      <c r="H9" s="906">
        <f>SUM(H5:H8)</f>
        <v>103.72237163530541</v>
      </c>
      <c r="I9" s="903"/>
      <c r="J9" s="903"/>
    </row>
    <row r="12" spans="1:13" x14ac:dyDescent="0.2">
      <c r="A12" s="784"/>
      <c r="B12" s="878">
        <f>'Data 2009-15 (Real $2008)'!D142</f>
        <v>2009</v>
      </c>
      <c r="C12" s="879">
        <f>'Data 2009-15 (Real $2008)'!E142</f>
        <v>2010</v>
      </c>
      <c r="D12" s="879">
        <f>'Data 2009-15 (Real $2008)'!F142</f>
        <v>2011</v>
      </c>
      <c r="E12" s="879">
        <f>'Data 2009-15 (Real $2008)'!G142</f>
        <v>2012</v>
      </c>
      <c r="F12" s="879">
        <f>'Data 2009-15 (Real $2008)'!H142</f>
        <v>2013</v>
      </c>
      <c r="G12" s="879">
        <f>'Data 2009-15 (Real $2008)'!I142</f>
        <v>2014</v>
      </c>
      <c r="H12" s="880">
        <f>'Data 2009-15 (Real $2008)'!J142</f>
        <v>2015</v>
      </c>
      <c r="I12" s="944">
        <v>42339</v>
      </c>
    </row>
    <row r="13" spans="1:13" x14ac:dyDescent="0.2">
      <c r="A13" s="41" t="s">
        <v>86</v>
      </c>
      <c r="B13" s="704" t="str">
        <f>'Data 2009-15 (Real $2008)'!D143</f>
        <v>Actual</v>
      </c>
      <c r="C13" s="678" t="str">
        <f>'Data 2009-15 (Real $2008)'!E143</f>
        <v>Actual</v>
      </c>
      <c r="D13" s="678" t="str">
        <f>'Data 2009-15 (Real $2008)'!F143</f>
        <v>Actual</v>
      </c>
      <c r="E13" s="678" t="str">
        <f>'Data 2009-15 (Real $2008)'!G143</f>
        <v>Actual</v>
      </c>
      <c r="F13" s="678" t="str">
        <f>'Data 2009-15 (Real $2008)'!H143</f>
        <v>Actual</v>
      </c>
      <c r="G13" s="678" t="str">
        <f>'Data 2009-15 (Real $2008)'!I143</f>
        <v>Actual</v>
      </c>
      <c r="H13" s="907" t="str">
        <f>'Data 2009-15 (Real $2008)'!J143</f>
        <v>Actual</v>
      </c>
      <c r="I13" s="945" t="s">
        <v>20</v>
      </c>
      <c r="J13" s="946" t="s">
        <v>423</v>
      </c>
      <c r="K13" s="947"/>
      <c r="L13" s="947"/>
      <c r="M13" s="948"/>
    </row>
    <row r="14" spans="1:13" x14ac:dyDescent="0.2">
      <c r="A14" s="784" t="s">
        <v>87</v>
      </c>
      <c r="B14" s="908">
        <f>'Data 2009-15 (Real $2008)'!D144</f>
        <v>4.9810844892812067E-2</v>
      </c>
      <c r="C14" s="791">
        <f>'Data 2009-15 (Real $2008)'!E144</f>
        <v>1.2612612612612484E-2</v>
      </c>
      <c r="D14" s="791">
        <f>'Data 2009-15 (Real $2008)'!F144</f>
        <v>2.7876631079478242E-2</v>
      </c>
      <c r="E14" s="791">
        <f>'Data 2009-15 (Real $2008)'!G144</f>
        <v>3.5199076745527913E-2</v>
      </c>
      <c r="F14" s="791">
        <f>'Data 2009-15 (Real $2008)'!H144</f>
        <v>2.0040080160320661E-2</v>
      </c>
      <c r="G14" s="791">
        <f>'Data 2009-15 (Real $2008)'!I144</f>
        <v>2.16110019646365E-2</v>
      </c>
      <c r="H14" s="909">
        <f>'Data 2009-15 (Real $2008)'!J144</f>
        <v>2.3076923076923217E-2</v>
      </c>
      <c r="I14" s="949">
        <f>J15/J14-1</f>
        <v>8.3720930232558111E-3</v>
      </c>
      <c r="J14" s="950">
        <v>107.5</v>
      </c>
      <c r="K14" s="951">
        <v>42185</v>
      </c>
      <c r="L14" s="952"/>
      <c r="M14" s="953"/>
    </row>
    <row r="15" spans="1:13" x14ac:dyDescent="0.2">
      <c r="A15" s="784" t="s">
        <v>36</v>
      </c>
      <c r="B15" s="910">
        <f>1+B14</f>
        <v>1.0498108448928121</v>
      </c>
      <c r="C15" s="911">
        <f t="shared" ref="C15:I15" si="2">B15*(1+C14)</f>
        <v>1.0630517023959645</v>
      </c>
      <c r="D15" s="911">
        <f t="shared" si="2"/>
        <v>1.0926860025220682</v>
      </c>
      <c r="E15" s="911">
        <f t="shared" si="2"/>
        <v>1.1311475409836065</v>
      </c>
      <c r="F15" s="911">
        <f t="shared" si="2"/>
        <v>1.1538158283780675</v>
      </c>
      <c r="G15" s="911">
        <f t="shared" si="2"/>
        <v>1.1787509445119746</v>
      </c>
      <c r="H15" s="912">
        <f t="shared" si="2"/>
        <v>1.205952889385328</v>
      </c>
      <c r="I15" s="954">
        <f t="shared" si="2"/>
        <v>1.216049239156926</v>
      </c>
      <c r="J15" s="955">
        <v>108.4</v>
      </c>
      <c r="K15" s="956">
        <v>42369</v>
      </c>
      <c r="L15" s="957"/>
      <c r="M15" s="958"/>
    </row>
    <row r="18" spans="1:7" x14ac:dyDescent="0.2">
      <c r="A18" s="913" t="s">
        <v>417</v>
      </c>
    </row>
    <row r="19" spans="1:7" x14ac:dyDescent="0.2">
      <c r="A19" s="914" t="s">
        <v>414</v>
      </c>
      <c r="B19" s="915">
        <v>2016</v>
      </c>
    </row>
    <row r="20" spans="1:7" x14ac:dyDescent="0.2">
      <c r="A20" s="890" t="str">
        <f>'AMI Building Blocks 2009-15'!A56</f>
        <v>Tax losses brought forward</v>
      </c>
      <c r="B20" s="916">
        <f>'AMI Building Blocks 2009-15'!J57/10^3</f>
        <v>-122.77605825075973</v>
      </c>
    </row>
    <row r="23" spans="1:7" x14ac:dyDescent="0.2">
      <c r="A23" s="913" t="s">
        <v>418</v>
      </c>
    </row>
    <row r="24" spans="1:7" x14ac:dyDescent="0.2">
      <c r="A24" s="917" t="s">
        <v>0</v>
      </c>
      <c r="B24" s="918">
        <f>SUM(G36,G50,G64,G78)</f>
        <v>6.5483618527650833E-11</v>
      </c>
    </row>
    <row r="25" spans="1:7" x14ac:dyDescent="0.2">
      <c r="A25" s="919" t="str">
        <f>A5</f>
        <v>Remotely read interval meters &amp; transformers</v>
      </c>
    </row>
    <row r="26" spans="1:7" x14ac:dyDescent="0.2">
      <c r="A26" s="890" t="s">
        <v>412</v>
      </c>
      <c r="B26" s="920">
        <f>E5</f>
        <v>15</v>
      </c>
      <c r="D26" s="959" t="s">
        <v>296</v>
      </c>
      <c r="E26" s="960"/>
    </row>
    <row r="27" spans="1:7" x14ac:dyDescent="0.2">
      <c r="B27" s="921"/>
      <c r="C27" s="895"/>
      <c r="D27" s="922"/>
      <c r="E27" s="923" t="s">
        <v>419</v>
      </c>
      <c r="F27" s="924" t="s">
        <v>420</v>
      </c>
      <c r="G27" s="895"/>
    </row>
    <row r="28" spans="1:7" x14ac:dyDescent="0.2">
      <c r="B28" s="925" t="s">
        <v>287</v>
      </c>
      <c r="C28" s="926" t="s">
        <v>421</v>
      </c>
      <c r="D28" s="927" t="s">
        <v>326</v>
      </c>
      <c r="E28" s="928" t="s">
        <v>422</v>
      </c>
      <c r="F28" s="926" t="s">
        <v>413</v>
      </c>
      <c r="G28" s="929" t="s">
        <v>0</v>
      </c>
    </row>
    <row r="29" spans="1:7" hidden="1" outlineLevel="1" x14ac:dyDescent="0.2">
      <c r="B29" s="930">
        <v>2009</v>
      </c>
      <c r="C29" s="931">
        <f t="shared" ref="C29:C33" si="3">C30+1</f>
        <v>6.5</v>
      </c>
      <c r="D29" s="932">
        <f>'AMI RAB 2009-15'!B215</f>
        <v>2105.9170332972976</v>
      </c>
      <c r="E29" s="933">
        <f>D29*F29/B26</f>
        <v>1193.3529855351355</v>
      </c>
      <c r="F29" s="934">
        <f>B26-C29</f>
        <v>8.5</v>
      </c>
      <c r="G29" s="902"/>
    </row>
    <row r="30" spans="1:7" hidden="1" outlineLevel="1" x14ac:dyDescent="0.2">
      <c r="B30" s="930">
        <f>B29+1</f>
        <v>2010</v>
      </c>
      <c r="C30" s="931">
        <f t="shared" si="3"/>
        <v>5.5</v>
      </c>
      <c r="D30" s="932">
        <f>'AMI RAB 2009-15'!E$41</f>
        <v>62143.968916192171</v>
      </c>
      <c r="E30" s="933">
        <f>D30*F30/B26</f>
        <v>39357.846980255046</v>
      </c>
      <c r="F30" s="934">
        <f>B26-C30</f>
        <v>9.5</v>
      </c>
      <c r="G30" s="902"/>
    </row>
    <row r="31" spans="1:7" hidden="1" outlineLevel="1" x14ac:dyDescent="0.2">
      <c r="B31" s="930">
        <f t="shared" ref="B31:B35" si="4">B30+1</f>
        <v>2011</v>
      </c>
      <c r="C31" s="931">
        <f t="shared" si="3"/>
        <v>4.5</v>
      </c>
      <c r="D31" s="932">
        <f>'AMI RAB 2009-15'!F$41</f>
        <v>84980.620037320448</v>
      </c>
      <c r="E31" s="933">
        <f>D31*F31/B26</f>
        <v>59486.434026124312</v>
      </c>
      <c r="F31" s="934">
        <f>B26-C31</f>
        <v>10.5</v>
      </c>
      <c r="G31" s="902"/>
    </row>
    <row r="32" spans="1:7" hidden="1" outlineLevel="1" x14ac:dyDescent="0.2">
      <c r="B32" s="930">
        <f t="shared" si="4"/>
        <v>2012</v>
      </c>
      <c r="C32" s="931">
        <f t="shared" si="3"/>
        <v>3.5</v>
      </c>
      <c r="D32" s="932">
        <f>'AMI RAB 2009-15'!G$41</f>
        <v>86162.321694262559</v>
      </c>
      <c r="E32" s="933">
        <f>D32*F32/B26</f>
        <v>66057.779965601294</v>
      </c>
      <c r="F32" s="934">
        <f>B26-C32</f>
        <v>11.5</v>
      </c>
      <c r="G32" s="902"/>
    </row>
    <row r="33" spans="1:7" hidden="1" outlineLevel="1" x14ac:dyDescent="0.2">
      <c r="B33" s="930">
        <f t="shared" si="4"/>
        <v>2013</v>
      </c>
      <c r="C33" s="931">
        <f t="shared" si="3"/>
        <v>2.5</v>
      </c>
      <c r="D33" s="932">
        <f>'AMI RAB 2009-15'!H$41</f>
        <v>63106.264726613117</v>
      </c>
      <c r="E33" s="933">
        <f>D33*F33/B26</f>
        <v>52588.553938844263</v>
      </c>
      <c r="F33" s="934">
        <f>B26-C33</f>
        <v>12.5</v>
      </c>
      <c r="G33" s="902"/>
    </row>
    <row r="34" spans="1:7" hidden="1" outlineLevel="1" x14ac:dyDescent="0.2">
      <c r="B34" s="930">
        <f t="shared" si="4"/>
        <v>2014</v>
      </c>
      <c r="C34" s="931">
        <f>C35+1</f>
        <v>1.5</v>
      </c>
      <c r="D34" s="932">
        <f>'AMI RAB 2009-15'!I$41</f>
        <v>6247.0903848163962</v>
      </c>
      <c r="E34" s="933">
        <f>D34*F34/B26</f>
        <v>5622.3813463347569</v>
      </c>
      <c r="F34" s="934">
        <f>B26-C34</f>
        <v>13.5</v>
      </c>
      <c r="G34" s="902"/>
    </row>
    <row r="35" spans="1:7" hidden="1" outlineLevel="1" x14ac:dyDescent="0.2">
      <c r="B35" s="930">
        <f t="shared" si="4"/>
        <v>2015</v>
      </c>
      <c r="C35" s="931">
        <v>0.5</v>
      </c>
      <c r="D35" s="932">
        <f>'AMI RAB 2009-15'!J$41</f>
        <v>6224.2055387159771</v>
      </c>
      <c r="E35" s="933">
        <f>D35*F35/B26</f>
        <v>6016.7320207587782</v>
      </c>
      <c r="F35" s="934">
        <f>B26-C35</f>
        <v>14.5</v>
      </c>
      <c r="G35" s="902"/>
    </row>
    <row r="36" spans="1:7" collapsed="1" x14ac:dyDescent="0.2">
      <c r="B36" s="935"/>
      <c r="C36" s="903"/>
      <c r="D36" s="936"/>
      <c r="E36" s="937">
        <f>SUM(E29:E35)</f>
        <v>230323.08126345361</v>
      </c>
      <c r="F36" s="938">
        <f>IF(E36=0,0,SUMPRODUCT(F29:F35,E29:E35)/E36)</f>
        <v>11.239936293310807</v>
      </c>
      <c r="G36" s="939">
        <f>ABS(B5-E36)</f>
        <v>5.8207660913467407E-11</v>
      </c>
    </row>
    <row r="37" spans="1:7" x14ac:dyDescent="0.2">
      <c r="B37" s="940"/>
    </row>
    <row r="38" spans="1:7" x14ac:dyDescent="0.2">
      <c r="B38" s="940"/>
    </row>
    <row r="39" spans="1:7" x14ac:dyDescent="0.2">
      <c r="A39" s="890" t="str">
        <f>A6</f>
        <v>IT</v>
      </c>
    </row>
    <row r="40" spans="1:7" x14ac:dyDescent="0.2">
      <c r="A40" s="890" t="s">
        <v>412</v>
      </c>
      <c r="B40" s="920">
        <f>E6</f>
        <v>7</v>
      </c>
      <c r="D40" s="959" t="s">
        <v>296</v>
      </c>
      <c r="E40" s="960"/>
    </row>
    <row r="41" spans="1:7" x14ac:dyDescent="0.2">
      <c r="B41" s="921"/>
      <c r="C41" s="895"/>
      <c r="D41" s="922"/>
      <c r="E41" s="923" t="s">
        <v>419</v>
      </c>
      <c r="F41" s="924" t="s">
        <v>420</v>
      </c>
      <c r="G41" s="895"/>
    </row>
    <row r="42" spans="1:7" x14ac:dyDescent="0.2">
      <c r="B42" s="925" t="s">
        <v>287</v>
      </c>
      <c r="C42" s="926" t="s">
        <v>421</v>
      </c>
      <c r="D42" s="927" t="s">
        <v>326</v>
      </c>
      <c r="E42" s="928" t="s">
        <v>422</v>
      </c>
      <c r="F42" s="926" t="s">
        <v>413</v>
      </c>
      <c r="G42" s="929" t="s">
        <v>0</v>
      </c>
    </row>
    <row r="43" spans="1:7" hidden="1" outlineLevel="1" x14ac:dyDescent="0.2">
      <c r="B43" s="930">
        <v>2009</v>
      </c>
      <c r="C43" s="931">
        <f t="shared" ref="C43:C47" si="5">C44+1</f>
        <v>6.5</v>
      </c>
      <c r="D43" s="932">
        <f>'AMI RAB 2009-15'!B227</f>
        <v>22906.55290616216</v>
      </c>
      <c r="E43" s="933">
        <f>D43*F43/B40</f>
        <v>1636.1823504401543</v>
      </c>
      <c r="F43" s="934">
        <f>B40-C43</f>
        <v>0.5</v>
      </c>
      <c r="G43" s="902"/>
    </row>
    <row r="44" spans="1:7" hidden="1" outlineLevel="1" x14ac:dyDescent="0.2">
      <c r="B44" s="930">
        <f>B43+1</f>
        <v>2010</v>
      </c>
      <c r="C44" s="931">
        <f t="shared" si="5"/>
        <v>5.5</v>
      </c>
      <c r="D44" s="932">
        <f>'AMI RAB 2009-15'!B228</f>
        <v>19865.495396322662</v>
      </c>
      <c r="E44" s="933">
        <f>D44*F44/B40</f>
        <v>4256.8918706405702</v>
      </c>
      <c r="F44" s="934">
        <f>B40-C44</f>
        <v>1.5</v>
      </c>
      <c r="G44" s="902"/>
    </row>
    <row r="45" spans="1:7" hidden="1" outlineLevel="1" x14ac:dyDescent="0.2">
      <c r="B45" s="930">
        <f t="shared" ref="B45:B49" si="6">B44+1</f>
        <v>2011</v>
      </c>
      <c r="C45" s="931">
        <f t="shared" si="5"/>
        <v>4.5</v>
      </c>
      <c r="D45" s="932">
        <f>'AMI RAB 2009-15'!B229</f>
        <v>10372.068667339874</v>
      </c>
      <c r="E45" s="933">
        <f>D45*F45/B40</f>
        <v>3704.3102383356695</v>
      </c>
      <c r="F45" s="934">
        <f>B40-C45</f>
        <v>2.5</v>
      </c>
      <c r="G45" s="902"/>
    </row>
    <row r="46" spans="1:7" hidden="1" outlineLevel="1" x14ac:dyDescent="0.2">
      <c r="B46" s="930">
        <f t="shared" si="6"/>
        <v>2012</v>
      </c>
      <c r="C46" s="931">
        <f t="shared" si="5"/>
        <v>3.5</v>
      </c>
      <c r="D46" s="932">
        <f>'AMI RAB 2009-15'!B230</f>
        <v>8184.2504311594212</v>
      </c>
      <c r="E46" s="933">
        <f>D46*F46/B40</f>
        <v>4092.1252155797106</v>
      </c>
      <c r="F46" s="934">
        <f>B40-C46</f>
        <v>3.5</v>
      </c>
      <c r="G46" s="902"/>
    </row>
    <row r="47" spans="1:7" hidden="1" outlineLevel="1" x14ac:dyDescent="0.2">
      <c r="B47" s="930">
        <f t="shared" si="6"/>
        <v>2013</v>
      </c>
      <c r="C47" s="931">
        <f t="shared" si="5"/>
        <v>2.5</v>
      </c>
      <c r="D47" s="932">
        <f>'AMI RAB 2009-15'!B231</f>
        <v>5535.9412246744123</v>
      </c>
      <c r="E47" s="933">
        <f>D47*F47/B40</f>
        <v>3558.819358719265</v>
      </c>
      <c r="F47" s="934">
        <f>B40-C47</f>
        <v>4.5</v>
      </c>
      <c r="G47" s="902"/>
    </row>
    <row r="48" spans="1:7" hidden="1" outlineLevel="1" x14ac:dyDescent="0.2">
      <c r="B48" s="930">
        <f t="shared" si="6"/>
        <v>2014</v>
      </c>
      <c r="C48" s="931">
        <f>C49+1</f>
        <v>1.5</v>
      </c>
      <c r="D48" s="932">
        <f>'AMI RAB 2009-15'!B232</f>
        <v>6166.3498576883421</v>
      </c>
      <c r="E48" s="933">
        <f>D48*F48/B40</f>
        <v>4844.9891738979832</v>
      </c>
      <c r="F48" s="934">
        <f>B40-C48</f>
        <v>5.5</v>
      </c>
      <c r="G48" s="902"/>
    </row>
    <row r="49" spans="1:7" hidden="1" outlineLevel="1" x14ac:dyDescent="0.2">
      <c r="B49" s="930">
        <f t="shared" si="6"/>
        <v>2015</v>
      </c>
      <c r="C49" s="931">
        <v>0.5</v>
      </c>
      <c r="D49" s="932">
        <f>'AMI RAB 2009-15'!B233</f>
        <v>4594.6998172959602</v>
      </c>
      <c r="E49" s="933">
        <f>D49*F49/B40</f>
        <v>4266.5069732033917</v>
      </c>
      <c r="F49" s="934">
        <f>B40-C49</f>
        <v>6.5</v>
      </c>
      <c r="G49" s="902"/>
    </row>
    <row r="50" spans="1:7" collapsed="1" x14ac:dyDescent="0.2">
      <c r="B50" s="935"/>
      <c r="C50" s="903"/>
      <c r="D50" s="936"/>
      <c r="E50" s="937">
        <f>SUM(E43:E49)</f>
        <v>26359.825180816744</v>
      </c>
      <c r="F50" s="938">
        <f>IF(E50=0,0,SUMPRODUCT(F43:F49,E43:E49)/E50)</f>
        <v>3.8384573886203479</v>
      </c>
      <c r="G50" s="939">
        <f>ABS(B6-E50)</f>
        <v>7.2759576141834259E-12</v>
      </c>
    </row>
    <row r="53" spans="1:7" x14ac:dyDescent="0.2">
      <c r="A53" s="890" t="str">
        <f>A7</f>
        <v>Communications</v>
      </c>
    </row>
    <row r="54" spans="1:7" x14ac:dyDescent="0.2">
      <c r="A54" s="890" t="s">
        <v>412</v>
      </c>
      <c r="B54" s="920">
        <f>E7</f>
        <v>7</v>
      </c>
      <c r="D54" s="959" t="s">
        <v>296</v>
      </c>
      <c r="E54" s="960"/>
    </row>
    <row r="55" spans="1:7" x14ac:dyDescent="0.2">
      <c r="B55" s="921"/>
      <c r="C55" s="895"/>
      <c r="D55" s="922"/>
      <c r="E55" s="923" t="s">
        <v>419</v>
      </c>
      <c r="F55" s="924" t="s">
        <v>420</v>
      </c>
      <c r="G55" s="895"/>
    </row>
    <row r="56" spans="1:7" x14ac:dyDescent="0.2">
      <c r="B56" s="925" t="s">
        <v>287</v>
      </c>
      <c r="C56" s="926" t="s">
        <v>421</v>
      </c>
      <c r="D56" s="927" t="s">
        <v>326</v>
      </c>
      <c r="E56" s="928" t="s">
        <v>422</v>
      </c>
      <c r="F56" s="926" t="s">
        <v>413</v>
      </c>
      <c r="G56" s="929" t="s">
        <v>0</v>
      </c>
    </row>
    <row r="57" spans="1:7" hidden="1" outlineLevel="1" x14ac:dyDescent="0.2">
      <c r="B57" s="930">
        <v>2009</v>
      </c>
      <c r="C57" s="931">
        <f t="shared" ref="C57:C61" si="7">C58+1</f>
        <v>6.5</v>
      </c>
      <c r="D57" s="932">
        <f>'AMI RAB 2009-15'!B239</f>
        <v>900.87381417417419</v>
      </c>
      <c r="E57" s="933">
        <f>D57*F57/B54</f>
        <v>64.348129583869579</v>
      </c>
      <c r="F57" s="934">
        <f>B54-C57</f>
        <v>0.5</v>
      </c>
      <c r="G57" s="902"/>
    </row>
    <row r="58" spans="1:7" hidden="1" outlineLevel="1" x14ac:dyDescent="0.2">
      <c r="B58" s="930">
        <f>B57+1</f>
        <v>2010</v>
      </c>
      <c r="C58" s="931">
        <f t="shared" si="7"/>
        <v>5.5</v>
      </c>
      <c r="D58" s="932">
        <f>'AMI RAB 2009-15'!B240</f>
        <v>3128.8651083511272</v>
      </c>
      <c r="E58" s="933">
        <f>D58*F58/B54</f>
        <v>670.47109464667017</v>
      </c>
      <c r="F58" s="934">
        <f>B54-C58</f>
        <v>1.5</v>
      </c>
      <c r="G58" s="902"/>
    </row>
    <row r="59" spans="1:7" hidden="1" outlineLevel="1" x14ac:dyDescent="0.2">
      <c r="B59" s="930">
        <f t="shared" ref="B59:B63" si="8">B58+1</f>
        <v>2011</v>
      </c>
      <c r="C59" s="931">
        <f t="shared" si="7"/>
        <v>4.5</v>
      </c>
      <c r="D59" s="932">
        <f>'AMI RAB 2009-15'!B241</f>
        <v>14800.781096006922</v>
      </c>
      <c r="E59" s="933">
        <f>D59*F59/B54</f>
        <v>5285.9932485739</v>
      </c>
      <c r="F59" s="934">
        <f>B54-C59</f>
        <v>2.5</v>
      </c>
      <c r="G59" s="902"/>
    </row>
    <row r="60" spans="1:7" hidden="1" outlineLevel="1" x14ac:dyDescent="0.2">
      <c r="B60" s="930">
        <f t="shared" si="8"/>
        <v>2012</v>
      </c>
      <c r="C60" s="931">
        <f t="shared" si="7"/>
        <v>3.5</v>
      </c>
      <c r="D60" s="932">
        <f>'AMI RAB 2009-15'!B242</f>
        <v>10192.341702945465</v>
      </c>
      <c r="E60" s="933">
        <f>D60*F60/B54</f>
        <v>5096.1708514727316</v>
      </c>
      <c r="F60" s="934">
        <f>B54-C60</f>
        <v>3.5</v>
      </c>
      <c r="G60" s="902"/>
    </row>
    <row r="61" spans="1:7" hidden="1" outlineLevel="1" x14ac:dyDescent="0.2">
      <c r="B61" s="930">
        <f t="shared" si="8"/>
        <v>2013</v>
      </c>
      <c r="C61" s="931">
        <f t="shared" si="7"/>
        <v>2.5</v>
      </c>
      <c r="D61" s="932">
        <f>'AMI RAB 2009-15'!B243</f>
        <v>3566.2709641136021</v>
      </c>
      <c r="E61" s="933">
        <f>D61*F61/B54</f>
        <v>2292.6027626444584</v>
      </c>
      <c r="F61" s="934">
        <f>B54-C61</f>
        <v>4.5</v>
      </c>
      <c r="G61" s="902"/>
    </row>
    <row r="62" spans="1:7" hidden="1" outlineLevel="1" x14ac:dyDescent="0.2">
      <c r="B62" s="930">
        <f t="shared" si="8"/>
        <v>2014</v>
      </c>
      <c r="C62" s="931">
        <f>C63+1</f>
        <v>1.5</v>
      </c>
      <c r="D62" s="932">
        <f>'AMI RAB 2009-15'!B244</f>
        <v>1993.4553734855997</v>
      </c>
      <c r="E62" s="933">
        <f>D62*F62/B54</f>
        <v>1566.2863648815426</v>
      </c>
      <c r="F62" s="934">
        <f>B54-C62</f>
        <v>5.5</v>
      </c>
      <c r="G62" s="902"/>
    </row>
    <row r="63" spans="1:7" hidden="1" outlineLevel="1" x14ac:dyDescent="0.2">
      <c r="B63" s="930">
        <f t="shared" si="8"/>
        <v>2015</v>
      </c>
      <c r="C63" s="931">
        <v>0.5</v>
      </c>
      <c r="D63" s="932">
        <f>'AMI RAB 2009-15'!B245</f>
        <v>940.88673833913867</v>
      </c>
      <c r="E63" s="933">
        <f>D63*F63/B54</f>
        <v>873.68054274348583</v>
      </c>
      <c r="F63" s="934">
        <f>B54-C63</f>
        <v>6.5</v>
      </c>
      <c r="G63" s="902"/>
    </row>
    <row r="64" spans="1:7" collapsed="1" x14ac:dyDescent="0.2">
      <c r="B64" s="935"/>
      <c r="C64" s="903"/>
      <c r="D64" s="936"/>
      <c r="E64" s="937">
        <f>SUM(E57:E63)</f>
        <v>15849.552994546659</v>
      </c>
      <c r="F64" s="938">
        <f>IF(E64=0,0,SUMPRODUCT(F57:F63,E57:E63)/E64)</f>
        <v>3.5773673108914217</v>
      </c>
      <c r="G64" s="939">
        <f>ABS(B7-E64)</f>
        <v>0</v>
      </c>
    </row>
    <row r="67" spans="1:7" x14ac:dyDescent="0.2">
      <c r="A67" s="890" t="str">
        <f>A8</f>
        <v>Other</v>
      </c>
    </row>
    <row r="68" spans="1:7" x14ac:dyDescent="0.2">
      <c r="A68" s="890" t="s">
        <v>412</v>
      </c>
      <c r="B68" s="920">
        <f>E8</f>
        <v>7</v>
      </c>
      <c r="D68" s="959" t="s">
        <v>296</v>
      </c>
      <c r="E68" s="960"/>
    </row>
    <row r="69" spans="1:7" x14ac:dyDescent="0.2">
      <c r="B69" s="921"/>
      <c r="C69" s="895"/>
      <c r="D69" s="922"/>
      <c r="E69" s="923" t="s">
        <v>419</v>
      </c>
      <c r="F69" s="924" t="s">
        <v>420</v>
      </c>
      <c r="G69" s="895"/>
    </row>
    <row r="70" spans="1:7" x14ac:dyDescent="0.2">
      <c r="B70" s="925" t="s">
        <v>287</v>
      </c>
      <c r="C70" s="926" t="s">
        <v>421</v>
      </c>
      <c r="D70" s="927" t="s">
        <v>326</v>
      </c>
      <c r="E70" s="928" t="s">
        <v>422</v>
      </c>
      <c r="F70" s="926" t="s">
        <v>413</v>
      </c>
      <c r="G70" s="929" t="s">
        <v>0</v>
      </c>
    </row>
    <row r="71" spans="1:7" hidden="1" outlineLevel="1" x14ac:dyDescent="0.2">
      <c r="B71" s="930">
        <v>2009</v>
      </c>
      <c r="C71" s="931">
        <f t="shared" ref="C71:C75" si="9">C72+1</f>
        <v>6.5</v>
      </c>
      <c r="D71" s="932">
        <f>'AMI RAB 2009-15'!B251</f>
        <v>502.68955837837836</v>
      </c>
      <c r="E71" s="933">
        <f>D71*F71/B68</f>
        <v>35.906397027027026</v>
      </c>
      <c r="F71" s="934">
        <f>B68-C71</f>
        <v>0.5</v>
      </c>
      <c r="G71" s="902"/>
    </row>
    <row r="72" spans="1:7" hidden="1" outlineLevel="1" x14ac:dyDescent="0.2">
      <c r="B72" s="930">
        <f>B71+1</f>
        <v>2010</v>
      </c>
      <c r="C72" s="931">
        <f t="shared" si="9"/>
        <v>5.5</v>
      </c>
      <c r="D72" s="932">
        <f>'AMI RAB 2009-15'!B252</f>
        <v>590.42642854092537</v>
      </c>
      <c r="E72" s="933">
        <f>D72*F72/B68</f>
        <v>126.51994897305543</v>
      </c>
      <c r="F72" s="934">
        <f>B68-C72</f>
        <v>1.5</v>
      </c>
      <c r="G72" s="902"/>
    </row>
    <row r="73" spans="1:7" hidden="1" outlineLevel="1" x14ac:dyDescent="0.2">
      <c r="B73" s="930">
        <f t="shared" ref="B73:B77" si="10">B72+1</f>
        <v>2011</v>
      </c>
      <c r="C73" s="931">
        <f t="shared" si="9"/>
        <v>4.5</v>
      </c>
      <c r="D73" s="932">
        <f>'AMI RAB 2009-15'!B253</f>
        <v>319.49326631275244</v>
      </c>
      <c r="E73" s="933">
        <f>D73*F73/B68</f>
        <v>114.10473796884015</v>
      </c>
      <c r="F73" s="934">
        <f>B68-C73</f>
        <v>2.5</v>
      </c>
      <c r="G73" s="902"/>
    </row>
    <row r="74" spans="1:7" hidden="1" outlineLevel="1" x14ac:dyDescent="0.2">
      <c r="B74" s="930">
        <f t="shared" si="10"/>
        <v>2012</v>
      </c>
      <c r="C74" s="931">
        <f t="shared" si="9"/>
        <v>3.5</v>
      </c>
      <c r="D74" s="932">
        <f>'AMI RAB 2009-15'!B254</f>
        <v>154.46595927536234</v>
      </c>
      <c r="E74" s="933">
        <f>D74*F74/B68</f>
        <v>77.232979637681169</v>
      </c>
      <c r="F74" s="934">
        <f>B68-C74</f>
        <v>3.5</v>
      </c>
      <c r="G74" s="902"/>
    </row>
    <row r="75" spans="1:7" hidden="1" outlineLevel="1" x14ac:dyDescent="0.2">
      <c r="B75" s="930">
        <f t="shared" si="10"/>
        <v>2013</v>
      </c>
      <c r="C75" s="931">
        <f t="shared" si="9"/>
        <v>2.5</v>
      </c>
      <c r="D75" s="932">
        <f>'AMI RAB 2009-15'!B255</f>
        <v>32.701787470744009</v>
      </c>
      <c r="E75" s="933">
        <f>D75*F75/B68</f>
        <v>21.022577659764007</v>
      </c>
      <c r="F75" s="934">
        <f>B68-C75</f>
        <v>4.5</v>
      </c>
      <c r="G75" s="902"/>
    </row>
    <row r="76" spans="1:7" hidden="1" outlineLevel="1" x14ac:dyDescent="0.2">
      <c r="B76" s="930">
        <f t="shared" si="10"/>
        <v>2014</v>
      </c>
      <c r="C76" s="931">
        <f>C77+1</f>
        <v>1.5</v>
      </c>
      <c r="D76" s="932">
        <f>'AMI RAB 2009-15'!B256</f>
        <v>106.79371725331792</v>
      </c>
      <c r="E76" s="933">
        <f>D76*F76/B68</f>
        <v>83.909349270464077</v>
      </c>
      <c r="F76" s="934">
        <f>B68-C76</f>
        <v>5.5</v>
      </c>
      <c r="G76" s="902"/>
    </row>
    <row r="77" spans="1:7" hidden="1" outlineLevel="1" x14ac:dyDescent="0.2">
      <c r="B77" s="930">
        <f t="shared" si="10"/>
        <v>2015</v>
      </c>
      <c r="C77" s="931">
        <v>0.5</v>
      </c>
      <c r="D77" s="932">
        <f>'AMI RAB 2009-15'!B257</f>
        <v>115.13463127524524</v>
      </c>
      <c r="E77" s="933">
        <f>D77*F77/B68</f>
        <v>106.91072904129916</v>
      </c>
      <c r="F77" s="934">
        <f>B68-C77</f>
        <v>6.5</v>
      </c>
      <c r="G77" s="902"/>
    </row>
    <row r="78" spans="1:7" collapsed="1" x14ac:dyDescent="0.2">
      <c r="B78" s="935"/>
      <c r="C78" s="903"/>
      <c r="D78" s="936"/>
      <c r="E78" s="937">
        <f>SUM(E71:E77)</f>
        <v>565.60671957813099</v>
      </c>
      <c r="F78" s="938">
        <f>IF(E78=0,0,SUMPRODUCT(F71:F77,E71:E77)/E78)</f>
        <v>3.5613670862228197</v>
      </c>
      <c r="G78" s="939">
        <f>ABS(B8-E78)</f>
        <v>0</v>
      </c>
    </row>
  </sheetData>
  <mergeCells count="6">
    <mergeCell ref="D68:E68"/>
    <mergeCell ref="B3:F3"/>
    <mergeCell ref="H3:J3"/>
    <mergeCell ref="D26:E26"/>
    <mergeCell ref="D40:E40"/>
    <mergeCell ref="D54:E5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C20"/>
  <sheetViews>
    <sheetView zoomScale="85" workbookViewId="0">
      <selection activeCell="B1" sqref="B1"/>
    </sheetView>
  </sheetViews>
  <sheetFormatPr defaultRowHeight="12.75" x14ac:dyDescent="0.2"/>
  <cols>
    <col min="1" max="1" width="52.5703125" style="561" customWidth="1"/>
    <col min="2" max="2" width="10.5703125" style="561" customWidth="1"/>
    <col min="3" max="3" width="15" style="561" customWidth="1"/>
    <col min="4" max="16384" width="9.140625" style="561"/>
  </cols>
  <sheetData>
    <row r="1" spans="1:3" x14ac:dyDescent="0.2">
      <c r="A1" s="542" t="str">
        <f>'Data 2006-08'!A1</f>
        <v>Powercor</v>
      </c>
    </row>
    <row r="2" spans="1:3" s="562" customFormat="1" x14ac:dyDescent="0.2">
      <c r="A2" s="94"/>
    </row>
    <row r="3" spans="1:3" s="782" customFormat="1" x14ac:dyDescent="0.2">
      <c r="A3" s="563" t="s">
        <v>376</v>
      </c>
    </row>
    <row r="4" spans="1:3" s="782" customFormat="1" x14ac:dyDescent="0.2"/>
    <row r="5" spans="1:3" s="782" customFormat="1" x14ac:dyDescent="0.2">
      <c r="A5" s="564" t="s">
        <v>399</v>
      </c>
    </row>
    <row r="6" spans="1:3" s="782" customFormat="1" x14ac:dyDescent="0.2"/>
    <row r="7" spans="1:3" s="782" customFormat="1" x14ac:dyDescent="0.2">
      <c r="A7" s="564" t="s">
        <v>377</v>
      </c>
      <c r="B7" s="565"/>
      <c r="C7" s="566" t="s">
        <v>406</v>
      </c>
    </row>
    <row r="8" spans="1:3" s="782" customFormat="1" ht="15" x14ac:dyDescent="0.25">
      <c r="A8" s="567"/>
    </row>
    <row r="9" spans="1:3" s="782" customFormat="1" x14ac:dyDescent="0.2">
      <c r="A9" s="564" t="s">
        <v>378</v>
      </c>
    </row>
    <row r="10" spans="1:3" s="782" customFormat="1" x14ac:dyDescent="0.2"/>
    <row r="11" spans="1:3" s="782" customFormat="1" x14ac:dyDescent="0.2">
      <c r="A11" s="568" t="s">
        <v>400</v>
      </c>
      <c r="B11" s="569"/>
      <c r="C11" s="570" t="s">
        <v>22</v>
      </c>
    </row>
    <row r="12" spans="1:3" s="783" customFormat="1" x14ac:dyDescent="0.2">
      <c r="A12" s="571"/>
      <c r="B12" s="572"/>
      <c r="C12" s="573"/>
    </row>
    <row r="13" spans="1:3" s="782" customFormat="1" x14ac:dyDescent="0.2">
      <c r="A13" s="568" t="s">
        <v>401</v>
      </c>
      <c r="B13" s="569"/>
      <c r="C13" s="570" t="s">
        <v>402</v>
      </c>
    </row>
    <row r="14" spans="1:3" s="782" customFormat="1" x14ac:dyDescent="0.2">
      <c r="B14" s="784"/>
    </row>
    <row r="15" spans="1:3" s="782" customFormat="1" x14ac:dyDescent="0.2">
      <c r="A15" s="568" t="s">
        <v>403</v>
      </c>
      <c r="C15" s="570" t="s">
        <v>22</v>
      </c>
    </row>
    <row r="16" spans="1:3" s="782" customFormat="1" x14ac:dyDescent="0.2"/>
    <row r="17" spans="1:1" s="782" customFormat="1" x14ac:dyDescent="0.2">
      <c r="A17" s="568" t="s">
        <v>404</v>
      </c>
    </row>
    <row r="20" spans="1:1" x14ac:dyDescent="0.2">
      <c r="A20" s="776"/>
    </row>
  </sheetData>
  <phoneticPr fontId="3" type="noConversion"/>
  <printOptions gridLines="1"/>
  <pageMargins left="0.75" right="0.75" top="1" bottom="1" header="0.5" footer="0.5"/>
  <pageSetup paperSize="9" scale="86" orientation="portrait" horizontalDpi="4294967293" r:id="rId1"/>
  <headerFooter alignWithMargins="0">
    <oddFooter>&amp;L&amp;D&amp;R&amp;A \ 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43"/>
    <pageSetUpPr fitToPage="1"/>
  </sheetPr>
  <dimension ref="A1:Q121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5.7109375" style="21" customWidth="1"/>
    <col min="5" max="5" width="5.7109375" style="784" customWidth="1"/>
    <col min="6" max="7" width="5.5703125" style="21" customWidth="1"/>
    <col min="8" max="10" width="11.5703125" style="21" customWidth="1"/>
    <col min="11" max="11" width="5.7109375" style="1" customWidth="1"/>
    <col min="12" max="15" width="5.7109375" style="20" customWidth="1"/>
    <col min="16" max="17" width="11.85546875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E1" s="777"/>
      <c r="F1" s="777"/>
      <c r="G1" s="777"/>
      <c r="H1" s="4">
        <v>2013</v>
      </c>
      <c r="I1" s="5">
        <v>2014</v>
      </c>
      <c r="J1" s="6">
        <v>2015</v>
      </c>
      <c r="K1" s="54"/>
      <c r="L1" s="21"/>
      <c r="N1" s="21"/>
      <c r="O1" s="21"/>
      <c r="P1" s="44">
        <f>I1</f>
        <v>2014</v>
      </c>
      <c r="Q1" s="46">
        <f>J1</f>
        <v>2015</v>
      </c>
    </row>
    <row r="2" spans="1:17" s="1" customFormat="1" ht="15" x14ac:dyDescent="0.25">
      <c r="A2" s="30"/>
      <c r="B2" s="93"/>
      <c r="C2" s="2"/>
      <c r="D2" s="2"/>
      <c r="E2" s="785"/>
      <c r="F2" s="785"/>
      <c r="G2" s="785"/>
      <c r="H2" s="803" t="s">
        <v>22</v>
      </c>
      <c r="I2" s="802" t="s">
        <v>22</v>
      </c>
      <c r="J2" s="804" t="s">
        <v>402</v>
      </c>
      <c r="K2" s="108"/>
      <c r="L2" s="21"/>
      <c r="N2" s="21"/>
      <c r="O2" s="21"/>
      <c r="P2" s="66"/>
      <c r="Q2" s="67"/>
    </row>
    <row r="3" spans="1:17" s="1" customFormat="1" ht="15.75" x14ac:dyDescent="0.25">
      <c r="A3" s="70" t="s">
        <v>405</v>
      </c>
      <c r="B3" s="445"/>
      <c r="C3" s="2"/>
      <c r="D3" s="2"/>
      <c r="E3" s="785"/>
      <c r="F3" s="785"/>
      <c r="G3" s="785"/>
      <c r="H3" s="881" t="s">
        <v>20</v>
      </c>
      <c r="I3" s="875" t="s">
        <v>18</v>
      </c>
      <c r="J3" s="882" t="s">
        <v>18</v>
      </c>
      <c r="K3" s="108"/>
      <c r="L3" s="21"/>
      <c r="N3" s="21"/>
      <c r="O3" s="21"/>
      <c r="P3" s="60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39"/>
      <c r="E4" s="39"/>
      <c r="F4" s="39"/>
      <c r="G4" s="39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38</v>
      </c>
      <c r="B5" s="445"/>
      <c r="C5" s="2"/>
      <c r="D5" s="2"/>
      <c r="E5" s="785"/>
      <c r="F5" s="785"/>
      <c r="G5" s="785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785"/>
      <c r="F6" s="785"/>
      <c r="G6" s="785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2"/>
      <c r="E7" s="785"/>
      <c r="F7" s="785"/>
      <c r="G7" s="785"/>
      <c r="H7" s="4">
        <f t="shared" ref="H7:J7" si="0">H$1</f>
        <v>2013</v>
      </c>
      <c r="I7" s="5">
        <f t="shared" si="0"/>
        <v>2014</v>
      </c>
      <c r="J7" s="6">
        <f t="shared" si="0"/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32"/>
      <c r="E8" s="32"/>
      <c r="F8" s="32"/>
      <c r="G8" s="32"/>
      <c r="H8" s="742" t="str">
        <f t="shared" ref="H8:J8" si="1">H$2</f>
        <v>Nominal $</v>
      </c>
      <c r="I8" s="108" t="str">
        <f t="shared" si="1"/>
        <v>Nominal $</v>
      </c>
      <c r="J8" s="743" t="str">
        <f t="shared" si="1"/>
        <v>Real 2014 $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32"/>
      <c r="E9" s="32"/>
      <c r="F9" s="32"/>
      <c r="G9" s="32"/>
      <c r="H9" s="50" t="str">
        <f t="shared" ref="H9:J9" si="2">H$3</f>
        <v>Actual</v>
      </c>
      <c r="I9" s="744" t="str">
        <f t="shared" si="2"/>
        <v>Forecast</v>
      </c>
      <c r="J9" s="745" t="str">
        <f t="shared" si="2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">
        <v>379</v>
      </c>
      <c r="D10" s="794"/>
      <c r="E10" s="794"/>
      <c r="F10" s="794"/>
      <c r="G10" s="794"/>
      <c r="H10" s="801">
        <v>94385.84</v>
      </c>
      <c r="I10" s="9">
        <v>0</v>
      </c>
      <c r="J10" s="746"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">
        <v>379</v>
      </c>
      <c r="D11" s="794"/>
      <c r="E11" s="794"/>
      <c r="F11" s="794"/>
      <c r="G11" s="794"/>
      <c r="H11" s="8">
        <v>119609.11000000002</v>
      </c>
      <c r="I11" s="9">
        <v>0</v>
      </c>
      <c r="J11" s="10">
        <v>0</v>
      </c>
      <c r="K11" s="117"/>
      <c r="L11" s="2"/>
      <c r="M11" s="21"/>
      <c r="N11" s="21"/>
      <c r="O11" s="21"/>
    </row>
    <row r="12" spans="1:17" s="1" customFormat="1" x14ac:dyDescent="0.2">
      <c r="A12" s="317" t="s">
        <v>363</v>
      </c>
      <c r="B12" s="83"/>
      <c r="C12" s="315">
        <v>15</v>
      </c>
      <c r="D12" s="794"/>
      <c r="E12" s="794"/>
      <c r="F12" s="794"/>
      <c r="G12" s="794"/>
      <c r="H12" s="8">
        <v>72813007.111382738</v>
      </c>
      <c r="I12" s="9">
        <v>7363763.6915540015</v>
      </c>
      <c r="J12" s="10">
        <v>7336788.157598122</v>
      </c>
      <c r="K12" s="19"/>
      <c r="L12" s="2"/>
      <c r="M12" s="21"/>
      <c r="N12" s="21"/>
      <c r="O12" s="21"/>
    </row>
    <row r="13" spans="1:17" s="1" customFormat="1" x14ac:dyDescent="0.2">
      <c r="A13" s="317" t="s">
        <v>284</v>
      </c>
      <c r="B13" s="83"/>
      <c r="C13" s="315">
        <v>7</v>
      </c>
      <c r="D13" s="794"/>
      <c r="E13" s="794"/>
      <c r="F13" s="794"/>
      <c r="G13" s="794"/>
      <c r="H13" s="8">
        <v>6387456.6100000003</v>
      </c>
      <c r="I13" s="9">
        <v>7268590.7189414138</v>
      </c>
      <c r="J13" s="10">
        <v>5416006.7493866105</v>
      </c>
      <c r="K13" s="15"/>
      <c r="L13" s="2"/>
      <c r="M13" s="21"/>
      <c r="N13" s="21"/>
      <c r="O13" s="21"/>
    </row>
    <row r="14" spans="1:17" s="1" customFormat="1" x14ac:dyDescent="0.2">
      <c r="A14" s="317" t="s">
        <v>286</v>
      </c>
      <c r="B14" s="86"/>
      <c r="C14" s="315">
        <v>7</v>
      </c>
      <c r="D14" s="794"/>
      <c r="E14" s="794"/>
      <c r="F14" s="794"/>
      <c r="G14" s="794"/>
      <c r="H14" s="8">
        <v>4114819.8866793849</v>
      </c>
      <c r="I14" s="9">
        <v>2349787.4043386215</v>
      </c>
      <c r="J14" s="10">
        <v>1109071.1314960509</v>
      </c>
      <c r="K14" s="15"/>
      <c r="L14" s="2"/>
      <c r="M14" s="21"/>
      <c r="N14" s="21"/>
      <c r="O14" s="21"/>
    </row>
    <row r="15" spans="1:17" s="1" customFormat="1" x14ac:dyDescent="0.2">
      <c r="A15" s="317" t="s">
        <v>285</v>
      </c>
      <c r="B15" s="83"/>
      <c r="C15" s="105">
        <v>7</v>
      </c>
      <c r="D15" s="794"/>
      <c r="E15" s="794"/>
      <c r="F15" s="794"/>
      <c r="G15" s="794"/>
      <c r="H15" s="8">
        <v>37731.840000000004</v>
      </c>
      <c r="I15" s="9">
        <v>125883.19508029326</v>
      </c>
      <c r="J15" s="10">
        <v>135715.05536173325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785"/>
      <c r="E16" s="785"/>
      <c r="F16" s="785"/>
      <c r="G16" s="785"/>
      <c r="H16" s="11">
        <f t="shared" ref="H16:J16" si="3">SUM(H10:H15)</f>
        <v>83567010.398062125</v>
      </c>
      <c r="I16" s="12">
        <f t="shared" si="3"/>
        <v>17108025.009914327</v>
      </c>
      <c r="J16" s="13">
        <f t="shared" si="3"/>
        <v>13997581.093842516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785"/>
      <c r="E17" s="785"/>
      <c r="F17" s="785"/>
      <c r="G17" s="78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785"/>
      <c r="E18" s="785"/>
      <c r="F18" s="785"/>
      <c r="G18" s="78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785"/>
      <c r="E19" s="785"/>
      <c r="F19" s="785"/>
      <c r="G19" s="785"/>
      <c r="H19" s="4">
        <f t="shared" ref="H19:J19" si="4">H$1</f>
        <v>2013</v>
      </c>
      <c r="I19" s="5">
        <f t="shared" si="4"/>
        <v>2014</v>
      </c>
      <c r="J19" s="6">
        <f t="shared" si="4"/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795"/>
      <c r="E20" s="795"/>
      <c r="F20" s="795"/>
      <c r="G20" s="795"/>
      <c r="H20" s="742" t="str">
        <f t="shared" ref="H20:J20" si="5">H$2</f>
        <v>Nominal $</v>
      </c>
      <c r="I20" s="108" t="str">
        <f t="shared" si="5"/>
        <v>Nominal $</v>
      </c>
      <c r="J20" s="743" t="str">
        <f t="shared" si="5"/>
        <v>Real 2014 $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796"/>
      <c r="E21" s="796"/>
      <c r="F21" s="796"/>
      <c r="G21" s="796"/>
      <c r="H21" s="50" t="str">
        <f t="shared" ref="H21:J21" si="6">H$3</f>
        <v>Actual</v>
      </c>
      <c r="I21" s="744" t="str">
        <f t="shared" si="6"/>
        <v>Forecast</v>
      </c>
      <c r="J21" s="745" t="str">
        <f t="shared" si="6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">
        <v>364</v>
      </c>
      <c r="B22" s="89"/>
      <c r="C22" s="321">
        <v>0.375</v>
      </c>
      <c r="D22" s="797"/>
      <c r="E22" s="797"/>
      <c r="F22" s="797"/>
      <c r="G22" s="797"/>
      <c r="H22" s="324">
        <f t="shared" ref="H22:J22" si="7">SUM(H10:H12)-H23</f>
        <v>73027002.061382741</v>
      </c>
      <c r="I22" s="19">
        <f t="shared" si="7"/>
        <v>7363763.6915540015</v>
      </c>
      <c r="J22" s="747">
        <f t="shared" si="7"/>
        <v>7336788.157598122</v>
      </c>
      <c r="K22" s="15"/>
      <c r="L22" s="2"/>
      <c r="M22" s="21"/>
      <c r="N22" s="21"/>
      <c r="O22" s="21"/>
    </row>
    <row r="23" spans="1:15" s="1" customFormat="1" x14ac:dyDescent="0.2">
      <c r="A23" s="82" t="s">
        <v>365</v>
      </c>
      <c r="B23" s="86"/>
      <c r="C23" s="322">
        <v>0.06</v>
      </c>
      <c r="D23" s="798"/>
      <c r="E23" s="798"/>
      <c r="F23" s="798"/>
      <c r="G23" s="798"/>
      <c r="H23" s="8">
        <v>0</v>
      </c>
      <c r="I23" s="9">
        <v>0</v>
      </c>
      <c r="J23" s="10">
        <v>0</v>
      </c>
      <c r="K23" s="15"/>
      <c r="L23" s="2"/>
      <c r="M23" s="21"/>
      <c r="N23" s="21"/>
      <c r="O23" s="21"/>
    </row>
    <row r="24" spans="1:15" s="1" customFormat="1" x14ac:dyDescent="0.2">
      <c r="A24" s="82" t="s">
        <v>284</v>
      </c>
      <c r="B24" s="83"/>
      <c r="C24" s="322">
        <v>0.4</v>
      </c>
      <c r="D24" s="798"/>
      <c r="E24" s="798"/>
      <c r="F24" s="798"/>
      <c r="G24" s="798"/>
      <c r="H24" s="324">
        <f t="shared" ref="H24:J26" si="8">H13</f>
        <v>6387456.6100000003</v>
      </c>
      <c r="I24" s="19">
        <f t="shared" si="8"/>
        <v>7268590.7189414138</v>
      </c>
      <c r="J24" s="325">
        <f t="shared" si="8"/>
        <v>5416006.7493866105</v>
      </c>
      <c r="K24" s="15"/>
      <c r="L24" s="2"/>
      <c r="M24" s="21"/>
      <c r="N24" s="21"/>
      <c r="O24" s="21"/>
    </row>
    <row r="25" spans="1:15" s="1" customFormat="1" x14ac:dyDescent="0.2">
      <c r="A25" s="82" t="s">
        <v>286</v>
      </c>
      <c r="B25" s="83"/>
      <c r="C25" s="322">
        <v>0.21428571428571427</v>
      </c>
      <c r="D25" s="798"/>
      <c r="E25" s="798"/>
      <c r="F25" s="798"/>
      <c r="G25" s="798"/>
      <c r="H25" s="324">
        <f t="shared" si="8"/>
        <v>4114819.8866793849</v>
      </c>
      <c r="I25" s="19">
        <f t="shared" si="8"/>
        <v>2349787.4043386215</v>
      </c>
      <c r="J25" s="325">
        <f t="shared" si="8"/>
        <v>1109071.1314960509</v>
      </c>
      <c r="K25" s="15"/>
      <c r="L25" s="2"/>
      <c r="M25" s="21"/>
      <c r="N25" s="21"/>
      <c r="O25" s="21"/>
    </row>
    <row r="26" spans="1:15" s="1" customFormat="1" x14ac:dyDescent="0.2">
      <c r="A26" s="85" t="s">
        <v>285</v>
      </c>
      <c r="B26" s="83"/>
      <c r="C26" s="323">
        <v>0.1764705882352941</v>
      </c>
      <c r="D26" s="798"/>
      <c r="E26" s="798"/>
      <c r="F26" s="798"/>
      <c r="G26" s="798"/>
      <c r="H26" s="324">
        <f t="shared" si="8"/>
        <v>37731.840000000004</v>
      </c>
      <c r="I26" s="19">
        <f t="shared" si="8"/>
        <v>125883.19508029326</v>
      </c>
      <c r="J26" s="325">
        <f t="shared" si="8"/>
        <v>135715.05536173325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2"/>
      <c r="E27" s="785"/>
      <c r="F27" s="785"/>
      <c r="G27" s="785"/>
      <c r="H27" s="11">
        <f t="shared" ref="H27:J27" si="9">SUM(H21:H26)</f>
        <v>83567010.398062125</v>
      </c>
      <c r="I27" s="12">
        <f t="shared" si="9"/>
        <v>17108025.009914327</v>
      </c>
      <c r="J27" s="13">
        <f t="shared" si="9"/>
        <v>13997581.093842516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2"/>
      <c r="E28" s="785"/>
      <c r="F28" s="785"/>
      <c r="G28" s="78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2"/>
      <c r="E29" s="785"/>
      <c r="F29" s="785"/>
      <c r="G29" s="78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2"/>
      <c r="E30" s="785"/>
      <c r="F30" s="785"/>
      <c r="G30" s="785"/>
      <c r="H30" s="4">
        <f t="shared" ref="H30:J30" si="10">H$1</f>
        <v>2013</v>
      </c>
      <c r="I30" s="5">
        <f t="shared" si="10"/>
        <v>2014</v>
      </c>
      <c r="J30" s="6">
        <f t="shared" si="10"/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2"/>
      <c r="E31" s="785"/>
      <c r="F31" s="785"/>
      <c r="G31" s="785"/>
      <c r="H31" s="742" t="str">
        <f t="shared" ref="H31:J31" si="11">H$2</f>
        <v>Nominal $</v>
      </c>
      <c r="I31" s="108" t="str">
        <f t="shared" si="11"/>
        <v>Nominal $</v>
      </c>
      <c r="J31" s="743" t="str">
        <f t="shared" si="11"/>
        <v>Real 2014 $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20"/>
      <c r="E32" s="799"/>
      <c r="F32" s="799"/>
      <c r="G32" s="799"/>
      <c r="H32" s="50" t="str">
        <f t="shared" ref="H32:J32" si="12">H$3</f>
        <v>Actual</v>
      </c>
      <c r="I32" s="744" t="str">
        <f t="shared" si="12"/>
        <v>Forecast</v>
      </c>
      <c r="J32" s="745" t="str">
        <f t="shared" si="12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20"/>
      <c r="E33" s="799"/>
      <c r="F33" s="799"/>
      <c r="G33" s="799"/>
      <c r="H33" s="35"/>
      <c r="I33" s="36"/>
      <c r="J33" s="37"/>
      <c r="K33" s="36"/>
      <c r="M33" s="21"/>
      <c r="N33" s="21"/>
      <c r="O33" s="21"/>
    </row>
    <row r="34" spans="1:15" x14ac:dyDescent="0.2">
      <c r="A34" s="83" t="s">
        <v>42</v>
      </c>
      <c r="C34" s="20"/>
      <c r="D34" s="20"/>
      <c r="E34" s="799"/>
      <c r="F34" s="799"/>
      <c r="G34" s="799"/>
      <c r="H34" s="24">
        <v>0</v>
      </c>
      <c r="I34" s="25">
        <v>0</v>
      </c>
      <c r="J34" s="26">
        <v>0</v>
      </c>
      <c r="K34" s="36"/>
      <c r="M34" s="21"/>
      <c r="N34" s="21"/>
      <c r="O34" s="21"/>
    </row>
    <row r="35" spans="1:15" x14ac:dyDescent="0.2">
      <c r="A35" s="83" t="s">
        <v>267</v>
      </c>
      <c r="C35" s="20"/>
      <c r="D35" s="20"/>
      <c r="E35" s="799"/>
      <c r="F35" s="799"/>
      <c r="G35" s="799"/>
      <c r="H35" s="24">
        <v>0</v>
      </c>
      <c r="I35" s="25">
        <v>0</v>
      </c>
      <c r="J35" s="26">
        <v>0</v>
      </c>
      <c r="K35" s="36"/>
      <c r="M35" s="21"/>
      <c r="N35" s="21"/>
      <c r="O35" s="21"/>
    </row>
    <row r="36" spans="1:15" x14ac:dyDescent="0.2">
      <c r="A36" s="83" t="s">
        <v>363</v>
      </c>
      <c r="C36" s="20"/>
      <c r="D36" s="20"/>
      <c r="E36" s="799"/>
      <c r="F36" s="799"/>
      <c r="G36" s="799"/>
      <c r="H36" s="24">
        <v>0</v>
      </c>
      <c r="I36" s="25">
        <v>0</v>
      </c>
      <c r="J36" s="26">
        <v>0</v>
      </c>
      <c r="K36" s="36"/>
      <c r="M36" s="21"/>
      <c r="N36" s="21"/>
      <c r="O36" s="21"/>
    </row>
    <row r="37" spans="1:15" x14ac:dyDescent="0.2">
      <c r="A37" s="83" t="s">
        <v>284</v>
      </c>
      <c r="C37" s="20"/>
      <c r="D37" s="20"/>
      <c r="E37" s="799"/>
      <c r="F37" s="799"/>
      <c r="G37" s="799"/>
      <c r="H37" s="24">
        <v>0</v>
      </c>
      <c r="I37" s="25">
        <v>0</v>
      </c>
      <c r="J37" s="26">
        <v>0</v>
      </c>
      <c r="K37" s="36"/>
      <c r="M37" s="21"/>
      <c r="N37" s="21"/>
      <c r="O37" s="21"/>
    </row>
    <row r="38" spans="1:15" x14ac:dyDescent="0.2">
      <c r="A38" s="83" t="s">
        <v>286</v>
      </c>
      <c r="B38" s="446"/>
      <c r="C38" s="20"/>
      <c r="D38" s="20"/>
      <c r="E38" s="799"/>
      <c r="F38" s="799"/>
      <c r="G38" s="799"/>
      <c r="H38" s="24">
        <v>0</v>
      </c>
      <c r="I38" s="25">
        <v>0</v>
      </c>
      <c r="J38" s="26">
        <v>0</v>
      </c>
      <c r="K38" s="36"/>
      <c r="M38" s="21"/>
      <c r="N38" s="21"/>
      <c r="O38" s="21"/>
    </row>
    <row r="39" spans="1:15" x14ac:dyDescent="0.2">
      <c r="A39" s="83" t="s">
        <v>285</v>
      </c>
      <c r="B39" s="447"/>
      <c r="C39" s="20"/>
      <c r="D39" s="20"/>
      <c r="E39" s="799"/>
      <c r="F39" s="799"/>
      <c r="G39" s="799"/>
      <c r="H39" s="24">
        <v>0</v>
      </c>
      <c r="I39" s="25">
        <v>0</v>
      </c>
      <c r="J39" s="26"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20"/>
      <c r="E40" s="799"/>
      <c r="F40" s="799"/>
      <c r="G40" s="799"/>
      <c r="H40" s="326">
        <f t="shared" ref="H40:J40" si="13">SUM(H34:H39)</f>
        <v>0</v>
      </c>
      <c r="I40" s="90">
        <f t="shared" si="13"/>
        <v>0</v>
      </c>
      <c r="J40" s="327">
        <f t="shared" si="13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20"/>
      <c r="E41" s="799"/>
      <c r="F41" s="799"/>
      <c r="G41" s="799"/>
      <c r="H41" s="328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0"/>
      <c r="E42" s="799"/>
      <c r="F42" s="799"/>
      <c r="G42" s="799"/>
      <c r="H42" s="23"/>
      <c r="I42" s="20"/>
      <c r="J42" s="721"/>
      <c r="K42" s="2"/>
      <c r="M42" s="2"/>
      <c r="N42" s="2"/>
      <c r="O42" s="2"/>
    </row>
    <row r="43" spans="1:15" x14ac:dyDescent="0.2">
      <c r="A43" s="83" t="s">
        <v>42</v>
      </c>
      <c r="C43" s="20"/>
      <c r="D43" s="20"/>
      <c r="E43" s="799"/>
      <c r="F43" s="799"/>
      <c r="G43" s="799"/>
      <c r="H43" s="24">
        <v>0</v>
      </c>
      <c r="I43" s="25">
        <v>0</v>
      </c>
      <c r="J43" s="26">
        <v>0</v>
      </c>
      <c r="K43" s="36"/>
      <c r="M43" s="2"/>
      <c r="N43" s="2"/>
      <c r="O43" s="2"/>
    </row>
    <row r="44" spans="1:15" x14ac:dyDescent="0.2">
      <c r="A44" s="83" t="s">
        <v>267</v>
      </c>
      <c r="B44" s="447"/>
      <c r="C44" s="20"/>
      <c r="D44" s="20"/>
      <c r="E44" s="799"/>
      <c r="F44" s="799"/>
      <c r="G44" s="799"/>
      <c r="H44" s="24">
        <v>0</v>
      </c>
      <c r="I44" s="25">
        <v>0</v>
      </c>
      <c r="J44" s="26">
        <v>0</v>
      </c>
      <c r="K44" s="36"/>
      <c r="M44" s="2"/>
      <c r="N44" s="2"/>
      <c r="O44" s="2"/>
    </row>
    <row r="45" spans="1:15" x14ac:dyDescent="0.2">
      <c r="A45" s="83" t="s">
        <v>363</v>
      </c>
      <c r="C45" s="20"/>
      <c r="D45" s="20"/>
      <c r="E45" s="799"/>
      <c r="F45" s="799"/>
      <c r="G45" s="799"/>
      <c r="H45" s="24">
        <v>0</v>
      </c>
      <c r="I45" s="25">
        <v>0</v>
      </c>
      <c r="J45" s="26">
        <v>0</v>
      </c>
      <c r="K45" s="36"/>
      <c r="M45" s="2"/>
      <c r="N45" s="2"/>
      <c r="O45" s="2"/>
    </row>
    <row r="46" spans="1:15" x14ac:dyDescent="0.2">
      <c r="A46" s="83" t="s">
        <v>284</v>
      </c>
      <c r="C46" s="20"/>
      <c r="D46" s="20"/>
      <c r="E46" s="799"/>
      <c r="F46" s="799"/>
      <c r="G46" s="799"/>
      <c r="H46" s="24">
        <v>0</v>
      </c>
      <c r="I46" s="25">
        <v>0</v>
      </c>
      <c r="J46" s="26">
        <v>0</v>
      </c>
      <c r="K46" s="36"/>
      <c r="M46" s="2"/>
      <c r="N46" s="2"/>
      <c r="O46" s="2"/>
    </row>
    <row r="47" spans="1:15" x14ac:dyDescent="0.2">
      <c r="A47" s="83" t="s">
        <v>286</v>
      </c>
      <c r="B47" s="89"/>
      <c r="C47" s="20"/>
      <c r="D47" s="20"/>
      <c r="E47" s="799"/>
      <c r="F47" s="799"/>
      <c r="G47" s="799"/>
      <c r="H47" s="24">
        <v>0</v>
      </c>
      <c r="I47" s="25">
        <v>0</v>
      </c>
      <c r="J47" s="26">
        <v>0</v>
      </c>
      <c r="K47" s="36"/>
      <c r="M47" s="2"/>
      <c r="N47" s="2"/>
      <c r="O47" s="2"/>
    </row>
    <row r="48" spans="1:15" x14ac:dyDescent="0.2">
      <c r="A48" s="83" t="s">
        <v>285</v>
      </c>
      <c r="C48" s="20"/>
      <c r="D48" s="20"/>
      <c r="E48" s="799"/>
      <c r="F48" s="799"/>
      <c r="G48" s="799"/>
      <c r="H48" s="27">
        <v>0</v>
      </c>
      <c r="I48" s="28">
        <v>0</v>
      </c>
      <c r="J48" s="29"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2"/>
      <c r="E49" s="785"/>
      <c r="F49" s="785"/>
      <c r="G49" s="785"/>
      <c r="H49" s="326">
        <f t="shared" ref="H49:J49" si="14">SUM(H43:H48)</f>
        <v>0</v>
      </c>
      <c r="I49" s="90">
        <f t="shared" si="14"/>
        <v>0</v>
      </c>
      <c r="J49" s="327">
        <f t="shared" si="14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2"/>
      <c r="E50" s="785"/>
      <c r="F50" s="785"/>
      <c r="G50" s="78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2"/>
      <c r="E51" s="785"/>
      <c r="F51" s="785"/>
      <c r="G51" s="78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2"/>
      <c r="E52" s="785"/>
      <c r="F52" s="785"/>
      <c r="G52" s="785"/>
      <c r="H52" s="4">
        <f t="shared" ref="H52:J52" si="15">H$1</f>
        <v>2013</v>
      </c>
      <c r="I52" s="5">
        <f t="shared" si="15"/>
        <v>2014</v>
      </c>
      <c r="J52" s="6">
        <f t="shared" si="15"/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2"/>
      <c r="E53" s="785"/>
      <c r="F53" s="785"/>
      <c r="G53" s="785"/>
      <c r="H53" s="742" t="str">
        <f t="shared" ref="H53:J53" si="16">H$2</f>
        <v>Nominal $</v>
      </c>
      <c r="I53" s="108" t="str">
        <f t="shared" si="16"/>
        <v>Nominal $</v>
      </c>
      <c r="J53" s="743" t="str">
        <f t="shared" si="16"/>
        <v>Real 2014 $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2"/>
      <c r="E54" s="785"/>
      <c r="F54" s="785"/>
      <c r="G54" s="785"/>
      <c r="H54" s="742" t="str">
        <f t="shared" ref="H54:J54" si="17">H$3</f>
        <v>Actual</v>
      </c>
      <c r="I54" s="108" t="str">
        <f t="shared" si="17"/>
        <v>Forecast</v>
      </c>
      <c r="J54" s="743" t="str">
        <f t="shared" si="17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392</v>
      </c>
      <c r="B55" s="83"/>
      <c r="C55" s="2"/>
      <c r="D55" s="2"/>
      <c r="E55" s="785"/>
      <c r="F55" s="785"/>
      <c r="G55" s="785"/>
      <c r="H55" s="16">
        <v>21941413.564735752</v>
      </c>
      <c r="I55" s="17">
        <v>23089633.02636192</v>
      </c>
      <c r="J55" s="18">
        <v>22451827.101626538</v>
      </c>
      <c r="K55" s="117"/>
      <c r="L55" s="2"/>
      <c r="M55" s="21"/>
      <c r="N55" s="21"/>
      <c r="O55" s="21"/>
    </row>
    <row r="56" spans="1:15" s="1" customFormat="1" ht="13.5" thickTop="1" x14ac:dyDescent="0.2">
      <c r="A56" s="3"/>
      <c r="B56" s="446"/>
      <c r="C56" s="785"/>
      <c r="D56" s="785"/>
      <c r="E56" s="785"/>
      <c r="F56" s="785"/>
      <c r="G56" s="785"/>
      <c r="H56" s="779"/>
      <c r="I56" s="779"/>
      <c r="J56" s="779"/>
      <c r="K56" s="19"/>
      <c r="L56" s="2"/>
      <c r="M56" s="21"/>
      <c r="N56" s="21"/>
      <c r="O56" s="21"/>
    </row>
    <row r="57" spans="1:15" s="1" customFormat="1" x14ac:dyDescent="0.2">
      <c r="A57" s="777"/>
      <c r="B57" s="442"/>
      <c r="C57" s="785"/>
      <c r="D57" s="785"/>
      <c r="E57" s="785"/>
      <c r="F57" s="785"/>
      <c r="G57" s="785"/>
      <c r="H57" s="779"/>
      <c r="I57" s="787"/>
      <c r="J57" s="787"/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E58" s="777"/>
      <c r="F58" s="777"/>
      <c r="G58" s="777"/>
      <c r="H58" s="4">
        <f t="shared" ref="H58:J58" si="18">H$1</f>
        <v>2013</v>
      </c>
      <c r="I58" s="5">
        <f t="shared" si="18"/>
        <v>2014</v>
      </c>
      <c r="J58" s="6">
        <f t="shared" si="18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E59" s="777"/>
      <c r="F59" s="777"/>
      <c r="G59" s="777"/>
      <c r="H59" s="574" t="str">
        <f>H$2</f>
        <v>Nominal $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E60" s="777"/>
      <c r="F60" s="777"/>
      <c r="G60" s="777"/>
      <c r="H60" s="575">
        <v>99912045.450000003</v>
      </c>
      <c r="K60" s="19"/>
      <c r="M60" s="21"/>
      <c r="N60" s="21"/>
      <c r="O60" s="21"/>
    </row>
    <row r="61" spans="1:15" s="1" customFormat="1" ht="13.5" thickTop="1" x14ac:dyDescent="0.2">
      <c r="A61" s="30"/>
      <c r="B61" s="443"/>
      <c r="E61" s="777"/>
      <c r="F61" s="19"/>
      <c r="G61" s="19"/>
      <c r="K61" s="19"/>
      <c r="M61" s="21"/>
      <c r="N61" s="21"/>
      <c r="O61" s="21"/>
    </row>
    <row r="62" spans="1:15" s="1" customFormat="1" x14ac:dyDescent="0.2">
      <c r="A62" s="30"/>
      <c r="B62" s="443"/>
      <c r="E62" s="777"/>
      <c r="F62" s="790"/>
      <c r="G62" s="790"/>
      <c r="K62" s="19"/>
      <c r="M62" s="21"/>
      <c r="N62" s="21"/>
      <c r="O62" s="21"/>
    </row>
    <row r="63" spans="1:15" s="1" customFormat="1" x14ac:dyDescent="0.2">
      <c r="A63" s="30"/>
      <c r="B63" s="86"/>
      <c r="C63" s="2"/>
      <c r="D63" s="2"/>
      <c r="E63" s="785"/>
      <c r="F63" s="19"/>
      <c r="G63" s="19"/>
      <c r="K63" s="19"/>
      <c r="M63" s="21"/>
      <c r="N63" s="21"/>
      <c r="O63" s="21"/>
    </row>
    <row r="64" spans="1:15" s="1" customFormat="1" x14ac:dyDescent="0.2">
      <c r="A64" s="30"/>
      <c r="B64" s="86"/>
      <c r="C64" s="2"/>
      <c r="D64" s="21"/>
      <c r="E64" s="784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I65" s="965" t="s">
        <v>380</v>
      </c>
      <c r="J65" s="966"/>
      <c r="K65" s="32"/>
      <c r="L65" s="2"/>
      <c r="N65" s="2"/>
      <c r="O65" s="2"/>
      <c r="P65" s="965" t="s">
        <v>23</v>
      </c>
      <c r="Q65" s="967"/>
    </row>
    <row r="66" spans="1:17" x14ac:dyDescent="0.2">
      <c r="L66" s="2"/>
      <c r="N66" s="2"/>
      <c r="O66" s="2"/>
    </row>
    <row r="67" spans="1:17" x14ac:dyDescent="0.2">
      <c r="I67" s="748">
        <f>I$1</f>
        <v>2014</v>
      </c>
      <c r="J67" s="748">
        <f>J$1</f>
        <v>2015</v>
      </c>
      <c r="K67" s="54"/>
      <c r="L67" s="2"/>
      <c r="M67" s="21"/>
      <c r="N67" s="2"/>
      <c r="O67" s="2"/>
      <c r="P67" s="4">
        <f>P$1</f>
        <v>2014</v>
      </c>
      <c r="Q67" s="6">
        <f>Q$1</f>
        <v>2015</v>
      </c>
    </row>
    <row r="68" spans="1:17" x14ac:dyDescent="0.2">
      <c r="A68" s="57"/>
      <c r="I68" s="805" t="s">
        <v>20</v>
      </c>
      <c r="J68" s="883" t="s">
        <v>21</v>
      </c>
      <c r="K68" s="108"/>
      <c r="L68" s="2"/>
      <c r="M68" s="21"/>
      <c r="N68" s="2"/>
      <c r="O68" s="2"/>
      <c r="P68" s="749" t="str">
        <f>P3</f>
        <v>Forecast</v>
      </c>
      <c r="Q68" s="726" t="str">
        <f>Q3</f>
        <v>Forecast</v>
      </c>
    </row>
    <row r="69" spans="1:17" x14ac:dyDescent="0.2">
      <c r="B69" s="1"/>
      <c r="I69" s="884" t="s">
        <v>22</v>
      </c>
      <c r="J69" s="884" t="s">
        <v>22</v>
      </c>
      <c r="K69" s="108"/>
      <c r="L69" s="2"/>
      <c r="M69" s="21"/>
      <c r="N69" s="2"/>
      <c r="O69" s="2"/>
      <c r="P69" s="729"/>
      <c r="Q69" s="731"/>
    </row>
    <row r="70" spans="1:17" x14ac:dyDescent="0.2">
      <c r="B70" s="89"/>
      <c r="I70" s="732"/>
      <c r="J70" s="733"/>
      <c r="K70" s="2"/>
      <c r="L70" s="2"/>
      <c r="M70" s="21"/>
      <c r="N70" s="2"/>
      <c r="O70" s="2"/>
      <c r="P70" s="732"/>
      <c r="Q70" s="721"/>
    </row>
    <row r="71" spans="1:17" x14ac:dyDescent="0.2">
      <c r="A71" s="88" t="s">
        <v>24</v>
      </c>
      <c r="B71" s="89"/>
      <c r="I71" s="339" t="s">
        <v>25</v>
      </c>
      <c r="J71" s="121"/>
      <c r="K71" s="118"/>
      <c r="L71" s="2"/>
      <c r="M71" s="21"/>
      <c r="N71" s="2"/>
      <c r="O71" s="2"/>
      <c r="P71" s="23"/>
      <c r="Q71" s="721"/>
    </row>
    <row r="72" spans="1:17" x14ac:dyDescent="0.2">
      <c r="A72" s="82" t="s">
        <v>26</v>
      </c>
      <c r="B72" s="53"/>
      <c r="I72" s="738">
        <f>'Data 2009-15 (Real $2008)'!I72</f>
        <v>0</v>
      </c>
      <c r="J72" s="333"/>
      <c r="K72" s="119"/>
      <c r="L72" s="2"/>
      <c r="M72" s="21"/>
      <c r="N72" s="2"/>
      <c r="O72" s="2"/>
      <c r="P72" s="77"/>
      <c r="Q72" s="73"/>
    </row>
    <row r="73" spans="1:17" x14ac:dyDescent="0.2">
      <c r="A73" s="82" t="s">
        <v>27</v>
      </c>
      <c r="B73" s="444"/>
      <c r="I73" s="738">
        <f>'Data 2009-15 (Real $2008)'!I73</f>
        <v>0</v>
      </c>
      <c r="J73" s="333"/>
      <c r="K73" s="119"/>
      <c r="L73" s="2"/>
      <c r="M73" s="21"/>
      <c r="N73" s="2"/>
      <c r="O73" s="2"/>
      <c r="P73" s="77"/>
      <c r="Q73" s="73"/>
    </row>
    <row r="74" spans="1:17" x14ac:dyDescent="0.2">
      <c r="A74" s="551" t="s">
        <v>370</v>
      </c>
      <c r="B74" s="2"/>
      <c r="I74" s="738">
        <f>'Data 2009-15 (Real $2008)'!I74</f>
        <v>0</v>
      </c>
      <c r="J74" s="333"/>
      <c r="K74" s="119"/>
      <c r="L74" s="2"/>
      <c r="M74" s="21"/>
      <c r="N74" s="2"/>
      <c r="O74" s="2"/>
      <c r="P74" s="77"/>
      <c r="Q74" s="73"/>
    </row>
    <row r="75" spans="1:17" x14ac:dyDescent="0.2">
      <c r="A75" s="551" t="s">
        <v>371</v>
      </c>
      <c r="I75" s="738">
        <f>'Data 2009-15 (Real $2008)'!I75</f>
        <v>0</v>
      </c>
      <c r="J75" s="333"/>
      <c r="K75" s="119"/>
      <c r="L75" s="2"/>
      <c r="M75" s="21"/>
      <c r="N75" s="2"/>
      <c r="O75" s="2"/>
      <c r="P75" s="77"/>
      <c r="Q75" s="73"/>
    </row>
    <row r="76" spans="1:17" x14ac:dyDescent="0.2">
      <c r="A76" s="551" t="s">
        <v>372</v>
      </c>
      <c r="I76" s="738">
        <f>'Data 2009-15 (Real $2008)'!I76</f>
        <v>0</v>
      </c>
      <c r="J76" s="333"/>
      <c r="K76" s="119"/>
      <c r="L76" s="2"/>
      <c r="M76" s="21"/>
      <c r="N76" s="2"/>
      <c r="O76" s="2"/>
      <c r="P76" s="77"/>
      <c r="Q76" s="73"/>
    </row>
    <row r="77" spans="1:17" x14ac:dyDescent="0.2">
      <c r="A77" s="551" t="s">
        <v>373</v>
      </c>
      <c r="B77" s="2"/>
      <c r="I77" s="738">
        <f>'Data 2009-15 (Real $2008)'!I77</f>
        <v>0</v>
      </c>
      <c r="J77" s="333"/>
      <c r="K77" s="119"/>
      <c r="L77" s="2"/>
      <c r="M77" s="21"/>
      <c r="N77" s="2"/>
      <c r="O77" s="2"/>
      <c r="P77" s="77"/>
      <c r="Q77" s="73"/>
    </row>
    <row r="78" spans="1:17" x14ac:dyDescent="0.2">
      <c r="A78" s="551" t="s">
        <v>374</v>
      </c>
      <c r="B78" s="86"/>
      <c r="I78" s="738">
        <f>'Data 2009-15 (Real $2008)'!I78</f>
        <v>0</v>
      </c>
      <c r="J78" s="333"/>
      <c r="K78" s="119"/>
      <c r="L78" s="2"/>
      <c r="M78" s="21"/>
      <c r="N78" s="2"/>
      <c r="O78" s="2"/>
      <c r="P78" s="77"/>
      <c r="Q78" s="73"/>
    </row>
    <row r="79" spans="1:17" x14ac:dyDescent="0.2">
      <c r="A79" s="82"/>
      <c r="I79" s="736"/>
      <c r="J79" s="737"/>
      <c r="K79" s="2"/>
      <c r="L79" s="2"/>
      <c r="M79" s="21"/>
      <c r="N79" s="2"/>
      <c r="O79" s="2"/>
      <c r="P79" s="23"/>
      <c r="Q79" s="721"/>
    </row>
    <row r="80" spans="1:17" x14ac:dyDescent="0.2">
      <c r="A80" s="82"/>
      <c r="I80" s="736"/>
      <c r="J80" s="737"/>
      <c r="K80" s="2"/>
      <c r="L80" s="2"/>
      <c r="M80" s="21"/>
      <c r="N80" s="2"/>
      <c r="O80" s="2"/>
      <c r="P80" s="23"/>
      <c r="Q80" s="721"/>
    </row>
    <row r="81" spans="1:17" x14ac:dyDescent="0.2">
      <c r="A81" s="88" t="s">
        <v>24</v>
      </c>
      <c r="B81" s="319"/>
      <c r="I81" s="511" t="s">
        <v>28</v>
      </c>
      <c r="J81" s="335"/>
      <c r="K81" s="118"/>
      <c r="L81" s="2"/>
      <c r="M81" s="21"/>
      <c r="N81" s="2"/>
      <c r="O81" s="2"/>
      <c r="P81" s="23"/>
      <c r="Q81" s="721"/>
    </row>
    <row r="82" spans="1:17" x14ac:dyDescent="0.2">
      <c r="A82" s="82" t="s">
        <v>26</v>
      </c>
      <c r="B82" s="319"/>
      <c r="I82" s="738">
        <f>'Data 2009-15 (Real $2008)'!I82</f>
        <v>0</v>
      </c>
      <c r="J82" s="333"/>
      <c r="K82" s="119"/>
      <c r="L82" s="2"/>
      <c r="M82" s="21"/>
      <c r="N82" s="2"/>
      <c r="O82" s="2"/>
      <c r="P82" s="77"/>
      <c r="Q82" s="73"/>
    </row>
    <row r="83" spans="1:17" x14ac:dyDescent="0.2">
      <c r="A83" s="82" t="s">
        <v>27</v>
      </c>
      <c r="B83" s="431"/>
      <c r="I83" s="738">
        <f>'Data 2009-15 (Real $2008)'!I83</f>
        <v>0</v>
      </c>
      <c r="J83" s="333"/>
      <c r="K83" s="119"/>
      <c r="L83" s="2"/>
      <c r="M83" s="21"/>
      <c r="N83" s="2"/>
      <c r="O83" s="2"/>
      <c r="P83" s="77"/>
      <c r="Q83" s="73"/>
    </row>
    <row r="84" spans="1:17" x14ac:dyDescent="0.2">
      <c r="A84" s="551" t="s">
        <v>370</v>
      </c>
      <c r="I84" s="738">
        <f>'Data 2009-15 (Real $2008)'!I84</f>
        <v>0</v>
      </c>
      <c r="J84" s="333"/>
      <c r="K84" s="119"/>
      <c r="L84" s="2"/>
      <c r="M84" s="21"/>
      <c r="N84" s="2"/>
      <c r="O84" s="2"/>
      <c r="P84" s="77"/>
      <c r="Q84" s="73"/>
    </row>
    <row r="85" spans="1:17" x14ac:dyDescent="0.2">
      <c r="A85" s="551" t="s">
        <v>371</v>
      </c>
      <c r="I85" s="738">
        <f>'Data 2009-15 (Real $2008)'!I85</f>
        <v>0</v>
      </c>
      <c r="J85" s="333"/>
      <c r="K85" s="119"/>
      <c r="L85" s="2"/>
      <c r="M85" s="21"/>
      <c r="N85" s="2"/>
      <c r="O85" s="2"/>
      <c r="P85" s="77"/>
      <c r="Q85" s="73"/>
    </row>
    <row r="86" spans="1:17" x14ac:dyDescent="0.2">
      <c r="A86" s="551" t="s">
        <v>372</v>
      </c>
      <c r="I86" s="738">
        <f>'Data 2009-15 (Real $2008)'!I86</f>
        <v>0</v>
      </c>
      <c r="J86" s="333"/>
      <c r="K86" s="119"/>
      <c r="L86" s="2"/>
      <c r="M86" s="21"/>
      <c r="N86" s="2"/>
      <c r="O86" s="2"/>
      <c r="P86" s="77"/>
      <c r="Q86" s="73"/>
    </row>
    <row r="87" spans="1:17" x14ac:dyDescent="0.2">
      <c r="A87" s="551" t="s">
        <v>373</v>
      </c>
      <c r="I87" s="738">
        <f>'Data 2009-15 (Real $2008)'!I87</f>
        <v>0</v>
      </c>
      <c r="J87" s="333"/>
      <c r="K87" s="119"/>
      <c r="L87" s="2"/>
      <c r="M87" s="21"/>
      <c r="N87" s="2"/>
      <c r="O87" s="2"/>
      <c r="P87" s="77"/>
      <c r="Q87" s="73"/>
    </row>
    <row r="88" spans="1:17" x14ac:dyDescent="0.2">
      <c r="A88" s="551" t="s">
        <v>374</v>
      </c>
      <c r="B88" s="106"/>
      <c r="I88" s="738">
        <f>'Data 2009-15 (Real $2008)'!I88</f>
        <v>0</v>
      </c>
      <c r="J88" s="333"/>
      <c r="K88" s="119"/>
      <c r="L88" s="2"/>
      <c r="M88" s="21"/>
      <c r="N88" s="2"/>
      <c r="O88" s="2"/>
      <c r="P88" s="77"/>
      <c r="Q88" s="73"/>
    </row>
    <row r="89" spans="1:17" x14ac:dyDescent="0.2">
      <c r="A89" s="82"/>
      <c r="B89" s="86"/>
      <c r="I89" s="736"/>
      <c r="J89" s="737"/>
      <c r="K89" s="2"/>
      <c r="L89" s="2"/>
      <c r="M89" s="21"/>
      <c r="N89" s="2"/>
      <c r="O89" s="2"/>
      <c r="P89" s="23"/>
      <c r="Q89" s="721"/>
    </row>
    <row r="90" spans="1:17" x14ac:dyDescent="0.2">
      <c r="A90" s="82"/>
      <c r="B90" s="91"/>
      <c r="I90" s="736"/>
      <c r="J90" s="737"/>
      <c r="K90" s="2"/>
      <c r="L90" s="2"/>
      <c r="M90" s="21"/>
      <c r="N90" s="2"/>
      <c r="O90" s="2"/>
      <c r="P90" s="23"/>
      <c r="Q90" s="721"/>
    </row>
    <row r="91" spans="1:17" x14ac:dyDescent="0.2">
      <c r="A91" s="88" t="s">
        <v>29</v>
      </c>
      <c r="B91" s="91"/>
      <c r="I91" s="339" t="s">
        <v>25</v>
      </c>
      <c r="J91" s="335"/>
      <c r="K91" s="118"/>
      <c r="L91" s="2"/>
      <c r="M91" s="21"/>
      <c r="N91" s="2"/>
      <c r="O91" s="2"/>
      <c r="P91" s="23"/>
      <c r="Q91" s="721"/>
    </row>
    <row r="92" spans="1:17" x14ac:dyDescent="0.2">
      <c r="A92" s="82" t="s">
        <v>30</v>
      </c>
      <c r="B92" s="89"/>
      <c r="I92" s="738">
        <f>'Data 2009-15 (Real $2008)'!I92</f>
        <v>0</v>
      </c>
      <c r="J92" s="333"/>
      <c r="K92" s="119"/>
      <c r="L92" s="2"/>
      <c r="M92" s="21"/>
      <c r="N92" s="2"/>
      <c r="O92" s="2"/>
      <c r="P92" s="77"/>
      <c r="Q92" s="73"/>
    </row>
    <row r="93" spans="1:17" x14ac:dyDescent="0.2">
      <c r="A93" s="82" t="s">
        <v>31</v>
      </c>
      <c r="B93" s="84"/>
      <c r="I93" s="738">
        <f>'Data 2009-15 (Real $2008)'!I93</f>
        <v>0</v>
      </c>
      <c r="J93" s="333"/>
      <c r="K93" s="119"/>
      <c r="L93" s="2"/>
      <c r="M93" s="21"/>
      <c r="N93" s="2"/>
      <c r="O93" s="2"/>
      <c r="P93" s="77"/>
      <c r="Q93" s="73"/>
    </row>
    <row r="94" spans="1:17" x14ac:dyDescent="0.2">
      <c r="A94" s="82" t="s">
        <v>32</v>
      </c>
      <c r="B94" s="89"/>
      <c r="I94" s="738">
        <f>'Data 2009-15 (Real $2008)'!I94</f>
        <v>0</v>
      </c>
      <c r="J94" s="333"/>
      <c r="K94" s="119"/>
      <c r="L94" s="2"/>
      <c r="M94" s="21"/>
      <c r="N94" s="2"/>
      <c r="O94" s="2"/>
      <c r="P94" s="77"/>
      <c r="Q94" s="73"/>
    </row>
    <row r="95" spans="1:17" x14ac:dyDescent="0.2">
      <c r="A95" s="82" t="s">
        <v>33</v>
      </c>
      <c r="B95" s="91"/>
      <c r="I95" s="738">
        <f>'Data 2009-15 (Real $2008)'!I95</f>
        <v>0</v>
      </c>
      <c r="J95" s="333"/>
      <c r="K95" s="119"/>
      <c r="L95" s="2"/>
      <c r="M95" s="21"/>
      <c r="N95" s="2"/>
      <c r="O95" s="2"/>
      <c r="P95" s="77"/>
      <c r="Q95" s="73"/>
    </row>
    <row r="96" spans="1:17" x14ac:dyDescent="0.2">
      <c r="A96" s="82" t="s">
        <v>34</v>
      </c>
      <c r="B96" s="91"/>
      <c r="I96" s="738">
        <f>'Data 2009-15 (Real $2008)'!I96</f>
        <v>0</v>
      </c>
      <c r="J96" s="333"/>
      <c r="K96" s="119"/>
      <c r="L96" s="2"/>
      <c r="M96" s="21"/>
      <c r="N96" s="2"/>
      <c r="O96" s="2"/>
      <c r="P96" s="77"/>
      <c r="Q96" s="73"/>
    </row>
    <row r="97" spans="1:17" x14ac:dyDescent="0.2">
      <c r="A97" s="82" t="s">
        <v>35</v>
      </c>
      <c r="B97" s="91"/>
      <c r="I97" s="738">
        <f>'Data 2009-15 (Real $2008)'!I97</f>
        <v>0</v>
      </c>
      <c r="J97" s="333"/>
      <c r="K97" s="119"/>
      <c r="L97" s="2"/>
      <c r="M97" s="21"/>
      <c r="N97" s="2"/>
      <c r="O97" s="2"/>
      <c r="P97" s="77"/>
      <c r="Q97" s="73"/>
    </row>
    <row r="98" spans="1:17" x14ac:dyDescent="0.2">
      <c r="A98" s="551" t="s">
        <v>370</v>
      </c>
      <c r="B98" s="91"/>
      <c r="I98" s="738">
        <f>'Data 2009-15 (Real $2008)'!I98</f>
        <v>0</v>
      </c>
      <c r="J98" s="333"/>
      <c r="K98" s="119"/>
      <c r="L98" s="2"/>
      <c r="M98" s="21"/>
      <c r="N98" s="2"/>
      <c r="O98" s="2"/>
      <c r="P98" s="77"/>
      <c r="Q98" s="73"/>
    </row>
    <row r="99" spans="1:17" x14ac:dyDescent="0.2">
      <c r="A99" s="551" t="s">
        <v>371</v>
      </c>
      <c r="B99" s="91"/>
      <c r="I99" s="738">
        <f>'Data 2009-15 (Real $2008)'!I99</f>
        <v>0</v>
      </c>
      <c r="J99" s="333"/>
      <c r="K99" s="119"/>
      <c r="L99" s="2"/>
      <c r="M99" s="21"/>
      <c r="N99" s="2"/>
      <c r="O99" s="2"/>
      <c r="P99" s="77"/>
      <c r="Q99" s="73"/>
    </row>
    <row r="100" spans="1:17" x14ac:dyDescent="0.2">
      <c r="A100" s="551" t="s">
        <v>372</v>
      </c>
      <c r="B100" s="91"/>
      <c r="I100" s="738">
        <f>'Data 2009-15 (Real $2008)'!I100</f>
        <v>0</v>
      </c>
      <c r="J100" s="333"/>
      <c r="K100" s="119"/>
      <c r="L100" s="2"/>
      <c r="M100" s="21"/>
      <c r="N100" s="2"/>
      <c r="O100" s="2"/>
      <c r="P100" s="77"/>
      <c r="Q100" s="73"/>
    </row>
    <row r="101" spans="1:17" x14ac:dyDescent="0.2">
      <c r="A101" s="551" t="s">
        <v>373</v>
      </c>
      <c r="B101" s="91"/>
      <c r="I101" s="738">
        <f>'Data 2009-15 (Real $2008)'!I101</f>
        <v>0</v>
      </c>
      <c r="J101" s="333"/>
      <c r="K101" s="119"/>
      <c r="L101" s="2"/>
      <c r="M101" s="21"/>
      <c r="N101" s="2"/>
      <c r="O101" s="2"/>
      <c r="P101" s="77"/>
      <c r="Q101" s="73"/>
    </row>
    <row r="102" spans="1:17" x14ac:dyDescent="0.2">
      <c r="A102" s="551" t="s">
        <v>374</v>
      </c>
      <c r="B102" s="91"/>
      <c r="I102" s="738">
        <f>'Data 2009-15 (Real $2008)'!I102</f>
        <v>0</v>
      </c>
      <c r="J102" s="333"/>
      <c r="K102" s="119"/>
      <c r="L102" s="2"/>
      <c r="M102" s="21"/>
      <c r="N102" s="2"/>
      <c r="O102" s="2"/>
      <c r="P102" s="77"/>
      <c r="Q102" s="73"/>
    </row>
    <row r="103" spans="1:17" x14ac:dyDescent="0.2">
      <c r="A103" s="82"/>
      <c r="B103" s="91"/>
      <c r="I103" s="736"/>
      <c r="J103" s="737"/>
      <c r="K103" s="2"/>
      <c r="L103" s="2"/>
      <c r="M103" s="21"/>
      <c r="N103" s="2"/>
      <c r="O103" s="2"/>
      <c r="P103" s="23"/>
      <c r="Q103" s="721"/>
    </row>
    <row r="104" spans="1:17" x14ac:dyDescent="0.2">
      <c r="A104" s="82"/>
      <c r="B104" s="91"/>
      <c r="I104" s="736"/>
      <c r="J104" s="737"/>
      <c r="K104" s="2"/>
      <c r="L104" s="2"/>
      <c r="M104" s="21"/>
      <c r="N104" s="2"/>
      <c r="O104" s="2"/>
      <c r="P104" s="23"/>
      <c r="Q104" s="721"/>
    </row>
    <row r="105" spans="1:17" x14ac:dyDescent="0.2">
      <c r="A105" s="88" t="s">
        <v>29</v>
      </c>
      <c r="I105" s="511" t="s">
        <v>28</v>
      </c>
      <c r="J105" s="335"/>
      <c r="K105" s="118"/>
      <c r="L105" s="2"/>
      <c r="M105" s="21"/>
      <c r="N105" s="2"/>
      <c r="O105" s="2"/>
      <c r="P105" s="23"/>
      <c r="Q105" s="721"/>
    </row>
    <row r="106" spans="1:17" x14ac:dyDescent="0.2">
      <c r="A106" s="82" t="s">
        <v>30</v>
      </c>
      <c r="B106" s="91"/>
      <c r="I106" s="738">
        <f>'Data 2009-15 (Real $2008)'!I106</f>
        <v>0</v>
      </c>
      <c r="J106" s="333"/>
      <c r="K106" s="119"/>
      <c r="L106" s="2"/>
      <c r="M106" s="21"/>
      <c r="N106" s="2"/>
      <c r="O106" s="2"/>
      <c r="P106" s="77"/>
      <c r="Q106" s="73"/>
    </row>
    <row r="107" spans="1:17" x14ac:dyDescent="0.2">
      <c r="A107" s="82" t="s">
        <v>31</v>
      </c>
      <c r="B107" s="91"/>
      <c r="I107" s="738">
        <f>'Data 2009-15 (Real $2008)'!I107</f>
        <v>0</v>
      </c>
      <c r="J107" s="333"/>
      <c r="K107" s="119"/>
      <c r="L107" s="2"/>
      <c r="M107" s="21"/>
      <c r="N107" s="2"/>
      <c r="O107" s="2"/>
      <c r="P107" s="77"/>
      <c r="Q107" s="73"/>
    </row>
    <row r="108" spans="1:17" x14ac:dyDescent="0.2">
      <c r="A108" s="82" t="s">
        <v>32</v>
      </c>
      <c r="B108" s="91"/>
      <c r="I108" s="738">
        <f>'Data 2009-15 (Real $2008)'!I108</f>
        <v>0</v>
      </c>
      <c r="J108" s="333"/>
      <c r="K108" s="119"/>
      <c r="L108" s="2"/>
      <c r="M108" s="21"/>
      <c r="N108" s="2"/>
      <c r="O108" s="2"/>
      <c r="P108" s="77"/>
      <c r="Q108" s="73"/>
    </row>
    <row r="109" spans="1:17" x14ac:dyDescent="0.2">
      <c r="A109" s="82" t="s">
        <v>33</v>
      </c>
      <c r="B109" s="91"/>
      <c r="I109" s="738">
        <f>'Data 2009-15 (Real $2008)'!I109</f>
        <v>0</v>
      </c>
      <c r="J109" s="333"/>
      <c r="K109" s="119"/>
      <c r="L109" s="2"/>
      <c r="M109" s="21"/>
      <c r="N109" s="2"/>
      <c r="O109" s="2"/>
      <c r="P109" s="77"/>
      <c r="Q109" s="73"/>
    </row>
    <row r="110" spans="1:17" x14ac:dyDescent="0.2">
      <c r="A110" s="82" t="s">
        <v>34</v>
      </c>
      <c r="B110" s="91"/>
      <c r="I110" s="738">
        <f>'Data 2009-15 (Real $2008)'!I110</f>
        <v>0</v>
      </c>
      <c r="J110" s="333"/>
      <c r="K110" s="119"/>
      <c r="L110" s="2"/>
      <c r="M110" s="21"/>
      <c r="N110" s="2"/>
      <c r="O110" s="2"/>
      <c r="P110" s="77"/>
      <c r="Q110" s="73"/>
    </row>
    <row r="111" spans="1:17" x14ac:dyDescent="0.2">
      <c r="A111" s="82" t="s">
        <v>35</v>
      </c>
      <c r="B111" s="89"/>
      <c r="I111" s="738">
        <f>'Data 2009-15 (Real $2008)'!I111</f>
        <v>0</v>
      </c>
      <c r="J111" s="333"/>
      <c r="K111" s="119"/>
      <c r="L111" s="2"/>
      <c r="M111" s="21"/>
      <c r="N111" s="2"/>
      <c r="O111" s="2"/>
      <c r="P111" s="77"/>
      <c r="Q111" s="73"/>
    </row>
    <row r="112" spans="1:17" x14ac:dyDescent="0.2">
      <c r="A112" s="551" t="s">
        <v>375</v>
      </c>
      <c r="B112" s="89"/>
      <c r="I112" s="738">
        <f>'Data 2009-15 (Real $2008)'!I112</f>
        <v>115.27</v>
      </c>
      <c r="J112" s="333">
        <v>109.4</v>
      </c>
      <c r="K112" s="119"/>
      <c r="L112" s="2"/>
      <c r="M112" s="21"/>
      <c r="N112" s="2"/>
      <c r="O112" s="2"/>
      <c r="P112" s="77">
        <v>627651.41215236764</v>
      </c>
      <c r="Q112" s="73">
        <v>637222.32996039581</v>
      </c>
    </row>
    <row r="113" spans="1:17" x14ac:dyDescent="0.2">
      <c r="A113" s="551" t="s">
        <v>290</v>
      </c>
      <c r="B113" s="89"/>
      <c r="I113" s="738">
        <f>'Data 2009-15 (Real $2008)'!I113</f>
        <v>152.04</v>
      </c>
      <c r="J113" s="333">
        <v>144.30000000000001</v>
      </c>
      <c r="K113" s="119"/>
      <c r="L113" s="2"/>
      <c r="M113" s="21"/>
      <c r="N113" s="2"/>
      <c r="O113" s="2"/>
      <c r="P113" s="77">
        <v>119645.55101336956</v>
      </c>
      <c r="Q113" s="73">
        <v>121090.9262866326</v>
      </c>
    </row>
    <row r="114" spans="1:17" x14ac:dyDescent="0.2">
      <c r="A114" s="551" t="s">
        <v>291</v>
      </c>
      <c r="B114" s="89"/>
      <c r="I114" s="738">
        <f>'Data 2009-15 (Real $2008)'!I114</f>
        <v>201.47</v>
      </c>
      <c r="J114" s="333">
        <v>191.55</v>
      </c>
      <c r="K114" s="119"/>
      <c r="L114" s="2"/>
      <c r="M114" s="21"/>
      <c r="N114" s="2"/>
      <c r="O114" s="2"/>
      <c r="P114" s="77">
        <v>4485.4476854641198</v>
      </c>
      <c r="Q114" s="73">
        <v>4585.1865444224395</v>
      </c>
    </row>
    <row r="115" spans="1:17" x14ac:dyDescent="0.2">
      <c r="A115" s="551" t="s">
        <v>373</v>
      </c>
      <c r="I115" s="738">
        <f>'Data 2009-15 (Real $2008)'!I115</f>
        <v>0</v>
      </c>
      <c r="J115" s="333"/>
      <c r="K115" s="119"/>
      <c r="L115" s="2"/>
      <c r="M115" s="21"/>
      <c r="N115" s="2"/>
      <c r="O115" s="2"/>
      <c r="P115" s="77"/>
      <c r="Q115" s="73"/>
    </row>
    <row r="116" spans="1:17" x14ac:dyDescent="0.2">
      <c r="A116" s="551" t="s">
        <v>374</v>
      </c>
      <c r="B116" s="58"/>
      <c r="I116" s="750">
        <f>'Data 2009-15 (Real $2008)'!I116</f>
        <v>0</v>
      </c>
      <c r="J116" s="336"/>
      <c r="K116" s="119"/>
      <c r="L116" s="2"/>
      <c r="M116" s="21"/>
      <c r="N116" s="2"/>
      <c r="O116" s="2"/>
      <c r="P116" s="78"/>
      <c r="Q116" s="79"/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800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1" spans="1:17" s="784" customFormat="1" x14ac:dyDescent="0.2">
      <c r="B121" s="830"/>
      <c r="K121" s="777"/>
      <c r="L121" s="799"/>
      <c r="M121" s="799"/>
      <c r="N121" s="799"/>
      <c r="O121" s="799"/>
    </row>
  </sheetData>
  <mergeCells count="2">
    <mergeCell ref="I65:J65"/>
    <mergeCell ref="P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N231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8.5703125" style="454" customWidth="1"/>
    <col min="2" max="2" width="11.42578125" style="458" customWidth="1"/>
    <col min="3" max="3" width="18.85546875" style="454" customWidth="1"/>
    <col min="4" max="4" width="13.140625" style="454" customWidth="1"/>
    <col min="5" max="5" width="12.42578125" style="454" customWidth="1"/>
    <col min="6" max="6" width="13.28515625" style="454" customWidth="1"/>
    <col min="7" max="7" width="10.5703125" style="454" customWidth="1"/>
    <col min="8" max="8" width="12" style="454" customWidth="1"/>
    <col min="9" max="9" width="13.42578125" style="454" customWidth="1"/>
    <col min="10" max="10" width="11.42578125" style="454" customWidth="1"/>
    <col min="11" max="11" width="9.140625" style="454"/>
    <col min="12" max="12" width="13" style="454" customWidth="1"/>
    <col min="13" max="16384" width="9.140625" style="454"/>
  </cols>
  <sheetData>
    <row r="1" spans="1:11" x14ac:dyDescent="0.2">
      <c r="A1" s="577" t="str">
        <f>'IMRO Decision 2006-10'!A1</f>
        <v>Powercor</v>
      </c>
      <c r="B1" s="578" t="s">
        <v>0</v>
      </c>
      <c r="C1" s="579" t="str">
        <f>IF(SUM(C201)&lt;0.001,"Ok","Error")</f>
        <v>Ok</v>
      </c>
      <c r="D1" s="775">
        <f>C201</f>
        <v>0</v>
      </c>
      <c r="E1" s="580"/>
      <c r="F1" s="580"/>
      <c r="G1" s="580"/>
      <c r="H1" s="580"/>
      <c r="I1" s="580"/>
      <c r="J1" s="580"/>
      <c r="K1" s="580"/>
    </row>
    <row r="2" spans="1:11" s="458" customFormat="1" ht="15" x14ac:dyDescent="0.25">
      <c r="A2" s="581"/>
      <c r="B2" s="581"/>
      <c r="C2" s="582"/>
      <c r="D2" s="582"/>
      <c r="E2" s="582"/>
      <c r="F2" s="582"/>
      <c r="G2" s="582"/>
      <c r="H2" s="582"/>
      <c r="I2" s="582"/>
      <c r="J2" s="582"/>
      <c r="K2" s="582"/>
    </row>
    <row r="3" spans="1:11" ht="15.75" x14ac:dyDescent="0.25">
      <c r="A3" s="807" t="s">
        <v>396</v>
      </c>
      <c r="B3" s="583"/>
    </row>
    <row r="4" spans="1:11" s="458" customFormat="1" x14ac:dyDescent="0.2">
      <c r="A4" s="584"/>
      <c r="B4" s="584"/>
    </row>
    <row r="5" spans="1:11" ht="15.75" x14ac:dyDescent="0.25">
      <c r="A5" s="973" t="s">
        <v>40</v>
      </c>
      <c r="B5" s="974"/>
      <c r="C5" s="974"/>
      <c r="D5" s="975"/>
      <c r="E5" s="975"/>
      <c r="F5" s="976"/>
    </row>
    <row r="6" spans="1:11" s="458" customFormat="1" x14ac:dyDescent="0.2">
      <c r="A6" s="585" t="s">
        <v>74</v>
      </c>
      <c r="B6" s="586"/>
    </row>
    <row r="7" spans="1:11" s="458" customFormat="1" x14ac:dyDescent="0.2">
      <c r="A7" s="446"/>
      <c r="B7" s="446"/>
    </row>
    <row r="8" spans="1:11" x14ac:dyDescent="0.2">
      <c r="C8" s="33" t="s">
        <v>7</v>
      </c>
      <c r="D8" s="808">
        <v>2006</v>
      </c>
      <c r="E8" s="75">
        <v>2007</v>
      </c>
      <c r="F8" s="809">
        <v>2008</v>
      </c>
    </row>
    <row r="9" spans="1:11" ht="12.75" customHeight="1" x14ac:dyDescent="0.2">
      <c r="A9" s="589" t="s">
        <v>37</v>
      </c>
      <c r="B9" s="589"/>
      <c r="C9" s="34" t="s">
        <v>8</v>
      </c>
      <c r="D9" s="970" t="s">
        <v>41</v>
      </c>
      <c r="E9" s="971"/>
      <c r="F9" s="972"/>
    </row>
    <row r="10" spans="1:11" x14ac:dyDescent="0.2">
      <c r="A10" s="454" t="str">
        <f>A$161</f>
        <v>Accumulation Meters</v>
      </c>
      <c r="C10" s="810">
        <f>C161</f>
        <v>15</v>
      </c>
      <c r="D10" s="811">
        <v>3110319.3672495438</v>
      </c>
      <c r="E10" s="812">
        <v>3322720.7410121309</v>
      </c>
      <c r="F10" s="813">
        <v>3520556.3383218911</v>
      </c>
      <c r="G10" s="590"/>
    </row>
    <row r="11" spans="1:11" x14ac:dyDescent="0.2">
      <c r="A11" s="454" t="str">
        <f>A$162</f>
        <v>Manually read interval meters</v>
      </c>
      <c r="C11" s="814">
        <f>C162</f>
        <v>10</v>
      </c>
      <c r="D11" s="751">
        <v>4428728.5773323188</v>
      </c>
      <c r="E11" s="752">
        <v>3924638.6174798836</v>
      </c>
      <c r="F11" s="753">
        <v>2127705.6690441784</v>
      </c>
      <c r="G11" s="590"/>
    </row>
    <row r="12" spans="1:11" x14ac:dyDescent="0.2">
      <c r="A12" s="454" t="str">
        <f>A$163</f>
        <v>Metering Data Services (IT)</v>
      </c>
      <c r="C12" s="814">
        <f>C163</f>
        <v>5</v>
      </c>
      <c r="D12" s="751">
        <v>0</v>
      </c>
      <c r="E12" s="752">
        <v>0</v>
      </c>
      <c r="F12" s="753">
        <v>0</v>
      </c>
      <c r="G12" s="590"/>
    </row>
    <row r="13" spans="1:11" x14ac:dyDescent="0.2">
      <c r="A13" s="454" t="str">
        <f>A$164</f>
        <v>Metering Data Services (Other)</v>
      </c>
      <c r="C13" s="815">
        <f>C164</f>
        <v>5</v>
      </c>
      <c r="D13" s="816">
        <v>0</v>
      </c>
      <c r="E13" s="817">
        <v>0</v>
      </c>
      <c r="F13" s="818">
        <v>0</v>
      </c>
      <c r="G13" s="590"/>
    </row>
    <row r="14" spans="1:11" ht="13.5" thickBot="1" x14ac:dyDescent="0.25">
      <c r="A14" s="591" t="s">
        <v>45</v>
      </c>
      <c r="B14" s="591"/>
      <c r="C14" s="819"/>
      <c r="D14" s="820">
        <f>SUM(D10:D13)</f>
        <v>7539047.9445818625</v>
      </c>
      <c r="E14" s="821">
        <f>SUM(E10:E13)</f>
        <v>7247359.3584920149</v>
      </c>
      <c r="F14" s="822">
        <f>SUM(F10:F13)</f>
        <v>5648262.0073660696</v>
      </c>
      <c r="G14" s="590"/>
    </row>
    <row r="15" spans="1:11" ht="13.5" thickTop="1" x14ac:dyDescent="0.2">
      <c r="C15" s="819"/>
      <c r="D15" s="819"/>
      <c r="E15" s="819"/>
      <c r="F15" s="819"/>
    </row>
    <row r="16" spans="1:11" x14ac:dyDescent="0.2">
      <c r="C16" s="819"/>
      <c r="D16" s="819"/>
      <c r="E16" s="819"/>
      <c r="F16" s="819"/>
    </row>
    <row r="17" spans="1:6" x14ac:dyDescent="0.2">
      <c r="A17" s="455"/>
      <c r="B17" s="593"/>
      <c r="C17" s="307" t="s">
        <v>283</v>
      </c>
      <c r="D17" s="75">
        <v>2006</v>
      </c>
      <c r="E17" s="823">
        <v>2007</v>
      </c>
      <c r="F17" s="809">
        <v>2008</v>
      </c>
    </row>
    <row r="18" spans="1:6" x14ac:dyDescent="0.2">
      <c r="A18" s="594" t="s">
        <v>47</v>
      </c>
      <c r="B18" s="595"/>
      <c r="C18" s="320" t="s">
        <v>48</v>
      </c>
      <c r="D18" s="980" t="s">
        <v>22</v>
      </c>
      <c r="E18" s="971"/>
      <c r="F18" s="972"/>
    </row>
    <row r="19" spans="1:6" x14ac:dyDescent="0.2">
      <c r="A19" s="454" t="str">
        <f>A$176</f>
        <v>Standard metering (Group 1) (Unit cost &lt; $1,000)</v>
      </c>
      <c r="C19" s="824">
        <f>C176</f>
        <v>0.375</v>
      </c>
      <c r="D19" s="825">
        <f>SUM(D10:D11)-D20</f>
        <v>7539047.9445818625</v>
      </c>
      <c r="E19" s="825">
        <f>SUM(E10:E11)-E20</f>
        <v>7247359.3584920149</v>
      </c>
      <c r="F19" s="826">
        <f>SUM(F10:F11)-F20</f>
        <v>5648262.0073660696</v>
      </c>
    </row>
    <row r="20" spans="1:6" x14ac:dyDescent="0.2">
      <c r="A20" s="454" t="str">
        <f>A$177</f>
        <v>Standard metering (Group 2) (Unit cost =&gt; $1,000)</v>
      </c>
      <c r="C20" s="824">
        <f>C177</f>
        <v>0.06</v>
      </c>
      <c r="D20" s="751">
        <v>0</v>
      </c>
      <c r="E20" s="752">
        <v>0</v>
      </c>
      <c r="F20" s="753">
        <v>0</v>
      </c>
    </row>
    <row r="21" spans="1:6" x14ac:dyDescent="0.2">
      <c r="A21" s="454" t="str">
        <f>A$178</f>
        <v>IT</v>
      </c>
      <c r="B21" s="593"/>
      <c r="C21" s="824">
        <f>C178</f>
        <v>0.4</v>
      </c>
      <c r="D21" s="825">
        <f t="shared" ref="D21:F22" si="0">D12</f>
        <v>0</v>
      </c>
      <c r="E21" s="825">
        <f t="shared" si="0"/>
        <v>0</v>
      </c>
      <c r="F21" s="826">
        <f t="shared" si="0"/>
        <v>0</v>
      </c>
    </row>
    <row r="22" spans="1:6" x14ac:dyDescent="0.2">
      <c r="A22" s="590" t="str">
        <f>A$179</f>
        <v>Other</v>
      </c>
      <c r="B22" s="593"/>
      <c r="C22" s="827">
        <f>C179</f>
        <v>0.1764705882352941</v>
      </c>
      <c r="D22" s="825">
        <f t="shared" si="0"/>
        <v>0</v>
      </c>
      <c r="E22" s="825">
        <f t="shared" si="0"/>
        <v>0</v>
      </c>
      <c r="F22" s="826">
        <f t="shared" si="0"/>
        <v>0</v>
      </c>
    </row>
    <row r="23" spans="1:6" ht="13.5" thickBot="1" x14ac:dyDescent="0.25">
      <c r="A23" s="591" t="s">
        <v>45</v>
      </c>
      <c r="B23" s="591"/>
      <c r="C23" s="819"/>
      <c r="D23" s="820">
        <f>SUM(D19:D22)</f>
        <v>7539047.9445818625</v>
      </c>
      <c r="E23" s="821">
        <f>SUM(E19:E22)</f>
        <v>7247359.3584920149</v>
      </c>
      <c r="F23" s="822">
        <f>SUM(F19:F22)</f>
        <v>5648262.0073660696</v>
      </c>
    </row>
    <row r="24" spans="1:6" ht="13.5" thickTop="1" x14ac:dyDescent="0.2">
      <c r="C24" s="819"/>
      <c r="D24" s="819"/>
      <c r="E24" s="819"/>
      <c r="F24" s="819"/>
    </row>
    <row r="25" spans="1:6" x14ac:dyDescent="0.2">
      <c r="C25" s="819"/>
      <c r="D25" s="819"/>
      <c r="E25" s="819"/>
      <c r="F25" s="819"/>
    </row>
    <row r="26" spans="1:6" x14ac:dyDescent="0.2">
      <c r="C26" s="819"/>
      <c r="D26" s="808">
        <v>2006</v>
      </c>
      <c r="E26" s="75">
        <v>2007</v>
      </c>
      <c r="F26" s="809">
        <v>2008</v>
      </c>
    </row>
    <row r="27" spans="1:6" ht="12.75" customHeight="1" x14ac:dyDescent="0.2">
      <c r="A27" s="87" t="s">
        <v>266</v>
      </c>
      <c r="B27" s="446"/>
      <c r="C27" s="819"/>
      <c r="D27" s="977" t="s">
        <v>22</v>
      </c>
      <c r="E27" s="978"/>
      <c r="F27" s="979" t="s">
        <v>46</v>
      </c>
    </row>
    <row r="28" spans="1:6" x14ac:dyDescent="0.2">
      <c r="A28" s="454" t="s">
        <v>126</v>
      </c>
      <c r="C28" s="819"/>
      <c r="D28" s="811">
        <v>74998.116624314891</v>
      </c>
      <c r="E28" s="812">
        <v>0</v>
      </c>
      <c r="F28" s="813">
        <v>0</v>
      </c>
    </row>
    <row r="29" spans="1:6" x14ac:dyDescent="0.2">
      <c r="A29" s="454" t="s">
        <v>5</v>
      </c>
      <c r="C29" s="819"/>
      <c r="D29" s="816">
        <v>0</v>
      </c>
      <c r="E29" s="817">
        <v>0</v>
      </c>
      <c r="F29" s="818">
        <v>0</v>
      </c>
    </row>
    <row r="30" spans="1:6" x14ac:dyDescent="0.2">
      <c r="C30" s="819"/>
      <c r="D30" s="819"/>
      <c r="E30" s="819"/>
      <c r="F30" s="819"/>
    </row>
    <row r="31" spans="1:6" x14ac:dyDescent="0.2">
      <c r="C31" s="819"/>
      <c r="D31" s="819"/>
      <c r="E31" s="819"/>
      <c r="F31" s="819"/>
    </row>
    <row r="32" spans="1:6" x14ac:dyDescent="0.2">
      <c r="A32" s="597" t="s">
        <v>281</v>
      </c>
      <c r="B32" s="598"/>
      <c r="C32" s="819"/>
      <c r="D32" s="819"/>
      <c r="E32" s="819"/>
      <c r="F32" s="819"/>
    </row>
    <row r="33" spans="1:6" x14ac:dyDescent="0.2">
      <c r="A33" s="458" t="s">
        <v>294</v>
      </c>
      <c r="C33" s="828" t="s">
        <v>287</v>
      </c>
      <c r="D33" s="819"/>
      <c r="E33" s="819"/>
      <c r="F33" s="819"/>
    </row>
    <row r="34" spans="1:6" x14ac:dyDescent="0.2">
      <c r="A34" s="454" t="s">
        <v>295</v>
      </c>
      <c r="C34" s="829">
        <v>2013</v>
      </c>
      <c r="D34" s="819"/>
      <c r="E34" s="819"/>
      <c r="F34" s="819"/>
    </row>
    <row r="35" spans="1:6" x14ac:dyDescent="0.2">
      <c r="C35" s="819"/>
      <c r="D35" s="819"/>
      <c r="E35" s="819"/>
      <c r="F35" s="819"/>
    </row>
    <row r="36" spans="1:6" x14ac:dyDescent="0.2">
      <c r="C36" s="819"/>
      <c r="D36" s="819"/>
      <c r="E36" s="819"/>
      <c r="F36" s="819"/>
    </row>
    <row r="37" spans="1:6" x14ac:dyDescent="0.2">
      <c r="C37" s="819"/>
      <c r="D37" s="808">
        <v>2006</v>
      </c>
      <c r="E37" s="823">
        <v>2007</v>
      </c>
      <c r="F37" s="809">
        <v>2008</v>
      </c>
    </row>
    <row r="38" spans="1:6" ht="12.75" customHeight="1" x14ac:dyDescent="0.2">
      <c r="A38" s="87" t="s">
        <v>264</v>
      </c>
      <c r="B38" s="446"/>
      <c r="C38" s="819"/>
      <c r="D38" s="970" t="s">
        <v>73</v>
      </c>
      <c r="E38" s="971"/>
      <c r="F38" s="972"/>
    </row>
    <row r="39" spans="1:6" s="458" customFormat="1" ht="12.75" customHeight="1" x14ac:dyDescent="0.2">
      <c r="A39" s="599" t="s">
        <v>159</v>
      </c>
      <c r="B39" s="600"/>
      <c r="C39" s="830"/>
      <c r="D39" s="831"/>
      <c r="E39" s="832"/>
      <c r="F39" s="833"/>
    </row>
    <row r="40" spans="1:6" x14ac:dyDescent="0.2">
      <c r="A40" s="454" t="s">
        <v>160</v>
      </c>
      <c r="C40" s="834" t="s">
        <v>276</v>
      </c>
      <c r="D40" s="751">
        <v>845937.06489649508</v>
      </c>
      <c r="E40" s="752">
        <v>996010.34727968555</v>
      </c>
      <c r="F40" s="753">
        <v>707136.82785838749</v>
      </c>
    </row>
    <row r="41" spans="1:6" x14ac:dyDescent="0.2">
      <c r="A41" s="454" t="s">
        <v>90</v>
      </c>
      <c r="C41" s="834" t="s">
        <v>275</v>
      </c>
      <c r="D41" s="751">
        <v>1239098.503989053</v>
      </c>
      <c r="E41" s="752">
        <v>1212055.5811555262</v>
      </c>
      <c r="F41" s="753">
        <v>884890.27122668817</v>
      </c>
    </row>
    <row r="42" spans="1:6" x14ac:dyDescent="0.2">
      <c r="A42" s="454" t="s">
        <v>45</v>
      </c>
      <c r="C42" s="819"/>
      <c r="D42" s="835">
        <f>SUM(D40:D41)</f>
        <v>2085035.568885548</v>
      </c>
      <c r="E42" s="836">
        <f>SUM(E40:E41)</f>
        <v>2208065.928435212</v>
      </c>
      <c r="F42" s="837">
        <f>SUM(F40:F41)</f>
        <v>1592027.0990850758</v>
      </c>
    </row>
    <row r="43" spans="1:6" x14ac:dyDescent="0.2">
      <c r="C43" s="819"/>
      <c r="D43" s="838"/>
      <c r="E43" s="825"/>
      <c r="F43" s="826"/>
    </row>
    <row r="44" spans="1:6" x14ac:dyDescent="0.2">
      <c r="A44" s="599" t="s">
        <v>161</v>
      </c>
      <c r="B44" s="600"/>
      <c r="C44" s="819"/>
      <c r="D44" s="838"/>
      <c r="E44" s="825"/>
      <c r="F44" s="826"/>
    </row>
    <row r="45" spans="1:6" x14ac:dyDescent="0.2">
      <c r="A45" s="454" t="s">
        <v>24</v>
      </c>
      <c r="C45" s="834" t="s">
        <v>276</v>
      </c>
      <c r="D45" s="751">
        <v>4990149.8962514158</v>
      </c>
      <c r="E45" s="752">
        <v>4950865.0806182912</v>
      </c>
      <c r="F45" s="753">
        <v>5341167.6142753046</v>
      </c>
    </row>
    <row r="46" spans="1:6" x14ac:dyDescent="0.2">
      <c r="A46" s="454" t="s">
        <v>269</v>
      </c>
      <c r="C46" s="834" t="s">
        <v>276</v>
      </c>
      <c r="D46" s="751">
        <v>239142.0949747758</v>
      </c>
      <c r="E46" s="752">
        <v>207431.66436038926</v>
      </c>
      <c r="F46" s="753">
        <v>334398.38757395191</v>
      </c>
    </row>
    <row r="47" spans="1:6" x14ac:dyDescent="0.2">
      <c r="A47" s="603" t="s">
        <v>54</v>
      </c>
      <c r="B47" s="593"/>
      <c r="C47" s="834" t="s">
        <v>275</v>
      </c>
      <c r="D47" s="751">
        <v>113778.50490563316</v>
      </c>
      <c r="E47" s="752">
        <v>97822.167596246582</v>
      </c>
      <c r="F47" s="753">
        <v>39422.778339117649</v>
      </c>
    </row>
    <row r="48" spans="1:6" x14ac:dyDescent="0.2">
      <c r="A48" s="454" t="s">
        <v>45</v>
      </c>
      <c r="C48" s="819"/>
      <c r="D48" s="835">
        <f>SUM(D45:D47)</f>
        <v>5343070.4961318243</v>
      </c>
      <c r="E48" s="836">
        <f>SUM(E45:E47)</f>
        <v>5256118.9125749264</v>
      </c>
      <c r="F48" s="837">
        <f>SUM(F45:F47)</f>
        <v>5714988.7801883742</v>
      </c>
    </row>
    <row r="49" spans="1:6" x14ac:dyDescent="0.2">
      <c r="A49" s="455"/>
      <c r="B49" s="593"/>
      <c r="C49" s="819"/>
      <c r="D49" s="839"/>
      <c r="E49" s="840"/>
      <c r="F49" s="841"/>
    </row>
    <row r="50" spans="1:6" ht="13.5" thickBot="1" x14ac:dyDescent="0.25">
      <c r="A50" s="603" t="s">
        <v>265</v>
      </c>
      <c r="B50" s="593"/>
      <c r="C50" s="842"/>
      <c r="D50" s="820">
        <f>SUM(D42,D48)</f>
        <v>7428106.0650173724</v>
      </c>
      <c r="E50" s="821">
        <f>SUM(E42,E48)</f>
        <v>7464184.8410101384</v>
      </c>
      <c r="F50" s="843">
        <f>SUM(F42,F48)</f>
        <v>7307015.87927345</v>
      </c>
    </row>
    <row r="51" spans="1:6" ht="13.5" thickTop="1" x14ac:dyDescent="0.2">
      <c r="C51" s="819"/>
      <c r="D51" s="819"/>
      <c r="E51" s="819"/>
      <c r="F51" s="819"/>
    </row>
    <row r="52" spans="1:6" x14ac:dyDescent="0.2">
      <c r="C52" s="819"/>
      <c r="D52" s="819"/>
      <c r="E52" s="819"/>
      <c r="F52" s="819"/>
    </row>
    <row r="53" spans="1:6" ht="13.5" thickBot="1" x14ac:dyDescent="0.25">
      <c r="A53" s="604" t="s">
        <v>277</v>
      </c>
      <c r="B53" s="605"/>
      <c r="C53" s="819"/>
      <c r="D53" s="821">
        <f>SUM(D40,D45:D46)</f>
        <v>6075229.0561226867</v>
      </c>
      <c r="E53" s="821">
        <f>SUM(E40,E45:E46)</f>
        <v>6154307.0922583658</v>
      </c>
      <c r="F53" s="821">
        <f>SUM(F40,F45:F46)</f>
        <v>6382702.8297076439</v>
      </c>
    </row>
    <row r="54" spans="1:6" ht="13.5" thickTop="1" x14ac:dyDescent="0.2">
      <c r="A54" s="455"/>
      <c r="B54" s="593"/>
      <c r="C54" s="819"/>
      <c r="D54" s="819"/>
      <c r="E54" s="819"/>
      <c r="F54" s="819"/>
    </row>
    <row r="55" spans="1:6" x14ac:dyDescent="0.2">
      <c r="C55" s="842"/>
      <c r="D55" s="819"/>
      <c r="E55" s="819"/>
      <c r="F55" s="819"/>
    </row>
    <row r="56" spans="1:6" x14ac:dyDescent="0.2">
      <c r="A56" s="87" t="s">
        <v>278</v>
      </c>
      <c r="B56" s="446"/>
      <c r="C56" s="842"/>
      <c r="D56" s="808">
        <v>2006</v>
      </c>
      <c r="E56" s="75">
        <v>2007</v>
      </c>
      <c r="F56" s="809">
        <v>2008</v>
      </c>
    </row>
    <row r="57" spans="1:6" x14ac:dyDescent="0.2">
      <c r="A57" s="606"/>
      <c r="B57" s="607"/>
      <c r="C57" s="842"/>
      <c r="D57" s="970" t="s">
        <v>358</v>
      </c>
      <c r="E57" s="971"/>
      <c r="F57" s="972"/>
    </row>
    <row r="58" spans="1:6" x14ac:dyDescent="0.2">
      <c r="A58" s="608" t="s">
        <v>52</v>
      </c>
      <c r="B58" s="609"/>
      <c r="C58" s="842"/>
      <c r="D58" s="844"/>
      <c r="E58" s="845"/>
      <c r="F58" s="826"/>
    </row>
    <row r="59" spans="1:6" x14ac:dyDescent="0.2">
      <c r="A59" s="611" t="s">
        <v>55</v>
      </c>
      <c r="B59" s="591"/>
      <c r="C59" s="842"/>
      <c r="D59" s="751">
        <v>857970.5</v>
      </c>
      <c r="E59" s="752">
        <v>869043.5</v>
      </c>
      <c r="F59" s="753">
        <v>880173</v>
      </c>
    </row>
    <row r="60" spans="1:6" x14ac:dyDescent="0.2">
      <c r="A60" s="606"/>
      <c r="B60" s="607"/>
      <c r="C60" s="842"/>
      <c r="D60" s="844"/>
      <c r="E60" s="845"/>
      <c r="F60" s="826"/>
    </row>
    <row r="61" spans="1:6" x14ac:dyDescent="0.2">
      <c r="A61" s="608" t="s">
        <v>24</v>
      </c>
      <c r="B61" s="609"/>
      <c r="C61" s="819"/>
      <c r="D61" s="846"/>
      <c r="E61" s="842"/>
      <c r="F61" s="847"/>
    </row>
    <row r="62" spans="1:6" x14ac:dyDescent="0.2">
      <c r="A62" s="611" t="s">
        <v>270</v>
      </c>
      <c r="B62" s="591"/>
      <c r="C62" s="819"/>
      <c r="D62" s="846"/>
      <c r="E62" s="842"/>
      <c r="F62" s="847"/>
    </row>
    <row r="63" spans="1:6" x14ac:dyDescent="0.2">
      <c r="A63" s="611" t="s">
        <v>56</v>
      </c>
      <c r="B63" s="591"/>
      <c r="C63" s="819"/>
      <c r="D63" s="751">
        <v>4675.8603095692206</v>
      </c>
      <c r="E63" s="752">
        <v>4736.2071410836606</v>
      </c>
      <c r="F63" s="753">
        <v>4796.8618924012771</v>
      </c>
    </row>
    <row r="64" spans="1:6" x14ac:dyDescent="0.2">
      <c r="A64" s="611" t="s">
        <v>57</v>
      </c>
      <c r="B64" s="591"/>
      <c r="C64" s="819"/>
      <c r="D64" s="751">
        <v>820938.34478370775</v>
      </c>
      <c r="E64" s="752">
        <v>831533.40637590701</v>
      </c>
      <c r="F64" s="753">
        <v>842182.5292866251</v>
      </c>
    </row>
    <row r="65" spans="1:6" x14ac:dyDescent="0.2">
      <c r="A65" s="611" t="s">
        <v>58</v>
      </c>
      <c r="B65" s="591"/>
      <c r="C65" s="819"/>
      <c r="D65" s="751">
        <v>298.232548218538</v>
      </c>
      <c r="E65" s="752">
        <v>302.08154886182803</v>
      </c>
      <c r="F65" s="753">
        <v>305.95018903698349</v>
      </c>
    </row>
    <row r="66" spans="1:6" x14ac:dyDescent="0.2">
      <c r="A66" s="611" t="s">
        <v>59</v>
      </c>
      <c r="B66" s="591"/>
      <c r="C66" s="819"/>
      <c r="D66" s="751">
        <v>32058.062358504401</v>
      </c>
      <c r="E66" s="752">
        <v>32471.804934147411</v>
      </c>
      <c r="F66" s="753">
        <v>32887.658631936523</v>
      </c>
    </row>
    <row r="67" spans="1:6" x14ac:dyDescent="0.2">
      <c r="C67" s="819"/>
      <c r="D67" s="846"/>
      <c r="E67" s="842"/>
      <c r="F67" s="847"/>
    </row>
    <row r="68" spans="1:6" x14ac:dyDescent="0.2">
      <c r="A68" s="608" t="s">
        <v>53</v>
      </c>
      <c r="B68" s="609"/>
      <c r="C68" s="842"/>
      <c r="D68" s="844"/>
      <c r="E68" s="845"/>
      <c r="F68" s="826"/>
    </row>
    <row r="69" spans="1:6" x14ac:dyDescent="0.2">
      <c r="A69" s="611" t="s">
        <v>60</v>
      </c>
      <c r="B69" s="591"/>
      <c r="C69" s="842"/>
      <c r="D69" s="751">
        <v>6182</v>
      </c>
      <c r="E69" s="752">
        <v>7457</v>
      </c>
      <c r="F69" s="753">
        <v>6345</v>
      </c>
    </row>
    <row r="70" spans="1:6" collapsed="1" x14ac:dyDescent="0.2">
      <c r="A70" s="611"/>
      <c r="B70" s="591"/>
      <c r="C70" s="842"/>
      <c r="D70" s="848"/>
      <c r="E70" s="849"/>
      <c r="F70" s="850"/>
    </row>
    <row r="71" spans="1:6" x14ac:dyDescent="0.2">
      <c r="A71" s="611"/>
      <c r="B71" s="591"/>
      <c r="C71" s="842"/>
      <c r="D71" s="845"/>
      <c r="E71" s="845"/>
      <c r="F71" s="825"/>
    </row>
    <row r="72" spans="1:6" x14ac:dyDescent="0.2">
      <c r="A72" s="611"/>
      <c r="B72" s="591"/>
      <c r="C72" s="842"/>
      <c r="D72" s="845"/>
      <c r="E72" s="845"/>
      <c r="F72" s="825"/>
    </row>
    <row r="73" spans="1:6" x14ac:dyDescent="0.2">
      <c r="A73" s="589" t="s">
        <v>61</v>
      </c>
      <c r="B73" s="589"/>
      <c r="C73" s="842"/>
      <c r="D73" s="808">
        <v>2006</v>
      </c>
      <c r="E73" s="75">
        <v>2007</v>
      </c>
      <c r="F73" s="809">
        <v>2008</v>
      </c>
    </row>
    <row r="74" spans="1:6" x14ac:dyDescent="0.2">
      <c r="A74" s="611"/>
      <c r="B74" s="591"/>
      <c r="C74" s="842"/>
      <c r="D74" s="970" t="s">
        <v>62</v>
      </c>
      <c r="E74" s="971"/>
      <c r="F74" s="972"/>
    </row>
    <row r="75" spans="1:6" ht="13.5" thickBot="1" x14ac:dyDescent="0.25">
      <c r="A75" s="611" t="s">
        <v>63</v>
      </c>
      <c r="B75" s="591"/>
      <c r="C75" s="842"/>
      <c r="D75" s="754">
        <v>15791099.579999998</v>
      </c>
      <c r="E75" s="755">
        <v>20564547.279999997</v>
      </c>
      <c r="F75" s="756">
        <v>26973621.240000002</v>
      </c>
    </row>
    <row r="76" spans="1:6" ht="13.5" thickTop="1" x14ac:dyDescent="0.2"/>
    <row r="79" spans="1:6" ht="15.75" x14ac:dyDescent="0.25">
      <c r="A79" s="973" t="s">
        <v>64</v>
      </c>
      <c r="B79" s="974"/>
      <c r="C79" s="974"/>
      <c r="D79" s="975"/>
      <c r="E79" s="975"/>
      <c r="F79" s="976"/>
    </row>
    <row r="80" spans="1:6" x14ac:dyDescent="0.2">
      <c r="A80" s="603"/>
      <c r="B80" s="593"/>
      <c r="C80" s="593"/>
      <c r="D80" s="455"/>
      <c r="E80" s="455"/>
      <c r="F80" s="455"/>
    </row>
    <row r="81" spans="1:6" x14ac:dyDescent="0.2">
      <c r="A81" s="603"/>
      <c r="B81" s="593"/>
      <c r="C81" s="593"/>
      <c r="D81" s="612">
        <v>2006</v>
      </c>
      <c r="E81" s="613">
        <v>2007</v>
      </c>
      <c r="F81" s="614">
        <v>2008</v>
      </c>
    </row>
    <row r="82" spans="1:6" x14ac:dyDescent="0.2">
      <c r="A82" s="597" t="s">
        <v>37</v>
      </c>
      <c r="B82" s="598"/>
      <c r="C82" s="33" t="s">
        <v>7</v>
      </c>
      <c r="D82" s="970" t="s">
        <v>41</v>
      </c>
      <c r="E82" s="971"/>
      <c r="F82" s="972"/>
    </row>
    <row r="83" spans="1:6" x14ac:dyDescent="0.2">
      <c r="A83" s="615"/>
      <c r="B83" s="616"/>
      <c r="C83" s="97" t="s">
        <v>8</v>
      </c>
      <c r="D83" s="846"/>
      <c r="E83" s="842"/>
      <c r="F83" s="847"/>
    </row>
    <row r="84" spans="1:6" x14ac:dyDescent="0.2">
      <c r="A84" s="618" t="str">
        <f>'Data 2009-15 (Real $2008)'!A$154</f>
        <v>Remotely read interval meters &amp; transformers</v>
      </c>
      <c r="B84" s="619"/>
      <c r="C84" s="851">
        <f>'Data 2009-15 (Real $2008)'!C154</f>
        <v>15</v>
      </c>
      <c r="D84" s="751">
        <v>0</v>
      </c>
      <c r="E84" s="752">
        <v>0</v>
      </c>
      <c r="F84" s="753">
        <v>0</v>
      </c>
    </row>
    <row r="85" spans="1:6" x14ac:dyDescent="0.2">
      <c r="A85" s="454" t="s">
        <v>284</v>
      </c>
      <c r="C85" s="851">
        <f>'Data 2009-15 (Real $2008)'!C155</f>
        <v>7</v>
      </c>
      <c r="D85" s="751">
        <v>332599.15000000002</v>
      </c>
      <c r="E85" s="752">
        <v>2817702.7430999996</v>
      </c>
      <c r="F85" s="753">
        <v>10813305.572385356</v>
      </c>
    </row>
    <row r="86" spans="1:6" x14ac:dyDescent="0.2">
      <c r="A86" s="454" t="s">
        <v>286</v>
      </c>
      <c r="C86" s="851">
        <f>'Data 2009-15 (Real $2008)'!C156</f>
        <v>7</v>
      </c>
      <c r="D86" s="751">
        <v>0</v>
      </c>
      <c r="E86" s="752">
        <v>0</v>
      </c>
      <c r="F86" s="753">
        <v>352889.07546270383</v>
      </c>
    </row>
    <row r="87" spans="1:6" x14ac:dyDescent="0.2">
      <c r="A87" s="618" t="s">
        <v>285</v>
      </c>
      <c r="B87" s="619"/>
      <c r="C87" s="852">
        <f>'Data 2009-15 (Real $2008)'!C157</f>
        <v>7</v>
      </c>
      <c r="D87" s="751">
        <v>0</v>
      </c>
      <c r="E87" s="752">
        <v>73834.561198694442</v>
      </c>
      <c r="F87" s="753">
        <v>188267.84</v>
      </c>
    </row>
    <row r="88" spans="1:6" x14ac:dyDescent="0.2">
      <c r="A88" s="591" t="s">
        <v>45</v>
      </c>
      <c r="B88" s="591"/>
      <c r="C88" s="785"/>
      <c r="D88" s="853">
        <f>SUM(D84:D87)</f>
        <v>332599.15000000002</v>
      </c>
      <c r="E88" s="854">
        <f>SUM(E84:E87)</f>
        <v>2891537.3042986942</v>
      </c>
      <c r="F88" s="855">
        <f>SUM(F84:F87)</f>
        <v>11354462.48784806</v>
      </c>
    </row>
    <row r="89" spans="1:6" x14ac:dyDescent="0.2">
      <c r="C89" s="819"/>
      <c r="D89" s="856"/>
      <c r="E89" s="856"/>
      <c r="F89" s="856"/>
    </row>
    <row r="90" spans="1:6" x14ac:dyDescent="0.2">
      <c r="C90" s="819"/>
      <c r="D90" s="856"/>
      <c r="E90" s="856"/>
      <c r="F90" s="856"/>
    </row>
    <row r="91" spans="1:6" x14ac:dyDescent="0.2">
      <c r="A91" s="621"/>
      <c r="B91" s="621"/>
      <c r="C91" s="785"/>
      <c r="D91" s="857">
        <v>2006</v>
      </c>
      <c r="E91" s="858">
        <v>2007</v>
      </c>
      <c r="F91" s="859">
        <v>2008</v>
      </c>
    </row>
    <row r="92" spans="1:6" x14ac:dyDescent="0.2">
      <c r="A92" s="621"/>
      <c r="B92" s="621"/>
      <c r="C92" s="307" t="s">
        <v>283</v>
      </c>
      <c r="D92" s="970" t="s">
        <v>41</v>
      </c>
      <c r="E92" s="971"/>
      <c r="F92" s="972"/>
    </row>
    <row r="93" spans="1:6" x14ac:dyDescent="0.2">
      <c r="A93" s="594" t="s">
        <v>47</v>
      </c>
      <c r="B93" s="595"/>
      <c r="C93" s="320" t="s">
        <v>48</v>
      </c>
      <c r="D93" s="856"/>
      <c r="E93" s="856"/>
      <c r="F93" s="860"/>
    </row>
    <row r="94" spans="1:6" x14ac:dyDescent="0.2">
      <c r="A94" s="454" t="str">
        <f>'Data 2009-15 (Real $2008)'!A$162</f>
        <v>Meters and transformers (Group 1) (Unit cost &lt; $1,000)</v>
      </c>
      <c r="C94" s="861">
        <f>'Data 2009-15 (Real $2008)'!C162</f>
        <v>0.375</v>
      </c>
      <c r="D94" s="862">
        <f>D84-D95</f>
        <v>0</v>
      </c>
      <c r="E94" s="779">
        <f>E84-E95</f>
        <v>0</v>
      </c>
      <c r="F94" s="863">
        <f>F84-F95</f>
        <v>0</v>
      </c>
    </row>
    <row r="95" spans="1:6" x14ac:dyDescent="0.2">
      <c r="A95" s="454" t="str">
        <f>'Data 2009-15 (Real $2008)'!A$163</f>
        <v>Meters and transformers (Group 2) (Unit cost =&gt; $1,000)</v>
      </c>
      <c r="C95" s="864">
        <f>'Data 2009-15 (Real $2008)'!C163</f>
        <v>0.06</v>
      </c>
      <c r="D95" s="751">
        <v>0</v>
      </c>
      <c r="E95" s="752">
        <v>0</v>
      </c>
      <c r="F95" s="753">
        <v>0</v>
      </c>
    </row>
    <row r="96" spans="1:6" x14ac:dyDescent="0.2">
      <c r="A96" s="454" t="str">
        <f>'Data 2009-15 (Real $2008)'!A$164</f>
        <v>IT</v>
      </c>
      <c r="C96" s="864">
        <f>'Data 2009-15 (Real $2008)'!C164</f>
        <v>0.4</v>
      </c>
      <c r="D96" s="862">
        <f t="shared" ref="D96:F98" si="1">D85</f>
        <v>332599.15000000002</v>
      </c>
      <c r="E96" s="779">
        <f t="shared" si="1"/>
        <v>2817702.7430999996</v>
      </c>
      <c r="F96" s="863">
        <f t="shared" si="1"/>
        <v>10813305.572385356</v>
      </c>
    </row>
    <row r="97" spans="1:6" x14ac:dyDescent="0.2">
      <c r="A97" s="454" t="str">
        <f>'Data 2009-15 (Real $2008)'!A$165</f>
        <v>Communications</v>
      </c>
      <c r="C97" s="864">
        <f>'Data 2009-15 (Real $2008)'!C165</f>
        <v>0.21428571428571427</v>
      </c>
      <c r="D97" s="862">
        <f t="shared" si="1"/>
        <v>0</v>
      </c>
      <c r="E97" s="779">
        <f t="shared" si="1"/>
        <v>0</v>
      </c>
      <c r="F97" s="863">
        <f t="shared" si="1"/>
        <v>352889.07546270383</v>
      </c>
    </row>
    <row r="98" spans="1:6" x14ac:dyDescent="0.2">
      <c r="A98" s="590" t="str">
        <f>'Data 2009-15 (Real $2008)'!A$166</f>
        <v>Other</v>
      </c>
      <c r="B98" s="622"/>
      <c r="C98" s="865">
        <f>'Data 2009-15 (Real $2008)'!C166</f>
        <v>0.1764705882352941</v>
      </c>
      <c r="D98" s="862">
        <f t="shared" si="1"/>
        <v>0</v>
      </c>
      <c r="E98" s="779">
        <f t="shared" si="1"/>
        <v>73834.561198694442</v>
      </c>
      <c r="F98" s="863">
        <f t="shared" si="1"/>
        <v>188267.84</v>
      </c>
    </row>
    <row r="99" spans="1:6" ht="13.5" thickBot="1" x14ac:dyDescent="0.25">
      <c r="A99" s="591" t="s">
        <v>45</v>
      </c>
      <c r="B99" s="591"/>
      <c r="C99" s="785"/>
      <c r="D99" s="866">
        <f>SUM(D93:D98)</f>
        <v>332599.15000000002</v>
      </c>
      <c r="E99" s="867">
        <f>SUM(E93:E98)</f>
        <v>2891537.3042986942</v>
      </c>
      <c r="F99" s="868">
        <f>SUM(F93:F98)</f>
        <v>11354462.48784806</v>
      </c>
    </row>
    <row r="100" spans="1:6" ht="13.5" thickTop="1" x14ac:dyDescent="0.2">
      <c r="A100" s="623"/>
      <c r="B100" s="586"/>
      <c r="C100" s="842"/>
      <c r="D100" s="856"/>
      <c r="E100" s="856"/>
      <c r="F100" s="856"/>
    </row>
    <row r="101" spans="1:6" x14ac:dyDescent="0.2">
      <c r="A101" s="623"/>
      <c r="B101" s="586"/>
      <c r="C101" s="842"/>
      <c r="D101" s="856"/>
      <c r="E101" s="856"/>
      <c r="F101" s="856"/>
    </row>
    <row r="102" spans="1:6" x14ac:dyDescent="0.2">
      <c r="A102" s="603"/>
      <c r="B102" s="593"/>
      <c r="C102" s="842"/>
      <c r="D102" s="857">
        <v>2006</v>
      </c>
      <c r="E102" s="858">
        <v>2007</v>
      </c>
      <c r="F102" s="859">
        <v>2008</v>
      </c>
    </row>
    <row r="103" spans="1:6" x14ac:dyDescent="0.2">
      <c r="A103" s="589" t="s">
        <v>1</v>
      </c>
      <c r="B103" s="589"/>
      <c r="C103" s="842"/>
      <c r="D103" s="970" t="s">
        <v>73</v>
      </c>
      <c r="E103" s="971"/>
      <c r="F103" s="972"/>
    </row>
    <row r="104" spans="1:6" x14ac:dyDescent="0.2">
      <c r="A104" s="603"/>
      <c r="B104" s="593"/>
      <c r="C104" s="842"/>
      <c r="D104" s="846"/>
      <c r="E104" s="842"/>
      <c r="F104" s="847"/>
    </row>
    <row r="105" spans="1:6" x14ac:dyDescent="0.2">
      <c r="A105" s="623" t="s">
        <v>65</v>
      </c>
      <c r="B105" s="586"/>
      <c r="C105" s="842"/>
      <c r="D105" s="751">
        <v>0</v>
      </c>
      <c r="E105" s="752">
        <v>0</v>
      </c>
      <c r="F105" s="753">
        <v>0</v>
      </c>
    </row>
    <row r="106" spans="1:6" x14ac:dyDescent="0.2">
      <c r="A106" s="623" t="s">
        <v>66</v>
      </c>
      <c r="B106" s="586"/>
      <c r="C106" s="869"/>
      <c r="D106" s="751">
        <v>0</v>
      </c>
      <c r="E106" s="752">
        <v>499385.93479999999</v>
      </c>
      <c r="F106" s="753">
        <v>1535317.135</v>
      </c>
    </row>
    <row r="107" spans="1:6" x14ac:dyDescent="0.2">
      <c r="A107" s="623" t="s">
        <v>67</v>
      </c>
      <c r="B107" s="586"/>
      <c r="C107" s="869"/>
      <c r="D107" s="751">
        <v>60639.99</v>
      </c>
      <c r="E107" s="752">
        <v>1664894.4995230739</v>
      </c>
      <c r="F107" s="753">
        <v>2447.6852999999956</v>
      </c>
    </row>
    <row r="108" spans="1:6" x14ac:dyDescent="0.2">
      <c r="A108" s="623" t="s">
        <v>68</v>
      </c>
      <c r="B108" s="586"/>
      <c r="C108" s="869"/>
      <c r="D108" s="751">
        <v>0</v>
      </c>
      <c r="E108" s="752">
        <v>0</v>
      </c>
      <c r="F108" s="753">
        <v>0</v>
      </c>
    </row>
    <row r="109" spans="1:6" x14ac:dyDescent="0.2">
      <c r="A109" s="623" t="s">
        <v>69</v>
      </c>
      <c r="B109" s="586"/>
      <c r="C109" s="869"/>
      <c r="D109" s="751">
        <v>1213000</v>
      </c>
      <c r="E109" s="752">
        <v>3501090.9819832309</v>
      </c>
      <c r="F109" s="753">
        <v>7560461.2647709977</v>
      </c>
    </row>
    <row r="110" spans="1:6" x14ac:dyDescent="0.2">
      <c r="A110" s="623" t="s">
        <v>70</v>
      </c>
      <c r="B110" s="586"/>
      <c r="C110" s="869"/>
      <c r="D110" s="751">
        <v>0</v>
      </c>
      <c r="E110" s="752">
        <v>0</v>
      </c>
      <c r="F110" s="753">
        <v>0</v>
      </c>
    </row>
    <row r="111" spans="1:6" x14ac:dyDescent="0.2">
      <c r="A111" s="623" t="s">
        <v>71</v>
      </c>
      <c r="B111" s="586"/>
      <c r="C111" s="869"/>
      <c r="D111" s="751">
        <v>255024.31979254476</v>
      </c>
      <c r="E111" s="752">
        <v>192338.65197024439</v>
      </c>
      <c r="F111" s="753">
        <v>472803.03936028399</v>
      </c>
    </row>
    <row r="112" spans="1:6" x14ac:dyDescent="0.2">
      <c r="A112" s="623" t="s">
        <v>72</v>
      </c>
      <c r="B112" s="586"/>
      <c r="C112" s="869"/>
      <c r="D112" s="751">
        <v>0</v>
      </c>
      <c r="E112" s="752">
        <v>0</v>
      </c>
      <c r="F112" s="753">
        <v>0</v>
      </c>
    </row>
    <row r="113" spans="1:14" x14ac:dyDescent="0.2">
      <c r="A113" s="623" t="s">
        <v>279</v>
      </c>
      <c r="B113" s="586"/>
      <c r="C113" s="869"/>
      <c r="D113" s="751">
        <v>0</v>
      </c>
      <c r="E113" s="752">
        <v>0</v>
      </c>
      <c r="F113" s="753">
        <v>0</v>
      </c>
    </row>
    <row r="114" spans="1:14" x14ac:dyDescent="0.2">
      <c r="A114" s="623" t="s">
        <v>280</v>
      </c>
      <c r="B114" s="586"/>
      <c r="C114" s="842"/>
      <c r="D114" s="751">
        <v>0</v>
      </c>
      <c r="E114" s="752">
        <v>0</v>
      </c>
      <c r="F114" s="753">
        <v>0</v>
      </c>
    </row>
    <row r="115" spans="1:14" x14ac:dyDescent="0.2">
      <c r="A115" s="591" t="s">
        <v>45</v>
      </c>
      <c r="C115" s="869"/>
      <c r="D115" s="853">
        <f>SUM(D105:D114)</f>
        <v>1528664.3097925447</v>
      </c>
      <c r="E115" s="854">
        <f>SUM(E105:E114)</f>
        <v>5857710.0682765488</v>
      </c>
      <c r="F115" s="855">
        <f>SUM(F105:F112)</f>
        <v>9571029.1244312823</v>
      </c>
    </row>
    <row r="116" spans="1:14" s="455" customFormat="1" x14ac:dyDescent="0.2">
      <c r="A116" s="586"/>
      <c r="B116" s="586"/>
      <c r="C116" s="593"/>
      <c r="D116" s="620"/>
      <c r="E116" s="620"/>
      <c r="F116" s="620"/>
    </row>
    <row r="117" spans="1:14" s="455" customFormat="1" x14ac:dyDescent="0.2">
      <c r="A117" s="586"/>
      <c r="B117" s="586"/>
      <c r="C117" s="593"/>
      <c r="D117" s="620"/>
      <c r="E117" s="620"/>
      <c r="F117" s="620"/>
    </row>
    <row r="118" spans="1:14" s="455" customFormat="1" ht="13.5" thickBot="1" x14ac:dyDescent="0.25">
      <c r="A118" s="586" t="s">
        <v>111</v>
      </c>
      <c r="B118" s="586"/>
      <c r="C118" s="593"/>
      <c r="D118" s="624">
        <f>SUM(D88,D115)</f>
        <v>1861263.4597925446</v>
      </c>
      <c r="E118" s="624">
        <f>SUM(E88,E115)</f>
        <v>8749247.3725752421</v>
      </c>
      <c r="F118" s="624">
        <f>SUM(F88,F115)</f>
        <v>20925491.612279341</v>
      </c>
    </row>
    <row r="119" spans="1:14" s="455" customFormat="1" ht="13.5" thickTop="1" x14ac:dyDescent="0.2">
      <c r="A119" s="586"/>
      <c r="B119" s="586"/>
      <c r="C119" s="593"/>
      <c r="D119" s="620"/>
      <c r="E119" s="620"/>
      <c r="F119" s="620"/>
    </row>
    <row r="120" spans="1:14" s="455" customFormat="1" x14ac:dyDescent="0.2">
      <c r="A120" s="586"/>
      <c r="B120" s="586"/>
      <c r="C120" s="593"/>
      <c r="D120" s="620"/>
      <c r="E120" s="620"/>
      <c r="F120" s="620"/>
    </row>
    <row r="121" spans="1:14" ht="13.5" thickBot="1" x14ac:dyDescent="0.25">
      <c r="A121" s="625"/>
      <c r="B121" s="626"/>
      <c r="C121" s="625"/>
      <c r="D121" s="625"/>
      <c r="E121" s="625"/>
      <c r="F121" s="625"/>
      <c r="G121" s="625"/>
      <c r="H121" s="625"/>
      <c r="I121" s="625"/>
      <c r="J121" s="625"/>
      <c r="K121" s="625"/>
      <c r="L121" s="625"/>
      <c r="M121" s="625"/>
      <c r="N121" s="625"/>
    </row>
    <row r="124" spans="1:14" ht="15.75" x14ac:dyDescent="0.25">
      <c r="A124" s="627" t="s">
        <v>39</v>
      </c>
      <c r="B124" s="628"/>
    </row>
    <row r="126" spans="1:14" x14ac:dyDescent="0.2">
      <c r="A126" s="446" t="s">
        <v>78</v>
      </c>
      <c r="B126" s="446"/>
      <c r="C126" s="629"/>
    </row>
    <row r="127" spans="1:14" x14ac:dyDescent="0.2">
      <c r="A127" s="446"/>
      <c r="B127" s="446"/>
      <c r="C127" s="629"/>
    </row>
    <row r="128" spans="1:14" x14ac:dyDescent="0.2">
      <c r="A128" s="454" t="s">
        <v>79</v>
      </c>
      <c r="C128" s="630">
        <v>2.64E-2</v>
      </c>
    </row>
    <row r="129" spans="1:6" x14ac:dyDescent="0.2">
      <c r="A129" s="454" t="s">
        <v>80</v>
      </c>
      <c r="C129" s="631">
        <v>1.4250000000000001E-2</v>
      </c>
    </row>
    <row r="130" spans="1:6" x14ac:dyDescent="0.2">
      <c r="A130" s="454" t="s">
        <v>13</v>
      </c>
      <c r="C130" s="632">
        <v>0.06</v>
      </c>
    </row>
    <row r="131" spans="1:6" x14ac:dyDescent="0.2">
      <c r="A131" s="454" t="s">
        <v>14</v>
      </c>
      <c r="C131" s="633">
        <v>1</v>
      </c>
    </row>
    <row r="132" spans="1:6" x14ac:dyDescent="0.2">
      <c r="A132" s="454" t="s">
        <v>17</v>
      </c>
      <c r="C132" s="633">
        <v>0.5</v>
      </c>
    </row>
    <row r="133" spans="1:6" x14ac:dyDescent="0.2">
      <c r="A133" s="454" t="s">
        <v>15</v>
      </c>
      <c r="C133" s="634">
        <v>0.6</v>
      </c>
    </row>
    <row r="134" spans="1:6" x14ac:dyDescent="0.2">
      <c r="A134" s="454" t="s">
        <v>16</v>
      </c>
      <c r="C134" s="635">
        <v>2.5600000000000001E-2</v>
      </c>
    </row>
    <row r="135" spans="1:6" x14ac:dyDescent="0.2">
      <c r="C135" s="636"/>
    </row>
    <row r="136" spans="1:6" x14ac:dyDescent="0.2">
      <c r="A136" s="454" t="s">
        <v>81</v>
      </c>
      <c r="C136" s="637">
        <f>C128+C131*C130</f>
        <v>8.6400000000000005E-2</v>
      </c>
    </row>
    <row r="137" spans="1:6" x14ac:dyDescent="0.2">
      <c r="A137" s="454" t="s">
        <v>82</v>
      </c>
      <c r="C137" s="311">
        <f>(1+C136)*(1+C134)-1</f>
        <v>0.11421184000000006</v>
      </c>
    </row>
    <row r="138" spans="1:6" x14ac:dyDescent="0.2">
      <c r="A138" s="454" t="s">
        <v>83</v>
      </c>
      <c r="C138" s="638">
        <f>C128+C129</f>
        <v>4.0649999999999999E-2</v>
      </c>
    </row>
    <row r="139" spans="1:6" x14ac:dyDescent="0.2">
      <c r="A139" s="454" t="s">
        <v>84</v>
      </c>
      <c r="C139" s="639">
        <f>(1+C138)*(1+C134)-1</f>
        <v>6.7290640000000179E-2</v>
      </c>
    </row>
    <row r="140" spans="1:6" x14ac:dyDescent="0.2">
      <c r="C140" s="601"/>
    </row>
    <row r="141" spans="1:6" x14ac:dyDescent="0.2">
      <c r="A141" s="454" t="s">
        <v>85</v>
      </c>
      <c r="C141" s="640">
        <f>ROUND((C136*(1-C133))+(C138*C133),3)</f>
        <v>5.8999999999999997E-2</v>
      </c>
    </row>
    <row r="144" spans="1:6" x14ac:dyDescent="0.2">
      <c r="A144" s="446" t="s">
        <v>263</v>
      </c>
      <c r="B144" s="446"/>
      <c r="C144" s="968" t="s">
        <v>36</v>
      </c>
      <c r="D144" s="969"/>
      <c r="F144" s="641" t="s">
        <v>75</v>
      </c>
    </row>
    <row r="145" spans="1:9" x14ac:dyDescent="0.2">
      <c r="A145" s="446"/>
      <c r="B145" s="446"/>
      <c r="C145" s="642">
        <v>37529</v>
      </c>
      <c r="D145" s="643">
        <v>138.5</v>
      </c>
      <c r="F145" s="644"/>
    </row>
    <row r="146" spans="1:9" x14ac:dyDescent="0.2">
      <c r="C146" s="645">
        <v>37894</v>
      </c>
      <c r="D146" s="646">
        <v>142.1</v>
      </c>
      <c r="F146" s="647">
        <f t="shared" ref="F146:F151" si="2">D146/D145-1</f>
        <v>2.5992779783393427E-2</v>
      </c>
    </row>
    <row r="147" spans="1:9" x14ac:dyDescent="0.2">
      <c r="C147" s="645">
        <v>38260</v>
      </c>
      <c r="D147" s="646">
        <v>145.4</v>
      </c>
      <c r="F147" s="647">
        <f t="shared" si="2"/>
        <v>2.3223082336382816E-2</v>
      </c>
      <c r="I147" s="648"/>
    </row>
    <row r="148" spans="1:9" x14ac:dyDescent="0.2">
      <c r="C148" s="645">
        <v>38625</v>
      </c>
      <c r="D148" s="646">
        <v>149.80000000000001</v>
      </c>
      <c r="F148" s="647">
        <f t="shared" si="2"/>
        <v>3.0261348005502064E-2</v>
      </c>
    </row>
    <row r="149" spans="1:9" x14ac:dyDescent="0.2">
      <c r="C149" s="645">
        <v>38990</v>
      </c>
      <c r="D149" s="646">
        <v>155.69999999999999</v>
      </c>
      <c r="F149" s="647">
        <f t="shared" si="2"/>
        <v>3.9385847797062556E-2</v>
      </c>
    </row>
    <row r="150" spans="1:9" x14ac:dyDescent="0.2">
      <c r="C150" s="645">
        <v>39355</v>
      </c>
      <c r="D150" s="646">
        <v>158.6</v>
      </c>
      <c r="F150" s="647">
        <f t="shared" si="2"/>
        <v>1.862556197816323E-2</v>
      </c>
    </row>
    <row r="151" spans="1:9" x14ac:dyDescent="0.2">
      <c r="C151" s="649">
        <v>39721</v>
      </c>
      <c r="D151" s="650">
        <v>166.5</v>
      </c>
      <c r="F151" s="647">
        <f t="shared" si="2"/>
        <v>4.9810844892812067E-2</v>
      </c>
    </row>
    <row r="152" spans="1:9" x14ac:dyDescent="0.2">
      <c r="A152" s="651"/>
      <c r="B152" s="651"/>
    </row>
    <row r="153" spans="1:9" x14ac:dyDescent="0.2">
      <c r="A153" s="651"/>
      <c r="B153" s="588">
        <v>2004</v>
      </c>
      <c r="C153" s="588">
        <f>B153+1</f>
        <v>2005</v>
      </c>
      <c r="D153" s="588">
        <f>C153+1</f>
        <v>2006</v>
      </c>
      <c r="E153" s="588">
        <f>D153+1</f>
        <v>2007</v>
      </c>
      <c r="F153" s="588">
        <f>E153+1</f>
        <v>2008</v>
      </c>
    </row>
    <row r="154" spans="1:9" x14ac:dyDescent="0.2">
      <c r="A154" s="651"/>
      <c r="B154" s="652"/>
      <c r="C154" s="652"/>
      <c r="D154" s="652"/>
      <c r="E154" s="652"/>
    </row>
    <row r="155" spans="1:9" x14ac:dyDescent="0.2">
      <c r="A155" s="653" t="s">
        <v>76</v>
      </c>
      <c r="B155" s="654">
        <f>F146</f>
        <v>2.5992779783393427E-2</v>
      </c>
      <c r="C155" s="654">
        <f>F147</f>
        <v>2.3223082336382816E-2</v>
      </c>
      <c r="D155" s="654">
        <f>F148</f>
        <v>3.0261348005502064E-2</v>
      </c>
      <c r="E155" s="654">
        <f>F149</f>
        <v>3.9385847797062556E-2</v>
      </c>
      <c r="F155" s="654">
        <f>F150</f>
        <v>1.862556197816323E-2</v>
      </c>
    </row>
    <row r="156" spans="1:9" x14ac:dyDescent="0.2">
      <c r="A156" s="454" t="s">
        <v>77</v>
      </c>
      <c r="B156" s="655">
        <f>C156*(1+C155)</f>
        <v>1.1161154116819139</v>
      </c>
      <c r="C156" s="656">
        <f>D156*(1+D155)</f>
        <v>1.090784044016506</v>
      </c>
      <c r="D156" s="656">
        <f>E156*(1+E155)</f>
        <v>1.0587449933244324</v>
      </c>
      <c r="E156" s="656">
        <f>F156*(1+F155)</f>
        <v>1.0186255619781632</v>
      </c>
      <c r="F156" s="656">
        <v>1</v>
      </c>
    </row>
    <row r="159" spans="1:9" x14ac:dyDescent="0.2">
      <c r="A159" s="597" t="s">
        <v>282</v>
      </c>
      <c r="B159" s="598"/>
      <c r="C159" s="587" t="s">
        <v>7</v>
      </c>
    </row>
    <row r="160" spans="1:9" x14ac:dyDescent="0.2">
      <c r="A160" s="615"/>
      <c r="B160" s="616"/>
      <c r="C160" s="617" t="s">
        <v>8</v>
      </c>
    </row>
    <row r="161" spans="1:3" x14ac:dyDescent="0.2">
      <c r="A161" s="458" t="s">
        <v>42</v>
      </c>
      <c r="C161" s="657">
        <f>'IMRO Decision 2006-10'!D190</f>
        <v>15</v>
      </c>
    </row>
    <row r="162" spans="1:3" x14ac:dyDescent="0.2">
      <c r="A162" s="454" t="s">
        <v>267</v>
      </c>
      <c r="C162" s="658">
        <f>'IMRO Decision 2006-10'!D191</f>
        <v>10</v>
      </c>
    </row>
    <row r="163" spans="1:3" x14ac:dyDescent="0.2">
      <c r="A163" s="458" t="s">
        <v>43</v>
      </c>
      <c r="C163" s="658">
        <f>'IMRO Decision 2006-10'!D192</f>
        <v>5</v>
      </c>
    </row>
    <row r="164" spans="1:3" x14ac:dyDescent="0.2">
      <c r="A164" s="458" t="s">
        <v>44</v>
      </c>
      <c r="C164" s="659">
        <f>'IMRO Decision 2006-10'!D193</f>
        <v>5</v>
      </c>
    </row>
    <row r="167" spans="1:3" x14ac:dyDescent="0.2">
      <c r="A167" s="597" t="s">
        <v>92</v>
      </c>
      <c r="B167" s="598"/>
      <c r="C167" s="660"/>
    </row>
    <row r="168" spans="1:3" x14ac:dyDescent="0.2">
      <c r="A168" s="598"/>
      <c r="B168" s="598"/>
      <c r="C168" s="660"/>
    </row>
    <row r="169" spans="1:3" x14ac:dyDescent="0.2">
      <c r="A169" s="660" t="s">
        <v>88</v>
      </c>
      <c r="B169" s="661"/>
      <c r="C169" s="662">
        <v>0.3</v>
      </c>
    </row>
    <row r="170" spans="1:3" x14ac:dyDescent="0.2">
      <c r="A170" s="661" t="s">
        <v>17</v>
      </c>
      <c r="B170" s="661"/>
      <c r="C170" s="663">
        <f>C132</f>
        <v>0.5</v>
      </c>
    </row>
    <row r="171" spans="1:3" x14ac:dyDescent="0.2">
      <c r="A171" s="660" t="s">
        <v>15</v>
      </c>
      <c r="B171" s="661"/>
      <c r="C171" s="664">
        <f>C133</f>
        <v>0.6</v>
      </c>
    </row>
    <row r="174" spans="1:3" x14ac:dyDescent="0.2">
      <c r="A174" s="594" t="s">
        <v>89</v>
      </c>
      <c r="B174" s="595"/>
    </row>
    <row r="175" spans="1:3" x14ac:dyDescent="0.2">
      <c r="A175" s="653" t="s">
        <v>283</v>
      </c>
      <c r="B175" s="665"/>
    </row>
    <row r="176" spans="1:3" x14ac:dyDescent="0.2">
      <c r="A176" s="454" t="s">
        <v>360</v>
      </c>
      <c r="C176" s="666">
        <v>0.375</v>
      </c>
    </row>
    <row r="177" spans="1:8" x14ac:dyDescent="0.2">
      <c r="A177" s="454" t="s">
        <v>359</v>
      </c>
      <c r="C177" s="667">
        <v>0.06</v>
      </c>
    </row>
    <row r="178" spans="1:8" x14ac:dyDescent="0.2">
      <c r="A178" s="454" t="s">
        <v>284</v>
      </c>
      <c r="C178" s="667">
        <v>0.4</v>
      </c>
    </row>
    <row r="179" spans="1:8" x14ac:dyDescent="0.2">
      <c r="A179" s="590" t="s">
        <v>285</v>
      </c>
      <c r="B179" s="622"/>
      <c r="C179" s="668">
        <v>0.1764705882352941</v>
      </c>
    </row>
    <row r="182" spans="1:8" x14ac:dyDescent="0.2">
      <c r="A182" s="597" t="s">
        <v>93</v>
      </c>
      <c r="B182" s="598"/>
    </row>
    <row r="183" spans="1:8" x14ac:dyDescent="0.2">
      <c r="D183" s="588">
        <v>2006</v>
      </c>
      <c r="E183" s="588">
        <v>2007</v>
      </c>
      <c r="F183" s="588">
        <v>2008</v>
      </c>
      <c r="G183" s="588">
        <v>2009</v>
      </c>
      <c r="H183" s="588">
        <v>2010</v>
      </c>
    </row>
    <row r="184" spans="1:8" x14ac:dyDescent="0.2">
      <c r="A184" s="458" t="s">
        <v>362</v>
      </c>
      <c r="D184" s="669">
        <f>'IMRO Decision 2006-10'!D41*10^6</f>
        <v>190095.21696142427</v>
      </c>
      <c r="E184" s="669">
        <f>'IMRO Decision 2006-10'!E41*10^6</f>
        <v>-4638810.1375992047</v>
      </c>
      <c r="F184" s="669">
        <f>'IMRO Decision 2006-10'!F41*10^6</f>
        <v>-10768217.460581301</v>
      </c>
      <c r="G184" s="669">
        <f>'IMRO Decision 2006-10'!G41*10^6</f>
        <v>-13630869.502886569</v>
      </c>
      <c r="H184" s="669">
        <f>'IMRO Decision 2006-10'!H41*10^6</f>
        <v>-12452968.501429787</v>
      </c>
    </row>
    <row r="185" spans="1:8" x14ac:dyDescent="0.2">
      <c r="A185" s="454" t="s">
        <v>148</v>
      </c>
      <c r="D185" s="670">
        <f>'IMRO Decision 2006-10'!D71</f>
        <v>1.0510983425414364</v>
      </c>
      <c r="E185" s="670">
        <f>'IMRO Decision 2006-10'!E71</f>
        <v>1.0780064601104973</v>
      </c>
      <c r="F185" s="670">
        <f>'IMRO Decision 2006-10'!F71</f>
        <v>1.1056034254893261</v>
      </c>
      <c r="G185" s="670">
        <f>'IMRO Decision 2006-10'!G71</f>
        <v>1.1339068731818529</v>
      </c>
      <c r="H185" s="670">
        <f>'IMRO Decision 2006-10'!H71</f>
        <v>1.1629348891353084</v>
      </c>
    </row>
    <row r="187" spans="1:8" x14ac:dyDescent="0.2">
      <c r="A187" s="87" t="s">
        <v>94</v>
      </c>
      <c r="B187" s="446"/>
    </row>
    <row r="188" spans="1:8" x14ac:dyDescent="0.2">
      <c r="A188" s="606" t="s">
        <v>98</v>
      </c>
      <c r="B188" s="607"/>
      <c r="D188" s="588">
        <v>2006</v>
      </c>
      <c r="E188" s="588">
        <v>2007</v>
      </c>
      <c r="F188" s="588">
        <v>2008</v>
      </c>
    </row>
    <row r="189" spans="1:8" x14ac:dyDescent="0.2">
      <c r="A189" s="608" t="s">
        <v>271</v>
      </c>
      <c r="B189" s="609"/>
      <c r="D189" s="671"/>
      <c r="E189" s="671"/>
      <c r="F189" s="671"/>
    </row>
    <row r="190" spans="1:8" x14ac:dyDescent="0.2">
      <c r="A190" s="611" t="s">
        <v>274</v>
      </c>
      <c r="B190" s="591"/>
      <c r="D190" s="622">
        <f>D205*D218</f>
        <v>1307368.72</v>
      </c>
      <c r="E190" s="622">
        <f>E205*E218</f>
        <v>1318907.04</v>
      </c>
      <c r="F190" s="622">
        <f>F205*F218</f>
        <v>1296321.3600000001</v>
      </c>
    </row>
    <row r="191" spans="1:8" x14ac:dyDescent="0.2">
      <c r="A191" s="611" t="s">
        <v>273</v>
      </c>
      <c r="B191" s="591"/>
      <c r="D191" s="622">
        <f>((D208*12+D210)*D222+(D208*4+D210)*D223)+((D209*12+D211)*D224+(D209*4+D211)*D225)</f>
        <v>9300467.8000000007</v>
      </c>
      <c r="E191" s="622">
        <f>((E208*12+E210)*E222+(E208*4+E210)*E223)+((E209*12+E211)*E224+(E209*4+E211)*E225)</f>
        <v>9700727</v>
      </c>
      <c r="F191" s="622">
        <f>((F208*12+F210)*F222+(F208*4+F210)*F223)+((F209*12+F211)*F224+(F209*4+F211)*F225)</f>
        <v>10052628</v>
      </c>
    </row>
    <row r="192" spans="1:8" x14ac:dyDescent="0.2">
      <c r="A192" s="454" t="s">
        <v>272</v>
      </c>
      <c r="D192" s="622">
        <f>D213*D228</f>
        <v>106311.8563265306</v>
      </c>
      <c r="E192" s="622">
        <f>E213*E228</f>
        <v>402889.25632653059</v>
      </c>
      <c r="F192" s="622">
        <f>F213*F228</f>
        <v>756342.0163265306</v>
      </c>
    </row>
    <row r="193" spans="1:6" x14ac:dyDescent="0.2">
      <c r="A193" s="611" t="s">
        <v>104</v>
      </c>
      <c r="B193" s="591"/>
      <c r="D193" s="672">
        <f>SUM(D190:D192)</f>
        <v>10714148.376326531</v>
      </c>
      <c r="E193" s="672">
        <f>SUM(E190:E192)</f>
        <v>11422523.296326529</v>
      </c>
      <c r="F193" s="672">
        <f>SUM(F190:F192)</f>
        <v>12105291.376326529</v>
      </c>
    </row>
    <row r="194" spans="1:6" x14ac:dyDescent="0.2">
      <c r="A194" s="611"/>
      <c r="B194" s="591"/>
      <c r="D194" s="590"/>
      <c r="E194" s="590"/>
      <c r="F194" s="590"/>
    </row>
    <row r="195" spans="1:6" x14ac:dyDescent="0.2">
      <c r="A195" s="608" t="s">
        <v>105</v>
      </c>
      <c r="B195" s="609"/>
      <c r="D195" s="590"/>
      <c r="E195" s="590"/>
      <c r="F195" s="590"/>
    </row>
    <row r="196" spans="1:6" x14ac:dyDescent="0.2">
      <c r="A196" s="454" t="s">
        <v>109</v>
      </c>
      <c r="D196" s="669">
        <f>'IMRO Decision 2006-10'!D105*10^3</f>
        <v>420000</v>
      </c>
      <c r="E196" s="669">
        <f>'IMRO Decision 2006-10'!E105*10^3</f>
        <v>420000</v>
      </c>
      <c r="F196" s="669">
        <f>'IMRO Decision 2006-10'!F105*10^3</f>
        <v>420000</v>
      </c>
    </row>
    <row r="197" spans="1:6" s="458" customFormat="1" x14ac:dyDescent="0.2">
      <c r="A197" s="611" t="s">
        <v>108</v>
      </c>
      <c r="B197" s="591"/>
      <c r="D197" s="669">
        <f>'IMRO Decision 2006-10'!D111*10^3</f>
        <v>1949305.4129536522</v>
      </c>
      <c r="E197" s="669">
        <f>'IMRO Decision 2006-10'!E111*10^3</f>
        <v>1975569.4544452247</v>
      </c>
      <c r="F197" s="669">
        <f>'IMRO Decision 2006-10'!F111*10^3</f>
        <v>2002187.3655104858</v>
      </c>
    </row>
    <row r="198" spans="1:6" s="458" customFormat="1" x14ac:dyDescent="0.2">
      <c r="A198" s="611" t="s">
        <v>106</v>
      </c>
      <c r="B198" s="591"/>
      <c r="D198" s="602">
        <f>SUM(D196:D197)</f>
        <v>2369305.4129536524</v>
      </c>
      <c r="E198" s="602">
        <f>SUM(E196:E197)</f>
        <v>2395569.4544452247</v>
      </c>
      <c r="F198" s="602">
        <f>SUM(F196:F197)</f>
        <v>2422187.3655104861</v>
      </c>
    </row>
    <row r="199" spans="1:6" s="458" customFormat="1" x14ac:dyDescent="0.2">
      <c r="A199" s="591"/>
      <c r="B199" s="591"/>
      <c r="D199" s="622"/>
      <c r="E199" s="622"/>
      <c r="F199" s="622"/>
    </row>
    <row r="200" spans="1:6" s="458" customFormat="1" ht="13.5" thickBot="1" x14ac:dyDescent="0.25">
      <c r="A200" s="611" t="s">
        <v>107</v>
      </c>
      <c r="B200" s="591"/>
      <c r="C200" s="454"/>
      <c r="D200" s="592">
        <f>SUM(D193,D198)</f>
        <v>13083453.789280184</v>
      </c>
      <c r="E200" s="592">
        <f>SUM(E193,E198)</f>
        <v>13818092.750771753</v>
      </c>
      <c r="F200" s="592">
        <f>SUM(F193,F198)</f>
        <v>14527478.741837015</v>
      </c>
    </row>
    <row r="201" spans="1:6" s="458" customFormat="1" ht="13.5" thickTop="1" x14ac:dyDescent="0.2">
      <c r="A201" s="673" t="s">
        <v>0</v>
      </c>
      <c r="B201" s="674"/>
      <c r="C201" s="675">
        <f>SUM(D201:F201)</f>
        <v>0</v>
      </c>
      <c r="D201" s="675">
        <f>IF(ABS('IMRO Decision 2006-10'!D114*10^3-D200)&lt;0.001,0,ABS('IMRO Decision 2006-10'!D114*10^3-D200))</f>
        <v>0</v>
      </c>
      <c r="E201" s="675">
        <f>IF(ABS('IMRO Decision 2006-10'!E114*10^3-E200)&lt;0.001,0,ABS('IMRO Decision 2006-10'!E114*10^3-E200))</f>
        <v>0</v>
      </c>
      <c r="F201" s="675">
        <f>IF(ABS('IMRO Decision 2006-10'!F114*10^3-F200)&lt;0.001,0,ABS('IMRO Decision 2006-10'!F114*10^3-F200))</f>
        <v>0</v>
      </c>
    </row>
    <row r="202" spans="1:6" s="458" customFormat="1" x14ac:dyDescent="0.2">
      <c r="A202" s="591"/>
      <c r="B202" s="591"/>
      <c r="D202" s="622"/>
      <c r="E202" s="622"/>
      <c r="F202" s="622"/>
    </row>
    <row r="203" spans="1:6" s="458" customFormat="1" x14ac:dyDescent="0.2">
      <c r="A203" s="591"/>
      <c r="B203" s="591"/>
      <c r="D203" s="622"/>
      <c r="E203" s="622"/>
      <c r="F203" s="622"/>
    </row>
    <row r="204" spans="1:6" x14ac:dyDescent="0.2">
      <c r="A204" s="594" t="s">
        <v>96</v>
      </c>
      <c r="B204" s="595"/>
      <c r="D204" s="588">
        <v>2006</v>
      </c>
      <c r="E204" s="588">
        <v>2007</v>
      </c>
      <c r="F204" s="588">
        <v>2008</v>
      </c>
    </row>
    <row r="205" spans="1:6" x14ac:dyDescent="0.2">
      <c r="A205" s="611" t="s">
        <v>97</v>
      </c>
      <c r="B205" s="591"/>
      <c r="D205" s="676">
        <f>'IMRO Decision 2006-10'!D349</f>
        <v>1.52</v>
      </c>
      <c r="E205" s="676">
        <f>'IMRO Decision 2006-10'!E349</f>
        <v>1.52</v>
      </c>
      <c r="F205" s="676">
        <f>'IMRO Decision 2006-10'!F349</f>
        <v>1.52</v>
      </c>
    </row>
    <row r="206" spans="1:6" s="458" customFormat="1" x14ac:dyDescent="0.2">
      <c r="A206" s="611"/>
      <c r="B206" s="591"/>
      <c r="D206" s="677"/>
      <c r="E206" s="677"/>
      <c r="F206" s="677"/>
    </row>
    <row r="207" spans="1:6" x14ac:dyDescent="0.2">
      <c r="A207" s="608" t="s">
        <v>99</v>
      </c>
      <c r="B207" s="609"/>
      <c r="D207" s="677"/>
      <c r="E207" s="677"/>
      <c r="F207" s="677"/>
    </row>
    <row r="208" spans="1:6" x14ac:dyDescent="0.2">
      <c r="A208" s="611" t="s">
        <v>100</v>
      </c>
      <c r="B208" s="591"/>
      <c r="D208" s="676">
        <f>'IMRO Decision 2006-10'!D365</f>
        <v>1.5</v>
      </c>
      <c r="E208" s="676">
        <f>'IMRO Decision 2006-10'!E365</f>
        <v>1.5</v>
      </c>
      <c r="F208" s="676">
        <f>'IMRO Decision 2006-10'!F365</f>
        <v>1.5</v>
      </c>
    </row>
    <row r="209" spans="1:6" x14ac:dyDescent="0.2">
      <c r="A209" s="611" t="s">
        <v>101</v>
      </c>
      <c r="B209" s="591"/>
      <c r="D209" s="676">
        <f>'IMRO Decision 2006-10'!D366</f>
        <v>2.5</v>
      </c>
      <c r="E209" s="676">
        <f>'IMRO Decision 2006-10'!E366</f>
        <v>2.5</v>
      </c>
      <c r="F209" s="676">
        <f>'IMRO Decision 2006-10'!F366</f>
        <v>2.5</v>
      </c>
    </row>
    <row r="210" spans="1:6" x14ac:dyDescent="0.2">
      <c r="A210" s="611" t="s">
        <v>102</v>
      </c>
      <c r="B210" s="591"/>
      <c r="D210" s="676">
        <f>'IMRO Decision 2006-10'!D367</f>
        <v>4.5</v>
      </c>
      <c r="E210" s="676">
        <f>'IMRO Decision 2006-10'!E367</f>
        <v>4.5</v>
      </c>
      <c r="F210" s="676">
        <f>'IMRO Decision 2006-10'!F367</f>
        <v>4.5</v>
      </c>
    </row>
    <row r="211" spans="1:6" x14ac:dyDescent="0.2">
      <c r="A211" s="611" t="s">
        <v>103</v>
      </c>
      <c r="B211" s="591"/>
      <c r="D211" s="676">
        <f>'IMRO Decision 2006-10'!D368</f>
        <v>6.2</v>
      </c>
      <c r="E211" s="676">
        <f>'IMRO Decision 2006-10'!E368</f>
        <v>6.2</v>
      </c>
      <c r="F211" s="676">
        <f>'IMRO Decision 2006-10'!F368</f>
        <v>6.2</v>
      </c>
    </row>
    <row r="212" spans="1:6" x14ac:dyDescent="0.2">
      <c r="A212" s="611"/>
      <c r="B212" s="591"/>
      <c r="D212" s="677"/>
      <c r="E212" s="677"/>
      <c r="F212" s="677"/>
    </row>
    <row r="213" spans="1:6" x14ac:dyDescent="0.2">
      <c r="A213" s="611" t="s">
        <v>53</v>
      </c>
      <c r="B213" s="591"/>
      <c r="D213" s="676">
        <f>'IMRO Decision 2006-10'!D356</f>
        <v>10.6</v>
      </c>
      <c r="E213" s="676">
        <f>'IMRO Decision 2006-10'!E356</f>
        <v>10.6</v>
      </c>
      <c r="F213" s="676">
        <f>'IMRO Decision 2006-10'!F356</f>
        <v>10.6</v>
      </c>
    </row>
    <row r="216" spans="1:6" x14ac:dyDescent="0.2">
      <c r="A216" s="606" t="s">
        <v>95</v>
      </c>
      <c r="B216" s="607"/>
      <c r="C216" s="455"/>
      <c r="D216" s="588">
        <v>2006</v>
      </c>
      <c r="E216" s="588">
        <v>2007</v>
      </c>
      <c r="F216" s="588">
        <v>2008</v>
      </c>
    </row>
    <row r="217" spans="1:6" x14ac:dyDescent="0.2">
      <c r="A217" s="608" t="s">
        <v>52</v>
      </c>
      <c r="B217" s="609"/>
      <c r="C217" s="455"/>
      <c r="D217" s="610"/>
      <c r="E217" s="610"/>
      <c r="F217" s="596"/>
    </row>
    <row r="218" spans="1:6" x14ac:dyDescent="0.2">
      <c r="A218" s="611" t="s">
        <v>55</v>
      </c>
      <c r="B218" s="591"/>
      <c r="C218" s="455"/>
      <c r="D218" s="669">
        <f>'IMRO Decision 2006-10'!J349</f>
        <v>860111</v>
      </c>
      <c r="E218" s="669">
        <f>'IMRO Decision 2006-10'!K349</f>
        <v>867702</v>
      </c>
      <c r="F218" s="669">
        <f>'IMRO Decision 2006-10'!L349</f>
        <v>852843</v>
      </c>
    </row>
    <row r="219" spans="1:6" x14ac:dyDescent="0.2">
      <c r="A219" s="606"/>
      <c r="B219" s="607"/>
      <c r="C219" s="455"/>
      <c r="D219" s="610"/>
      <c r="E219" s="610"/>
      <c r="F219" s="596"/>
    </row>
    <row r="220" spans="1:6" x14ac:dyDescent="0.2">
      <c r="A220" s="608" t="s">
        <v>24</v>
      </c>
      <c r="B220" s="609"/>
      <c r="D220" s="455"/>
      <c r="E220" s="455"/>
      <c r="F220" s="455"/>
    </row>
    <row r="221" spans="1:6" x14ac:dyDescent="0.2">
      <c r="A221" s="611" t="s">
        <v>270</v>
      </c>
      <c r="B221" s="591"/>
      <c r="D221" s="455"/>
      <c r="E221" s="455"/>
      <c r="F221" s="455"/>
    </row>
    <row r="222" spans="1:6" x14ac:dyDescent="0.2">
      <c r="A222" s="611" t="s">
        <v>56</v>
      </c>
      <c r="B222" s="591"/>
      <c r="D222" s="669">
        <f>'IMRO Decision 2006-10'!J370</f>
        <v>5055</v>
      </c>
      <c r="E222" s="669">
        <f>'IMRO Decision 2006-10'!K370</f>
        <v>3571</v>
      </c>
      <c r="F222" s="669">
        <f>'IMRO Decision 2006-10'!L370</f>
        <v>2185</v>
      </c>
    </row>
    <row r="223" spans="1:6" x14ac:dyDescent="0.2">
      <c r="A223" s="611" t="s">
        <v>57</v>
      </c>
      <c r="B223" s="591"/>
      <c r="D223" s="669">
        <f>'IMRO Decision 2006-10'!J371</f>
        <v>823351</v>
      </c>
      <c r="E223" s="669">
        <f>'IMRO Decision 2006-10'!K371</f>
        <v>778943</v>
      </c>
      <c r="F223" s="669">
        <f>'IMRO Decision 2006-10'!L371</f>
        <v>678947</v>
      </c>
    </row>
    <row r="224" spans="1:6" x14ac:dyDescent="0.2">
      <c r="A224" s="611" t="s">
        <v>58</v>
      </c>
      <c r="B224" s="591"/>
      <c r="D224" s="669">
        <f>'IMRO Decision 2006-10'!J372</f>
        <v>1397</v>
      </c>
      <c r="E224" s="669">
        <f>'IMRO Decision 2006-10'!K372</f>
        <v>3070</v>
      </c>
      <c r="F224" s="669">
        <f>'IMRO Decision 2006-10'!L372</f>
        <v>4641</v>
      </c>
    </row>
    <row r="225" spans="1:14" x14ac:dyDescent="0.2">
      <c r="A225" s="611" t="s">
        <v>59</v>
      </c>
      <c r="B225" s="591"/>
      <c r="D225" s="669">
        <f>'IMRO Decision 2006-10'!J373</f>
        <v>30307</v>
      </c>
      <c r="E225" s="669">
        <f>'IMRO Decision 2006-10'!K373</f>
        <v>82120</v>
      </c>
      <c r="F225" s="669">
        <f>'IMRO Decision 2006-10'!L373</f>
        <v>167069</v>
      </c>
    </row>
    <row r="226" spans="1:14" x14ac:dyDescent="0.2">
      <c r="D226" s="455"/>
      <c r="E226" s="455"/>
      <c r="F226" s="455"/>
    </row>
    <row r="227" spans="1:14" x14ac:dyDescent="0.2">
      <c r="A227" s="608" t="s">
        <v>53</v>
      </c>
      <c r="B227" s="609"/>
      <c r="C227" s="455"/>
      <c r="D227" s="610"/>
      <c r="E227" s="610"/>
      <c r="F227" s="596"/>
    </row>
    <row r="228" spans="1:14" x14ac:dyDescent="0.2">
      <c r="A228" s="611" t="s">
        <v>60</v>
      </c>
      <c r="B228" s="591"/>
      <c r="C228" s="455"/>
      <c r="D228" s="669">
        <f>SUM('IMRO Decision 2006-10'!J356,'IMRO Decision 2006-10'!J358:J362)</f>
        <v>10029.420408163265</v>
      </c>
      <c r="E228" s="669">
        <f>SUM('IMRO Decision 2006-10'!K356,'IMRO Decision 2006-10'!K358:K362)</f>
        <v>38008.420408163263</v>
      </c>
      <c r="F228" s="669">
        <f>SUM('IMRO Decision 2006-10'!L356,'IMRO Decision 2006-10'!L358:L362)</f>
        <v>71353.020408163269</v>
      </c>
    </row>
    <row r="231" spans="1:14" ht="13.5" thickBot="1" x14ac:dyDescent="0.25">
      <c r="A231" s="625"/>
      <c r="B231" s="626"/>
      <c r="C231" s="625"/>
      <c r="D231" s="625"/>
      <c r="E231" s="625"/>
      <c r="F231" s="625"/>
      <c r="G231" s="625"/>
      <c r="H231" s="625"/>
      <c r="I231" s="625"/>
      <c r="J231" s="625"/>
      <c r="K231" s="625"/>
      <c r="L231" s="625"/>
      <c r="M231" s="625"/>
      <c r="N231" s="625"/>
    </row>
  </sheetData>
  <sheetProtection sheet="1" objects="1" scenarios="1"/>
  <mergeCells count="12">
    <mergeCell ref="A5:F5"/>
    <mergeCell ref="D57:F57"/>
    <mergeCell ref="D74:F74"/>
    <mergeCell ref="D9:F9"/>
    <mergeCell ref="D27:F27"/>
    <mergeCell ref="D18:F18"/>
    <mergeCell ref="D38:F38"/>
    <mergeCell ref="C144:D144"/>
    <mergeCell ref="D92:F92"/>
    <mergeCell ref="D82:F82"/>
    <mergeCell ref="D103:F103"/>
    <mergeCell ref="A79:F79"/>
  </mergeCells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tabColor indexed="44"/>
    <pageSetUpPr fitToPage="1"/>
  </sheetPr>
  <dimension ref="A1:K94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6384" width="9.140625" style="21"/>
  </cols>
  <sheetData>
    <row r="1" spans="1:11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</row>
    <row r="2" spans="1:11" s="1" customFormat="1" ht="15" x14ac:dyDescent="0.25">
      <c r="A2" s="30"/>
      <c r="B2" s="93"/>
      <c r="C2" s="2"/>
      <c r="D2" s="63" t="s">
        <v>22</v>
      </c>
      <c r="E2" s="64" t="s">
        <v>22</v>
      </c>
      <c r="F2" s="64" t="s">
        <v>22</v>
      </c>
      <c r="G2" s="64" t="s">
        <v>22</v>
      </c>
      <c r="H2" s="64" t="s">
        <v>22</v>
      </c>
      <c r="I2" s="64" t="s">
        <v>22</v>
      </c>
      <c r="J2" s="65" t="s">
        <v>22</v>
      </c>
      <c r="K2" s="108"/>
    </row>
    <row r="3" spans="1:11" s="1" customFormat="1" ht="15.75" x14ac:dyDescent="0.25">
      <c r="A3" s="70" t="s">
        <v>407</v>
      </c>
      <c r="B3" s="445"/>
      <c r="C3" s="2"/>
      <c r="D3" s="60" t="s">
        <v>20</v>
      </c>
      <c r="E3" s="61" t="s">
        <v>20</v>
      </c>
      <c r="F3" s="61" t="s">
        <v>20</v>
      </c>
      <c r="G3" s="61" t="s">
        <v>20</v>
      </c>
      <c r="H3" s="61" t="s">
        <v>20</v>
      </c>
      <c r="I3" s="61" t="s">
        <v>20</v>
      </c>
      <c r="J3" s="62" t="s">
        <v>20</v>
      </c>
      <c r="K3" s="108"/>
    </row>
    <row r="4" spans="1:11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</row>
    <row r="5" spans="1:11" s="1" customFormat="1" ht="15.75" x14ac:dyDescent="0.25">
      <c r="A5" s="807" t="s">
        <v>396</v>
      </c>
      <c r="B5" s="445"/>
      <c r="C5" s="2"/>
      <c r="D5" s="2"/>
      <c r="E5" s="2"/>
      <c r="F5" s="2"/>
      <c r="G5" s="2"/>
      <c r="H5" s="2"/>
      <c r="I5" s="2"/>
      <c r="J5" s="2"/>
      <c r="K5" s="2"/>
    </row>
    <row r="6" spans="1:11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</row>
    <row r="7" spans="1:11" s="1" customFormat="1" x14ac:dyDescent="0.2">
      <c r="A7" s="3"/>
      <c r="B7" s="58"/>
      <c r="C7" s="2"/>
      <c r="D7" s="44">
        <f t="shared" ref="D7:J7" si="0">D$1</f>
        <v>2009</v>
      </c>
      <c r="E7" s="45">
        <f t="shared" si="0"/>
        <v>2010</v>
      </c>
      <c r="F7" s="45">
        <f t="shared" si="0"/>
        <v>2011</v>
      </c>
      <c r="G7" s="45">
        <f t="shared" si="0"/>
        <v>2012</v>
      </c>
      <c r="H7" s="45">
        <f t="shared" si="0"/>
        <v>2013</v>
      </c>
      <c r="I7" s="45">
        <f t="shared" si="0"/>
        <v>2014</v>
      </c>
      <c r="J7" s="46">
        <f t="shared" si="0"/>
        <v>2015</v>
      </c>
      <c r="K7" s="54"/>
    </row>
    <row r="8" spans="1:11" s="1" customFormat="1" x14ac:dyDescent="0.2">
      <c r="A8" s="41" t="s">
        <v>37</v>
      </c>
      <c r="B8" s="83"/>
      <c r="C8" s="740" t="s">
        <v>7</v>
      </c>
      <c r="D8" s="47" t="str">
        <f t="shared" ref="D8:J8" si="1">D$2</f>
        <v>Nominal $</v>
      </c>
      <c r="E8" s="48" t="str">
        <f t="shared" si="1"/>
        <v>Nominal $</v>
      </c>
      <c r="F8" s="48" t="str">
        <f t="shared" si="1"/>
        <v>Nominal $</v>
      </c>
      <c r="G8" s="48" t="str">
        <f t="shared" si="1"/>
        <v>Nominal $</v>
      </c>
      <c r="H8" s="48" t="str">
        <f t="shared" si="1"/>
        <v>Nominal $</v>
      </c>
      <c r="I8" s="48" t="str">
        <f t="shared" si="1"/>
        <v>Nominal $</v>
      </c>
      <c r="J8" s="49" t="str">
        <f t="shared" si="1"/>
        <v>Nominal $</v>
      </c>
      <c r="K8" s="108"/>
    </row>
    <row r="9" spans="1:11" s="1" customFormat="1" x14ac:dyDescent="0.2">
      <c r="A9" s="7"/>
      <c r="B9" s="84"/>
      <c r="C9" s="741" t="s">
        <v>8</v>
      </c>
      <c r="D9" s="50" t="str">
        <f t="shared" ref="D9:J9" si="2">D$3</f>
        <v>Actual</v>
      </c>
      <c r="E9" s="51" t="str">
        <f t="shared" si="2"/>
        <v>Actual</v>
      </c>
      <c r="F9" s="51" t="str">
        <f t="shared" si="2"/>
        <v>Actual</v>
      </c>
      <c r="G9" s="51" t="str">
        <f t="shared" si="2"/>
        <v>Actual</v>
      </c>
      <c r="H9" s="51" t="str">
        <f t="shared" si="2"/>
        <v>Actual</v>
      </c>
      <c r="I9" s="51" t="str">
        <f t="shared" si="2"/>
        <v>Actual</v>
      </c>
      <c r="J9" s="720" t="str">
        <f t="shared" si="2"/>
        <v>Actual</v>
      </c>
      <c r="K9" s="108"/>
    </row>
    <row r="10" spans="1:11" s="1" customFormat="1" x14ac:dyDescent="0.2">
      <c r="A10" s="83" t="s">
        <v>42</v>
      </c>
      <c r="B10" s="83"/>
      <c r="C10" s="104" t="str">
        <f>'Data 2009-15 (Real $2008)'!C10</f>
        <v>Depreciated by end of  2013</v>
      </c>
      <c r="D10" s="751">
        <v>4532473.805165709</v>
      </c>
      <c r="E10" s="752">
        <v>3901457.2776575359</v>
      </c>
      <c r="F10" s="752">
        <v>1584273.64</v>
      </c>
      <c r="G10" s="752">
        <v>949291.2300000001</v>
      </c>
      <c r="H10" s="752"/>
      <c r="I10" s="752"/>
      <c r="J10" s="753"/>
      <c r="K10" s="117"/>
    </row>
    <row r="11" spans="1:11" s="1" customFormat="1" x14ac:dyDescent="0.2">
      <c r="A11" s="82" t="s">
        <v>267</v>
      </c>
      <c r="B11" s="83"/>
      <c r="C11" s="315" t="str">
        <f>'Data 2009-15 (Real $2008)'!C11</f>
        <v>Depreciated by end of  2013</v>
      </c>
      <c r="D11" s="751">
        <v>4149037.5409553209</v>
      </c>
      <c r="E11" s="752">
        <v>4817824.8053511195</v>
      </c>
      <c r="F11" s="752">
        <v>760748.95</v>
      </c>
      <c r="G11" s="752">
        <v>160108.47999999998</v>
      </c>
      <c r="H11" s="752"/>
      <c r="I11" s="752"/>
      <c r="J11" s="753"/>
      <c r="K11" s="117"/>
    </row>
    <row r="12" spans="1:11" s="1" customFormat="1" x14ac:dyDescent="0.2">
      <c r="A12" s="317" t="s">
        <v>363</v>
      </c>
      <c r="B12" s="83"/>
      <c r="C12" s="315">
        <f>'Data 2009-15 (Real $2008)'!C12</f>
        <v>15</v>
      </c>
      <c r="D12" s="751">
        <v>2210814.54</v>
      </c>
      <c r="E12" s="752">
        <v>66062251.949999988</v>
      </c>
      <c r="F12" s="752">
        <v>92857134.000426456</v>
      </c>
      <c r="G12" s="752">
        <v>97462298.309903547</v>
      </c>
      <c r="H12" s="752"/>
      <c r="I12" s="752"/>
      <c r="J12" s="753"/>
      <c r="K12" s="19"/>
    </row>
    <row r="13" spans="1:11" s="1" customFormat="1" x14ac:dyDescent="0.2">
      <c r="A13" s="317" t="s">
        <v>284</v>
      </c>
      <c r="B13" s="83"/>
      <c r="C13" s="315">
        <f>'Data 2009-15 (Real $2008)'!C13</f>
        <v>7</v>
      </c>
      <c r="D13" s="751">
        <v>24047547.66</v>
      </c>
      <c r="E13" s="752">
        <v>21118048.699999999</v>
      </c>
      <c r="F13" s="752">
        <v>11333414.250000002</v>
      </c>
      <c r="G13" s="752">
        <v>9257594.75</v>
      </c>
      <c r="H13" s="752"/>
      <c r="I13" s="752"/>
      <c r="J13" s="753"/>
      <c r="K13" s="15"/>
    </row>
    <row r="14" spans="1:11" s="1" customFormat="1" x14ac:dyDescent="0.2">
      <c r="A14" s="317" t="s">
        <v>286</v>
      </c>
      <c r="B14" s="86"/>
      <c r="C14" s="315">
        <f>'Data 2009-15 (Real $2008)'!C14</f>
        <v>7</v>
      </c>
      <c r="D14" s="751">
        <v>945747.1</v>
      </c>
      <c r="E14" s="752">
        <v>3326145.38</v>
      </c>
      <c r="F14" s="752">
        <v>16172606.329999998</v>
      </c>
      <c r="G14" s="752">
        <v>11529042.254151428</v>
      </c>
      <c r="H14" s="752"/>
      <c r="I14" s="752"/>
      <c r="J14" s="753"/>
      <c r="K14" s="15"/>
    </row>
    <row r="15" spans="1:11" s="1" customFormat="1" x14ac:dyDescent="0.2">
      <c r="A15" s="317" t="s">
        <v>285</v>
      </c>
      <c r="B15" s="83"/>
      <c r="C15" s="105">
        <f>'Data 2009-15 (Real $2008)'!C15</f>
        <v>7</v>
      </c>
      <c r="D15" s="751">
        <v>527728.94999999995</v>
      </c>
      <c r="E15" s="752">
        <v>627653.81999999995</v>
      </c>
      <c r="F15" s="752">
        <v>349105.82</v>
      </c>
      <c r="G15" s="752">
        <v>174723.79</v>
      </c>
      <c r="H15" s="752"/>
      <c r="I15" s="752"/>
      <c r="J15" s="753"/>
      <c r="K15" s="15"/>
    </row>
    <row r="16" spans="1:11" s="1" customFormat="1" ht="13.5" thickBot="1" x14ac:dyDescent="0.25">
      <c r="A16" s="86" t="s">
        <v>45</v>
      </c>
      <c r="B16" s="83"/>
      <c r="C16" s="2"/>
      <c r="D16" s="11">
        <f t="shared" ref="D16:J16" si="3">SUM(D10:D15)</f>
        <v>36413349.596121036</v>
      </c>
      <c r="E16" s="12">
        <f t="shared" si="3"/>
        <v>99853381.933008626</v>
      </c>
      <c r="F16" s="12">
        <f t="shared" si="3"/>
        <v>123057282.99042645</v>
      </c>
      <c r="G16" s="12">
        <f t="shared" si="3"/>
        <v>119533058.81405498</v>
      </c>
      <c r="H16" s="12">
        <f t="shared" si="3"/>
        <v>0</v>
      </c>
      <c r="I16" s="12">
        <f t="shared" si="3"/>
        <v>0</v>
      </c>
      <c r="J16" s="13">
        <f t="shared" si="3"/>
        <v>0</v>
      </c>
      <c r="K16" s="15"/>
    </row>
    <row r="17" spans="1:11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</row>
    <row r="18" spans="1:11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</row>
    <row r="19" spans="1:11" s="1" customFormat="1" x14ac:dyDescent="0.2">
      <c r="A19" s="319"/>
      <c r="B19" s="83"/>
      <c r="C19" s="2"/>
      <c r="D19" s="44">
        <f t="shared" ref="D19:J19" si="4">D$1</f>
        <v>2009</v>
      </c>
      <c r="E19" s="45">
        <f t="shared" si="4"/>
        <v>2010</v>
      </c>
      <c r="F19" s="45">
        <f t="shared" si="4"/>
        <v>2011</v>
      </c>
      <c r="G19" s="45">
        <f t="shared" si="4"/>
        <v>2012</v>
      </c>
      <c r="H19" s="45">
        <f t="shared" si="4"/>
        <v>2013</v>
      </c>
      <c r="I19" s="45">
        <f t="shared" si="4"/>
        <v>2014</v>
      </c>
      <c r="J19" s="46">
        <f t="shared" si="4"/>
        <v>2015</v>
      </c>
      <c r="K19" s="15"/>
    </row>
    <row r="20" spans="1:11" s="1" customFormat="1" x14ac:dyDescent="0.2">
      <c r="A20" s="319"/>
      <c r="B20" s="83"/>
      <c r="C20" s="307" t="s">
        <v>283</v>
      </c>
      <c r="D20" s="47" t="str">
        <f t="shared" ref="D20:J20" si="5">D$2</f>
        <v>Nominal $</v>
      </c>
      <c r="E20" s="48" t="str">
        <f t="shared" si="5"/>
        <v>Nominal $</v>
      </c>
      <c r="F20" s="48" t="str">
        <f t="shared" si="5"/>
        <v>Nominal $</v>
      </c>
      <c r="G20" s="48" t="str">
        <f t="shared" si="5"/>
        <v>Nominal $</v>
      </c>
      <c r="H20" s="48" t="str">
        <f t="shared" si="5"/>
        <v>Nominal $</v>
      </c>
      <c r="I20" s="48" t="str">
        <f t="shared" si="5"/>
        <v>Nominal $</v>
      </c>
      <c r="J20" s="49" t="str">
        <f t="shared" si="5"/>
        <v>Nominal $</v>
      </c>
      <c r="K20" s="15"/>
    </row>
    <row r="21" spans="1:11" s="1" customFormat="1" x14ac:dyDescent="0.2">
      <c r="A21" s="72" t="s">
        <v>47</v>
      </c>
      <c r="B21" s="89"/>
      <c r="C21" s="320" t="s">
        <v>48</v>
      </c>
      <c r="D21" s="50" t="str">
        <f t="shared" ref="D21:J21" si="6">D$3</f>
        <v>Actual</v>
      </c>
      <c r="E21" s="51" t="str">
        <f t="shared" si="6"/>
        <v>Actual</v>
      </c>
      <c r="F21" s="51" t="str">
        <f t="shared" si="6"/>
        <v>Actual</v>
      </c>
      <c r="G21" s="51" t="str">
        <f t="shared" si="6"/>
        <v>Actual</v>
      </c>
      <c r="H21" s="51" t="str">
        <f t="shared" si="6"/>
        <v>Actual</v>
      </c>
      <c r="I21" s="51" t="str">
        <f t="shared" si="6"/>
        <v>Actual</v>
      </c>
      <c r="J21" s="720" t="str">
        <f t="shared" si="6"/>
        <v>Actual</v>
      </c>
      <c r="K21" s="15"/>
    </row>
    <row r="22" spans="1:11" s="1" customFormat="1" x14ac:dyDescent="0.2">
      <c r="A22" s="82" t="s">
        <v>364</v>
      </c>
      <c r="B22" s="89"/>
      <c r="C22" s="321">
        <f>'Data 2009-15 (Real $2008)'!C22</f>
        <v>0.375</v>
      </c>
      <c r="D22" s="324">
        <f t="shared" ref="D22:J22" si="7">SUM(D10:D12)-D23</f>
        <v>10892325.886121031</v>
      </c>
      <c r="E22" s="19">
        <f t="shared" si="7"/>
        <v>74781534.033008635</v>
      </c>
      <c r="F22" s="19">
        <f t="shared" si="7"/>
        <v>95202156.59042646</v>
      </c>
      <c r="G22" s="19">
        <f t="shared" si="7"/>
        <v>98571698.019903541</v>
      </c>
      <c r="H22" s="19">
        <f t="shared" si="7"/>
        <v>0</v>
      </c>
      <c r="I22" s="19">
        <f t="shared" si="7"/>
        <v>0</v>
      </c>
      <c r="J22" s="325">
        <f t="shared" si="7"/>
        <v>0</v>
      </c>
      <c r="K22" s="15"/>
    </row>
    <row r="23" spans="1:11" s="1" customFormat="1" x14ac:dyDescent="0.2">
      <c r="A23" s="82" t="s">
        <v>365</v>
      </c>
      <c r="B23" s="86"/>
      <c r="C23" s="322">
        <f>'Data 2009-15 (Real $2008)'!C23</f>
        <v>0.06</v>
      </c>
      <c r="D23" s="751">
        <v>0</v>
      </c>
      <c r="E23" s="752">
        <v>0</v>
      </c>
      <c r="F23" s="752">
        <v>0</v>
      </c>
      <c r="G23" s="752">
        <v>0</v>
      </c>
      <c r="H23" s="752"/>
      <c r="I23" s="752"/>
      <c r="J23" s="753"/>
      <c r="K23" s="15"/>
    </row>
    <row r="24" spans="1:11" s="1" customFormat="1" x14ac:dyDescent="0.2">
      <c r="A24" s="82" t="s">
        <v>284</v>
      </c>
      <c r="B24" s="83"/>
      <c r="C24" s="322">
        <f>'Data 2009-15 (Real $2008)'!C24</f>
        <v>0.4</v>
      </c>
      <c r="D24" s="324">
        <f t="shared" ref="D24:F26" si="8">D13</f>
        <v>24047547.66</v>
      </c>
      <c r="E24" s="19">
        <f t="shared" si="8"/>
        <v>21118048.699999999</v>
      </c>
      <c r="F24" s="19">
        <f t="shared" si="8"/>
        <v>11333414.250000002</v>
      </c>
      <c r="G24" s="19">
        <f t="shared" ref="G24:J26" si="9">G13</f>
        <v>9257594.75</v>
      </c>
      <c r="H24" s="19">
        <f t="shared" si="9"/>
        <v>0</v>
      </c>
      <c r="I24" s="19">
        <f t="shared" si="9"/>
        <v>0</v>
      </c>
      <c r="J24" s="325">
        <f t="shared" si="9"/>
        <v>0</v>
      </c>
      <c r="K24" s="15"/>
    </row>
    <row r="25" spans="1:11" s="1" customFormat="1" x14ac:dyDescent="0.2">
      <c r="A25" s="82" t="s">
        <v>286</v>
      </c>
      <c r="B25" s="83"/>
      <c r="C25" s="322">
        <f>'Data 2009-15 (Real $2008)'!C25</f>
        <v>0.21428571428571427</v>
      </c>
      <c r="D25" s="324">
        <f t="shared" si="8"/>
        <v>945747.1</v>
      </c>
      <c r="E25" s="19">
        <f t="shared" si="8"/>
        <v>3326145.38</v>
      </c>
      <c r="F25" s="19">
        <f t="shared" si="8"/>
        <v>16172606.329999998</v>
      </c>
      <c r="G25" s="19">
        <f t="shared" si="9"/>
        <v>11529042.254151428</v>
      </c>
      <c r="H25" s="19">
        <f t="shared" si="9"/>
        <v>0</v>
      </c>
      <c r="I25" s="19">
        <f t="shared" si="9"/>
        <v>0</v>
      </c>
      <c r="J25" s="325">
        <f t="shared" si="9"/>
        <v>0</v>
      </c>
      <c r="K25" s="15"/>
    </row>
    <row r="26" spans="1:11" s="1" customFormat="1" x14ac:dyDescent="0.2">
      <c r="A26" s="85" t="s">
        <v>285</v>
      </c>
      <c r="B26" s="83"/>
      <c r="C26" s="323">
        <f>'Data 2009-15 (Real $2008)'!C26</f>
        <v>0.1764705882352941</v>
      </c>
      <c r="D26" s="324">
        <f t="shared" si="8"/>
        <v>527728.94999999995</v>
      </c>
      <c r="E26" s="19">
        <f t="shared" si="8"/>
        <v>627653.81999999995</v>
      </c>
      <c r="F26" s="19">
        <f t="shared" si="8"/>
        <v>349105.82</v>
      </c>
      <c r="G26" s="19">
        <f t="shared" si="9"/>
        <v>174723.79</v>
      </c>
      <c r="H26" s="19">
        <f t="shared" si="9"/>
        <v>0</v>
      </c>
      <c r="I26" s="19">
        <f t="shared" si="9"/>
        <v>0</v>
      </c>
      <c r="J26" s="325">
        <f t="shared" si="9"/>
        <v>0</v>
      </c>
      <c r="K26" s="15"/>
    </row>
    <row r="27" spans="1:11" s="1" customFormat="1" ht="13.5" thickBot="1" x14ac:dyDescent="0.25">
      <c r="A27" s="86" t="s">
        <v>45</v>
      </c>
      <c r="B27" s="58"/>
      <c r="C27" s="2"/>
      <c r="D27" s="11">
        <f t="shared" ref="D27:J27" si="10">SUM(D21:D26)</f>
        <v>36413349.596121036</v>
      </c>
      <c r="E27" s="12">
        <f t="shared" si="10"/>
        <v>99853381.933008626</v>
      </c>
      <c r="F27" s="12">
        <f t="shared" si="10"/>
        <v>123057282.99042645</v>
      </c>
      <c r="G27" s="12">
        <f t="shared" si="10"/>
        <v>119533058.81405498</v>
      </c>
      <c r="H27" s="12">
        <f t="shared" si="10"/>
        <v>0</v>
      </c>
      <c r="I27" s="12">
        <f t="shared" si="10"/>
        <v>0</v>
      </c>
      <c r="J27" s="13">
        <f t="shared" si="10"/>
        <v>0</v>
      </c>
      <c r="K27" s="15"/>
    </row>
    <row r="28" spans="1:11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</row>
    <row r="29" spans="1:11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</row>
    <row r="30" spans="1:11" s="1" customFormat="1" x14ac:dyDescent="0.2">
      <c r="A30" s="14"/>
      <c r="B30" s="83"/>
      <c r="C30" s="2"/>
      <c r="D30" s="44">
        <f t="shared" ref="D30:J30" si="11">D$1</f>
        <v>2009</v>
      </c>
      <c r="E30" s="45">
        <f t="shared" si="11"/>
        <v>2010</v>
      </c>
      <c r="F30" s="45">
        <f t="shared" si="11"/>
        <v>2011</v>
      </c>
      <c r="G30" s="45">
        <f t="shared" si="11"/>
        <v>2012</v>
      </c>
      <c r="H30" s="45">
        <f t="shared" si="11"/>
        <v>2013</v>
      </c>
      <c r="I30" s="45">
        <f t="shared" si="11"/>
        <v>2014</v>
      </c>
      <c r="J30" s="46">
        <f t="shared" si="11"/>
        <v>2015</v>
      </c>
      <c r="K30" s="54"/>
    </row>
    <row r="31" spans="1:11" x14ac:dyDescent="0.2">
      <c r="A31" s="41" t="s">
        <v>3</v>
      </c>
      <c r="C31" s="2"/>
      <c r="D31" s="47" t="str">
        <f t="shared" ref="D31:J31" si="12">D$2</f>
        <v>Nominal $</v>
      </c>
      <c r="E31" s="48" t="str">
        <f t="shared" si="12"/>
        <v>Nominal $</v>
      </c>
      <c r="F31" s="48" t="str">
        <f t="shared" si="12"/>
        <v>Nominal $</v>
      </c>
      <c r="G31" s="48" t="str">
        <f t="shared" si="12"/>
        <v>Nominal $</v>
      </c>
      <c r="H31" s="48" t="str">
        <f t="shared" si="12"/>
        <v>Nominal $</v>
      </c>
      <c r="I31" s="48" t="str">
        <f t="shared" si="12"/>
        <v>Nominal $</v>
      </c>
      <c r="J31" s="49" t="str">
        <f t="shared" si="12"/>
        <v>Nominal $</v>
      </c>
      <c r="K31" s="108"/>
    </row>
    <row r="32" spans="1:11" x14ac:dyDescent="0.2">
      <c r="A32" s="22"/>
      <c r="B32" s="53"/>
      <c r="C32" s="20"/>
      <c r="D32" s="50" t="str">
        <f t="shared" ref="D32:J32" si="13">D$3</f>
        <v>Actual</v>
      </c>
      <c r="E32" s="51" t="str">
        <f t="shared" si="13"/>
        <v>Actual</v>
      </c>
      <c r="F32" s="51" t="str">
        <f t="shared" si="13"/>
        <v>Actual</v>
      </c>
      <c r="G32" s="51" t="str">
        <f t="shared" si="13"/>
        <v>Actual</v>
      </c>
      <c r="H32" s="51" t="str">
        <f t="shared" si="13"/>
        <v>Actual</v>
      </c>
      <c r="I32" s="51" t="str">
        <f t="shared" si="13"/>
        <v>Actual</v>
      </c>
      <c r="J32" s="720" t="str">
        <f t="shared" si="13"/>
        <v>Actual</v>
      </c>
      <c r="K32" s="108"/>
    </row>
    <row r="33" spans="1:11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</row>
    <row r="34" spans="1:11" x14ac:dyDescent="0.2">
      <c r="A34" s="83" t="s">
        <v>42</v>
      </c>
      <c r="C34" s="20"/>
      <c r="D34" s="751">
        <v>0</v>
      </c>
      <c r="E34" s="752">
        <v>0</v>
      </c>
      <c r="F34" s="752">
        <v>0</v>
      </c>
      <c r="G34" s="752">
        <v>0</v>
      </c>
      <c r="H34" s="752"/>
      <c r="I34" s="752"/>
      <c r="J34" s="753"/>
      <c r="K34" s="36"/>
    </row>
    <row r="35" spans="1:11" x14ac:dyDescent="0.2">
      <c r="A35" s="83" t="s">
        <v>267</v>
      </c>
      <c r="C35" s="20"/>
      <c r="D35" s="751">
        <v>0</v>
      </c>
      <c r="E35" s="752">
        <v>0</v>
      </c>
      <c r="F35" s="752">
        <v>0</v>
      </c>
      <c r="G35" s="752">
        <v>0</v>
      </c>
      <c r="H35" s="752"/>
      <c r="I35" s="752"/>
      <c r="J35" s="753"/>
      <c r="K35" s="36"/>
    </row>
    <row r="36" spans="1:11" x14ac:dyDescent="0.2">
      <c r="A36" s="83" t="s">
        <v>363</v>
      </c>
      <c r="C36" s="20"/>
      <c r="D36" s="751">
        <v>0</v>
      </c>
      <c r="E36" s="752">
        <v>0</v>
      </c>
      <c r="F36" s="752">
        <v>0</v>
      </c>
      <c r="G36" s="752">
        <v>0</v>
      </c>
      <c r="H36" s="752"/>
      <c r="I36" s="752"/>
      <c r="J36" s="753"/>
      <c r="K36" s="36"/>
    </row>
    <row r="37" spans="1:11" x14ac:dyDescent="0.2">
      <c r="A37" s="83" t="s">
        <v>284</v>
      </c>
      <c r="C37" s="20"/>
      <c r="D37" s="751">
        <v>0</v>
      </c>
      <c r="E37" s="752">
        <v>0</v>
      </c>
      <c r="F37" s="752">
        <v>0</v>
      </c>
      <c r="G37" s="752">
        <v>0</v>
      </c>
      <c r="H37" s="752"/>
      <c r="I37" s="752"/>
      <c r="J37" s="753"/>
      <c r="K37" s="36"/>
    </row>
    <row r="38" spans="1:11" x14ac:dyDescent="0.2">
      <c r="A38" s="83" t="s">
        <v>286</v>
      </c>
      <c r="B38" s="446"/>
      <c r="C38" s="20"/>
      <c r="D38" s="751">
        <v>0</v>
      </c>
      <c r="E38" s="752">
        <v>0</v>
      </c>
      <c r="F38" s="752">
        <v>0</v>
      </c>
      <c r="G38" s="752">
        <v>0</v>
      </c>
      <c r="H38" s="752"/>
      <c r="I38" s="752"/>
      <c r="J38" s="753"/>
      <c r="K38" s="36"/>
    </row>
    <row r="39" spans="1:11" x14ac:dyDescent="0.2">
      <c r="A39" s="83" t="s">
        <v>285</v>
      </c>
      <c r="B39" s="447"/>
      <c r="C39" s="20"/>
      <c r="D39" s="751">
        <v>0</v>
      </c>
      <c r="E39" s="752">
        <v>0</v>
      </c>
      <c r="F39" s="752">
        <v>0</v>
      </c>
      <c r="G39" s="752">
        <v>0</v>
      </c>
      <c r="H39" s="752"/>
      <c r="I39" s="752"/>
      <c r="J39" s="753"/>
      <c r="K39" s="36"/>
    </row>
    <row r="40" spans="1:11" ht="13.5" thickBot="1" x14ac:dyDescent="0.25">
      <c r="A40" s="22"/>
      <c r="C40" s="20"/>
      <c r="D40" s="326">
        <f t="shared" ref="D40:J40" si="14">SUM(D34:D39)</f>
        <v>0</v>
      </c>
      <c r="E40" s="90">
        <f t="shared" si="14"/>
        <v>0</v>
      </c>
      <c r="F40" s="90">
        <f t="shared" si="14"/>
        <v>0</v>
      </c>
      <c r="G40" s="90">
        <f t="shared" ref="G40" si="15">SUM(G34:G39)</f>
        <v>0</v>
      </c>
      <c r="H40" s="90">
        <f t="shared" si="14"/>
        <v>0</v>
      </c>
      <c r="I40" s="90">
        <f t="shared" si="14"/>
        <v>0</v>
      </c>
      <c r="J40" s="327">
        <f t="shared" si="14"/>
        <v>0</v>
      </c>
      <c r="K40" s="36"/>
    </row>
    <row r="41" spans="1:11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</row>
    <row r="42" spans="1:11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</row>
    <row r="43" spans="1:11" x14ac:dyDescent="0.2">
      <c r="A43" s="83" t="s">
        <v>42</v>
      </c>
      <c r="C43" s="20"/>
      <c r="D43" s="751">
        <v>0</v>
      </c>
      <c r="E43" s="752">
        <v>0</v>
      </c>
      <c r="F43" s="752">
        <v>0</v>
      </c>
      <c r="G43" s="752">
        <v>0</v>
      </c>
      <c r="H43" s="752"/>
      <c r="I43" s="752"/>
      <c r="J43" s="753"/>
      <c r="K43" s="36"/>
    </row>
    <row r="44" spans="1:11" x14ac:dyDescent="0.2">
      <c r="A44" s="83" t="s">
        <v>267</v>
      </c>
      <c r="B44" s="447"/>
      <c r="C44" s="20"/>
      <c r="D44" s="751">
        <v>0</v>
      </c>
      <c r="E44" s="752">
        <v>0</v>
      </c>
      <c r="F44" s="752">
        <v>0</v>
      </c>
      <c r="G44" s="752">
        <v>0</v>
      </c>
      <c r="H44" s="752"/>
      <c r="I44" s="752"/>
      <c r="J44" s="753"/>
      <c r="K44" s="36"/>
    </row>
    <row r="45" spans="1:11" x14ac:dyDescent="0.2">
      <c r="A45" s="83" t="s">
        <v>363</v>
      </c>
      <c r="C45" s="20"/>
      <c r="D45" s="751">
        <v>0</v>
      </c>
      <c r="E45" s="752">
        <v>0</v>
      </c>
      <c r="F45" s="752">
        <v>0</v>
      </c>
      <c r="G45" s="752">
        <v>0</v>
      </c>
      <c r="H45" s="752"/>
      <c r="I45" s="752"/>
      <c r="J45" s="753"/>
      <c r="K45" s="36"/>
    </row>
    <row r="46" spans="1:11" x14ac:dyDescent="0.2">
      <c r="A46" s="83" t="s">
        <v>284</v>
      </c>
      <c r="C46" s="20"/>
      <c r="D46" s="751">
        <v>0</v>
      </c>
      <c r="E46" s="752">
        <v>0</v>
      </c>
      <c r="F46" s="752">
        <v>0</v>
      </c>
      <c r="G46" s="752">
        <v>0</v>
      </c>
      <c r="H46" s="752"/>
      <c r="I46" s="752"/>
      <c r="J46" s="753"/>
      <c r="K46" s="36"/>
    </row>
    <row r="47" spans="1:11" x14ac:dyDescent="0.2">
      <c r="A47" s="83" t="s">
        <v>286</v>
      </c>
      <c r="B47" s="89"/>
      <c r="C47" s="20"/>
      <c r="D47" s="751">
        <v>0</v>
      </c>
      <c r="E47" s="752">
        <v>0</v>
      </c>
      <c r="F47" s="752">
        <v>0</v>
      </c>
      <c r="G47" s="752">
        <v>0</v>
      </c>
      <c r="H47" s="752"/>
      <c r="I47" s="752"/>
      <c r="J47" s="753"/>
      <c r="K47" s="36"/>
    </row>
    <row r="48" spans="1:11" x14ac:dyDescent="0.2">
      <c r="A48" s="83" t="s">
        <v>285</v>
      </c>
      <c r="C48" s="20"/>
      <c r="D48" s="751">
        <v>0</v>
      </c>
      <c r="E48" s="752">
        <v>0</v>
      </c>
      <c r="F48" s="752">
        <v>0</v>
      </c>
      <c r="G48" s="752">
        <v>0</v>
      </c>
      <c r="H48" s="752"/>
      <c r="I48" s="752"/>
      <c r="J48" s="753"/>
      <c r="K48" s="36"/>
    </row>
    <row r="49" spans="1:11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</row>
    <row r="50" spans="1:11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</row>
    <row r="51" spans="1:11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</row>
    <row r="52" spans="1:11" s="1" customFormat="1" x14ac:dyDescent="0.2">
      <c r="A52" s="3"/>
      <c r="B52" s="83"/>
      <c r="C52" s="2"/>
      <c r="D52" s="44">
        <f t="shared" ref="D52:J52" si="17">D$1</f>
        <v>2009</v>
      </c>
      <c r="E52" s="45">
        <f t="shared" si="17"/>
        <v>2010</v>
      </c>
      <c r="F52" s="45">
        <f t="shared" si="17"/>
        <v>2011</v>
      </c>
      <c r="G52" s="45">
        <f t="shared" si="17"/>
        <v>2012</v>
      </c>
      <c r="H52" s="45">
        <f t="shared" si="17"/>
        <v>2013</v>
      </c>
      <c r="I52" s="45">
        <f t="shared" si="17"/>
        <v>2014</v>
      </c>
      <c r="J52" s="46">
        <f t="shared" si="17"/>
        <v>2015</v>
      </c>
      <c r="K52" s="54"/>
    </row>
    <row r="53" spans="1:11" s="1" customFormat="1" x14ac:dyDescent="0.2">
      <c r="A53" s="41" t="s">
        <v>1</v>
      </c>
      <c r="B53" s="448"/>
      <c r="C53" s="2"/>
      <c r="D53" s="47" t="str">
        <f t="shared" ref="D53:J53" si="18">D$2</f>
        <v>Nominal $</v>
      </c>
      <c r="E53" s="48" t="str">
        <f t="shared" si="18"/>
        <v>Nominal $</v>
      </c>
      <c r="F53" s="48" t="str">
        <f t="shared" si="18"/>
        <v>Nominal $</v>
      </c>
      <c r="G53" s="48" t="str">
        <f t="shared" si="18"/>
        <v>Nominal $</v>
      </c>
      <c r="H53" s="48" t="str">
        <f t="shared" si="18"/>
        <v>Nominal $</v>
      </c>
      <c r="I53" s="48" t="str">
        <f t="shared" si="18"/>
        <v>Nominal $</v>
      </c>
      <c r="J53" s="49" t="str">
        <f t="shared" si="18"/>
        <v>Nominal $</v>
      </c>
      <c r="K53" s="108"/>
    </row>
    <row r="54" spans="1:11" s="1" customFormat="1" x14ac:dyDescent="0.2">
      <c r="A54" s="3"/>
      <c r="B54" s="89"/>
      <c r="C54" s="2"/>
      <c r="D54" s="50" t="str">
        <f t="shared" ref="D54:J54" si="19">D$3</f>
        <v>Actual</v>
      </c>
      <c r="E54" s="51" t="str">
        <f t="shared" si="19"/>
        <v>Actual</v>
      </c>
      <c r="F54" s="51" t="str">
        <f t="shared" si="19"/>
        <v>Actual</v>
      </c>
      <c r="G54" s="51" t="str">
        <f t="shared" si="19"/>
        <v>Actual</v>
      </c>
      <c r="H54" s="51" t="str">
        <f t="shared" si="19"/>
        <v>Actual</v>
      </c>
      <c r="I54" s="51" t="str">
        <f t="shared" si="19"/>
        <v>Actual</v>
      </c>
      <c r="J54" s="720" t="str">
        <f t="shared" si="19"/>
        <v>Actual</v>
      </c>
      <c r="K54" s="108"/>
    </row>
    <row r="55" spans="1:11" s="1" customFormat="1" ht="13.5" thickBot="1" x14ac:dyDescent="0.25">
      <c r="A55" s="3" t="s">
        <v>2</v>
      </c>
      <c r="B55" s="83"/>
      <c r="C55" s="2"/>
      <c r="D55" s="754">
        <v>24814068.844235312</v>
      </c>
      <c r="E55" s="755">
        <v>19953460.2551184</v>
      </c>
      <c r="F55" s="755">
        <v>26822517.64150586</v>
      </c>
      <c r="G55" s="755">
        <v>22519258.547136702</v>
      </c>
      <c r="H55" s="755"/>
      <c r="I55" s="755"/>
      <c r="J55" s="756"/>
      <c r="K55" s="117"/>
    </row>
    <row r="56" spans="1:11" s="1" customFormat="1" ht="13.5" thickTop="1" x14ac:dyDescent="0.2">
      <c r="A56" s="3"/>
      <c r="B56" s="446"/>
      <c r="C56" s="2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">
      <c r="A57" s="3"/>
      <c r="B57" s="442"/>
      <c r="C57" s="2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">
      <c r="A58" s="58" t="s">
        <v>63</v>
      </c>
      <c r="B58" s="443"/>
      <c r="D58" s="44">
        <f t="shared" ref="D58:J58" si="20">D$1</f>
        <v>2009</v>
      </c>
      <c r="E58" s="45">
        <f t="shared" si="20"/>
        <v>2010</v>
      </c>
      <c r="F58" s="5">
        <f t="shared" si="20"/>
        <v>2011</v>
      </c>
      <c r="G58" s="5">
        <f t="shared" si="20"/>
        <v>2012</v>
      </c>
      <c r="H58" s="5">
        <f t="shared" si="20"/>
        <v>2013</v>
      </c>
      <c r="I58" s="5">
        <f t="shared" si="20"/>
        <v>2014</v>
      </c>
      <c r="J58" s="46">
        <f t="shared" si="20"/>
        <v>2015</v>
      </c>
      <c r="K58" s="19"/>
    </row>
    <row r="59" spans="1:11" s="1" customFormat="1" x14ac:dyDescent="0.2">
      <c r="B59" s="86"/>
      <c r="D59" s="718" t="s">
        <v>22</v>
      </c>
      <c r="E59" s="722" t="s">
        <v>22</v>
      </c>
      <c r="F59" s="722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</row>
    <row r="60" spans="1:11" s="1" customFormat="1" ht="13.5" thickBot="1" x14ac:dyDescent="0.25">
      <c r="A60" s="76" t="s">
        <v>63</v>
      </c>
      <c r="B60" s="442"/>
      <c r="D60" s="757">
        <v>33138971.770000003</v>
      </c>
      <c r="E60" s="755">
        <v>71092652.63000001</v>
      </c>
      <c r="F60" s="755">
        <v>72026210.274123311</v>
      </c>
      <c r="G60" s="755">
        <v>79301450.791750014</v>
      </c>
      <c r="H60" s="755"/>
      <c r="I60" s="755"/>
      <c r="J60" s="756"/>
      <c r="K60" s="19"/>
    </row>
    <row r="61" spans="1:11" s="1" customFormat="1" ht="13.5" thickTop="1" x14ac:dyDescent="0.2">
      <c r="E61" s="19"/>
      <c r="K61" s="19"/>
    </row>
    <row r="62" spans="1:11" s="1" customFormat="1" x14ac:dyDescent="0.2">
      <c r="E62" s="19"/>
      <c r="K62" s="19"/>
    </row>
    <row r="63" spans="1:11" s="1" customFormat="1" x14ac:dyDescent="0.2">
      <c r="E63" s="19"/>
      <c r="K63" s="19"/>
    </row>
    <row r="64" spans="1:11" s="1" customFormat="1" x14ac:dyDescent="0.2">
      <c r="E64" s="19"/>
      <c r="K64" s="19"/>
    </row>
    <row r="65" spans="2:2" x14ac:dyDescent="0.2">
      <c r="B65" s="86"/>
    </row>
    <row r="66" spans="2:2" x14ac:dyDescent="0.2">
      <c r="B66" s="86"/>
    </row>
    <row r="67" spans="2:2" x14ac:dyDescent="0.2">
      <c r="B67" s="443"/>
    </row>
    <row r="68" spans="2:2" x14ac:dyDescent="0.2">
      <c r="B68" s="86"/>
    </row>
    <row r="69" spans="2:2" x14ac:dyDescent="0.2">
      <c r="B69" s="86"/>
    </row>
    <row r="70" spans="2:2" x14ac:dyDescent="0.2">
      <c r="B70" s="86"/>
    </row>
    <row r="71" spans="2:2" x14ac:dyDescent="0.2">
      <c r="B71" s="86"/>
    </row>
    <row r="72" spans="2:2" x14ac:dyDescent="0.2">
      <c r="B72" s="86"/>
    </row>
    <row r="73" spans="2:2" x14ac:dyDescent="0.2">
      <c r="B73" s="86"/>
    </row>
    <row r="76" spans="2:2" x14ac:dyDescent="0.2">
      <c r="B76" s="442"/>
    </row>
    <row r="77" spans="2:2" x14ac:dyDescent="0.2">
      <c r="B77" s="443"/>
    </row>
    <row r="78" spans="2:2" x14ac:dyDescent="0.2">
      <c r="B78" s="86"/>
    </row>
    <row r="79" spans="2:2" x14ac:dyDescent="0.2">
      <c r="B79" s="442"/>
    </row>
    <row r="80" spans="2:2" x14ac:dyDescent="0.2">
      <c r="B80" s="443"/>
    </row>
    <row r="81" spans="2:2" x14ac:dyDescent="0.2">
      <c r="B81" s="86"/>
    </row>
    <row r="82" spans="2:2" x14ac:dyDescent="0.2">
      <c r="B82" s="86"/>
    </row>
    <row r="83" spans="2:2" x14ac:dyDescent="0.2">
      <c r="B83" s="86"/>
    </row>
    <row r="84" spans="2:2" x14ac:dyDescent="0.2">
      <c r="B84" s="86"/>
    </row>
    <row r="85" spans="2:2" x14ac:dyDescent="0.2">
      <c r="B85" s="86"/>
    </row>
    <row r="87" spans="2:2" x14ac:dyDescent="0.2">
      <c r="B87" s="443"/>
    </row>
    <row r="88" spans="2:2" x14ac:dyDescent="0.2">
      <c r="B88" s="86"/>
    </row>
    <row r="90" spans="2:2" x14ac:dyDescent="0.2">
      <c r="B90" s="89"/>
    </row>
    <row r="91" spans="2:2" x14ac:dyDescent="0.2">
      <c r="B91" s="89"/>
    </row>
    <row r="92" spans="2:2" x14ac:dyDescent="0.2">
      <c r="B92" s="89"/>
    </row>
    <row r="93" spans="2:2" x14ac:dyDescent="0.2">
      <c r="B93" s="89"/>
    </row>
    <row r="94" spans="2:2" x14ac:dyDescent="0.2">
      <c r="B94" s="89"/>
    </row>
  </sheetData>
  <sheetProtection sheet="1" objects="1" scenarios="1"/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tabColor indexed="44"/>
    <pageSetUpPr fitToPage="1"/>
  </sheetPr>
  <dimension ref="A1:Q227"/>
  <sheetViews>
    <sheetView zoomScale="85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2.75" x14ac:dyDescent="0.2"/>
  <cols>
    <col min="1" max="1" width="51.85546875" style="21" customWidth="1"/>
    <col min="2" max="2" width="6.5703125" style="83" customWidth="1"/>
    <col min="3" max="3" width="25.42578125" style="21" customWidth="1"/>
    <col min="4" max="4" width="13.140625" style="21" customWidth="1"/>
    <col min="5" max="5" width="11.85546875" style="21" customWidth="1"/>
    <col min="6" max="10" width="11.5703125" style="21" customWidth="1"/>
    <col min="11" max="11" width="9.140625" style="1"/>
    <col min="12" max="12" width="9.140625" style="20"/>
    <col min="13" max="15" width="12" style="20" customWidth="1"/>
    <col min="16" max="17" width="12" style="21" customWidth="1"/>
    <col min="18" max="16384" width="9.140625" style="21"/>
  </cols>
  <sheetData>
    <row r="1" spans="1:17" s="1" customFormat="1" x14ac:dyDescent="0.2">
      <c r="A1" s="542" t="str">
        <f>'Data 2006-08'!$A$1</f>
        <v>Powercor</v>
      </c>
      <c r="B1" s="94"/>
      <c r="D1" s="44">
        <v>2009</v>
      </c>
      <c r="E1" s="45">
        <v>2010</v>
      </c>
      <c r="F1" s="45">
        <v>2011</v>
      </c>
      <c r="G1" s="45">
        <v>2012</v>
      </c>
      <c r="H1" s="45">
        <v>2013</v>
      </c>
      <c r="I1" s="45">
        <v>2014</v>
      </c>
      <c r="J1" s="46">
        <v>2015</v>
      </c>
      <c r="K1" s="54"/>
      <c r="L1" s="21"/>
      <c r="M1" s="21"/>
      <c r="N1" s="21"/>
      <c r="O1" s="4">
        <f>H1</f>
        <v>2013</v>
      </c>
      <c r="P1" s="5">
        <f>I1</f>
        <v>2014</v>
      </c>
      <c r="Q1" s="6">
        <f>J1</f>
        <v>2015</v>
      </c>
    </row>
    <row r="2" spans="1:17" s="1" customFormat="1" ht="15" x14ac:dyDescent="0.25">
      <c r="A2" s="30"/>
      <c r="B2" s="93"/>
      <c r="C2" s="2"/>
      <c r="D2" s="63" t="s">
        <v>6</v>
      </c>
      <c r="E2" s="64" t="s">
        <v>6</v>
      </c>
      <c r="F2" s="64" t="s">
        <v>6</v>
      </c>
      <c r="G2" s="64" t="s">
        <v>6</v>
      </c>
      <c r="H2" s="64" t="s">
        <v>6</v>
      </c>
      <c r="I2" s="64" t="s">
        <v>6</v>
      </c>
      <c r="J2" s="65" t="s">
        <v>6</v>
      </c>
      <c r="K2" s="108"/>
      <c r="L2" s="21"/>
      <c r="M2" s="21"/>
      <c r="N2" s="21"/>
      <c r="O2" s="792"/>
      <c r="P2" s="2"/>
      <c r="Q2" s="723"/>
    </row>
    <row r="3" spans="1:17" s="1" customFormat="1" ht="15.75" x14ac:dyDescent="0.25">
      <c r="A3" s="70" t="s">
        <v>388</v>
      </c>
      <c r="B3" s="445"/>
      <c r="C3" s="2"/>
      <c r="D3" s="699" t="s">
        <v>20</v>
      </c>
      <c r="E3" s="700" t="s">
        <v>20</v>
      </c>
      <c r="F3" s="700" t="s">
        <v>20</v>
      </c>
      <c r="G3" s="700" t="s">
        <v>20</v>
      </c>
      <c r="H3" s="700" t="s">
        <v>20</v>
      </c>
      <c r="I3" s="61" t="s">
        <v>18</v>
      </c>
      <c r="J3" s="62" t="s">
        <v>18</v>
      </c>
      <c r="K3" s="108"/>
      <c r="L3" s="21"/>
      <c r="M3" s="21"/>
      <c r="N3" s="21"/>
      <c r="O3" s="793" t="str">
        <f>H3</f>
        <v>Actual</v>
      </c>
      <c r="P3" s="61" t="str">
        <f>I3</f>
        <v>Forecast</v>
      </c>
      <c r="Q3" s="62" t="str">
        <f>J3</f>
        <v>Forecast</v>
      </c>
    </row>
    <row r="4" spans="1:17" s="1" customFormat="1" ht="15.75" x14ac:dyDescent="0.25">
      <c r="B4" s="94"/>
      <c r="C4" s="39"/>
      <c r="D4" s="40"/>
      <c r="E4" s="40"/>
      <c r="F4" s="40"/>
      <c r="G4" s="40"/>
      <c r="H4" s="40"/>
      <c r="I4" s="40"/>
      <c r="J4" s="40"/>
      <c r="K4" s="40"/>
      <c r="L4" s="21"/>
      <c r="M4" s="2"/>
      <c r="N4" s="2"/>
      <c r="O4" s="2"/>
    </row>
    <row r="5" spans="1:17" s="1" customFormat="1" ht="15.75" x14ac:dyDescent="0.25">
      <c r="A5" s="95" t="s">
        <v>395</v>
      </c>
      <c r="B5" s="445"/>
      <c r="C5" s="2"/>
      <c r="D5" s="2"/>
      <c r="E5" s="2"/>
      <c r="F5" s="2"/>
      <c r="G5" s="2"/>
      <c r="H5" s="2"/>
      <c r="I5" s="2"/>
      <c r="J5" s="2"/>
      <c r="K5" s="2"/>
      <c r="L5" s="21"/>
      <c r="M5" s="21"/>
      <c r="N5" s="21"/>
      <c r="O5" s="21"/>
    </row>
    <row r="6" spans="1:17" s="1" customFormat="1" x14ac:dyDescent="0.2">
      <c r="A6" s="3"/>
      <c r="B6" s="91"/>
      <c r="C6" s="2"/>
      <c r="D6" s="2"/>
      <c r="E6" s="2"/>
      <c r="F6" s="2"/>
      <c r="G6" s="2"/>
      <c r="H6" s="2"/>
      <c r="I6" s="2"/>
      <c r="J6" s="2"/>
      <c r="K6" s="2"/>
      <c r="L6" s="2"/>
      <c r="M6" s="21"/>
      <c r="N6" s="21"/>
      <c r="O6" s="21"/>
    </row>
    <row r="7" spans="1:17" s="1" customFormat="1" x14ac:dyDescent="0.2">
      <c r="A7" s="3"/>
      <c r="B7" s="58"/>
      <c r="C7" s="2"/>
      <c r="D7" s="44">
        <v>2009</v>
      </c>
      <c r="E7" s="45">
        <v>2010</v>
      </c>
      <c r="F7" s="45">
        <v>2011</v>
      </c>
      <c r="G7" s="45">
        <f>G$1</f>
        <v>2012</v>
      </c>
      <c r="H7" s="45">
        <f>H$1</f>
        <v>2013</v>
      </c>
      <c r="I7" s="45">
        <f>I$1</f>
        <v>2014</v>
      </c>
      <c r="J7" s="46">
        <f>J$1</f>
        <v>2015</v>
      </c>
      <c r="K7" s="54"/>
      <c r="L7" s="2"/>
      <c r="M7" s="21"/>
      <c r="N7" s="21"/>
      <c r="O7" s="21"/>
    </row>
    <row r="8" spans="1:17" s="1" customFormat="1" x14ac:dyDescent="0.2">
      <c r="A8" s="41" t="s">
        <v>37</v>
      </c>
      <c r="B8" s="83"/>
      <c r="C8" s="33" t="s">
        <v>7</v>
      </c>
      <c r="D8" s="47" t="str">
        <f t="shared" ref="D8:J8" si="0">D$2</f>
        <v>Real 2008 $</v>
      </c>
      <c r="E8" s="48" t="str">
        <f t="shared" si="0"/>
        <v>Real 2008 $</v>
      </c>
      <c r="F8" s="48" t="str">
        <f t="shared" si="0"/>
        <v>Real 2008 $</v>
      </c>
      <c r="G8" s="48" t="str">
        <f t="shared" si="0"/>
        <v>Real 2008 $</v>
      </c>
      <c r="H8" s="48" t="str">
        <f t="shared" si="0"/>
        <v>Real 2008 $</v>
      </c>
      <c r="I8" s="48" t="str">
        <f t="shared" si="0"/>
        <v>Real 2008 $</v>
      </c>
      <c r="J8" s="49" t="str">
        <f t="shared" si="0"/>
        <v>Real 2008 $</v>
      </c>
      <c r="K8" s="108"/>
      <c r="L8" s="2"/>
      <c r="M8" s="21"/>
      <c r="N8" s="21"/>
      <c r="O8" s="21"/>
    </row>
    <row r="9" spans="1:17" s="1" customFormat="1" x14ac:dyDescent="0.2">
      <c r="A9" s="7"/>
      <c r="B9" s="84"/>
      <c r="C9" s="97" t="s">
        <v>8</v>
      </c>
      <c r="D9" s="50" t="str">
        <f t="shared" ref="D9:J9" si="1">D$3</f>
        <v>Actual</v>
      </c>
      <c r="E9" s="51" t="str">
        <f t="shared" si="1"/>
        <v>Actual</v>
      </c>
      <c r="F9" s="51" t="str">
        <f t="shared" si="1"/>
        <v>Actual</v>
      </c>
      <c r="G9" s="51" t="str">
        <f t="shared" si="1"/>
        <v>Actual</v>
      </c>
      <c r="H9" s="51" t="str">
        <f t="shared" si="1"/>
        <v>Actual</v>
      </c>
      <c r="I9" s="51" t="str">
        <f t="shared" si="1"/>
        <v>Forecast</v>
      </c>
      <c r="J9" s="720" t="str">
        <f t="shared" si="1"/>
        <v>Forecast</v>
      </c>
      <c r="K9" s="108"/>
      <c r="L9" s="2"/>
      <c r="M9" s="21"/>
      <c r="N9" s="21"/>
      <c r="O9" s="21"/>
    </row>
    <row r="10" spans="1:17" s="1" customFormat="1" x14ac:dyDescent="0.2">
      <c r="A10" s="83" t="s">
        <v>42</v>
      </c>
      <c r="B10" s="83"/>
      <c r="C10" s="104" t="str">
        <f>"Depreciated by end of  "&amp;'Data 2006-08'!$C$34&amp;""</f>
        <v>Depreciated by end of  2013</v>
      </c>
      <c r="D10" s="758">
        <f>'Data 2009-12'!D10/D$145</f>
        <v>4317419.4924881766</v>
      </c>
      <c r="E10" s="759">
        <f>'Data 2009-12'!E10/E$145</f>
        <v>3670054.1176541243</v>
      </c>
      <c r="F10" s="759">
        <f>'Data 2009-12'!F10/F$145</f>
        <v>1449889.2054472012</v>
      </c>
      <c r="G10" s="759">
        <f>'Data 2009-12'!G10/G$145</f>
        <v>839228.47869565233</v>
      </c>
      <c r="H10" s="759">
        <f>'DNSP Data Inputs 2013-15'!H10/$H$145</f>
        <v>81803.211291250249</v>
      </c>
      <c r="I10" s="759">
        <f>'DNSP Data Inputs 2013-15'!I10/$I$145</f>
        <v>0</v>
      </c>
      <c r="J10" s="760">
        <f>'DNSP Data Inputs 2013-15'!J10/$I$145</f>
        <v>0</v>
      </c>
      <c r="K10" s="117"/>
      <c r="L10" s="2"/>
      <c r="M10" s="21"/>
      <c r="N10" s="21"/>
      <c r="O10" s="21"/>
    </row>
    <row r="11" spans="1:17" s="1" customFormat="1" x14ac:dyDescent="0.2">
      <c r="A11" s="82" t="s">
        <v>267</v>
      </c>
      <c r="B11" s="83"/>
      <c r="C11" s="315" t="str">
        <f>"Depreciated by end of  "&amp;'Data 2006-08'!$C$34&amp;""</f>
        <v>Depreciated by end of  2013</v>
      </c>
      <c r="D11" s="758">
        <f>'Data 2009-12'!D11/D$145</f>
        <v>3952176.300273357</v>
      </c>
      <c r="E11" s="759">
        <f>'Data 2009-12'!E11/E$145</f>
        <v>4532070.0719376495</v>
      </c>
      <c r="F11" s="759">
        <f>'Data 2009-12'!F11/F$145</f>
        <v>696219.1775533756</v>
      </c>
      <c r="G11" s="759">
        <f>'Data 2009-12'!G11/G$145</f>
        <v>141545.17797101449</v>
      </c>
      <c r="H11" s="759">
        <f>'DNSP Data Inputs 2013-15'!H11/$H$145</f>
        <v>103663.9531701831</v>
      </c>
      <c r="I11" s="759">
        <f>'DNSP Data Inputs 2013-15'!I11/$I$145</f>
        <v>0</v>
      </c>
      <c r="J11" s="760">
        <f>'DNSP Data Inputs 2013-15'!J11/$I$145</f>
        <v>0</v>
      </c>
      <c r="K11" s="117"/>
      <c r="L11" s="2"/>
      <c r="M11" s="21"/>
      <c r="N11" s="21"/>
      <c r="O11" s="21"/>
    </row>
    <row r="12" spans="1:17" s="1" customFormat="1" x14ac:dyDescent="0.2">
      <c r="A12" s="317" t="str">
        <f>A$154</f>
        <v>Remotely read interval meters &amp; transformers</v>
      </c>
      <c r="B12" s="83"/>
      <c r="C12" s="315">
        <f>C154</f>
        <v>15</v>
      </c>
      <c r="D12" s="758">
        <f>'Data 2009-12'!D12/D$145</f>
        <v>2105917.0332972975</v>
      </c>
      <c r="E12" s="759">
        <f>'Data 2009-12'!E12/E$145</f>
        <v>62143968.916192174</v>
      </c>
      <c r="F12" s="759">
        <f>'Data 2009-12'!F12/F$145</f>
        <v>84980620.03732045</v>
      </c>
      <c r="G12" s="759">
        <f>'Data 2009-12'!G12/G$145</f>
        <v>86162321.694262564</v>
      </c>
      <c r="H12" s="759">
        <f>'DNSP Data Inputs 2013-15'!H12/$H$145</f>
        <v>63106264.726613119</v>
      </c>
      <c r="I12" s="759">
        <f>'DNSP Data Inputs 2013-15'!I12/$I$145</f>
        <v>6247090.3848163961</v>
      </c>
      <c r="J12" s="760">
        <f>'DNSP Data Inputs 2013-15'!J12/$I$145</f>
        <v>6224205.5387159772</v>
      </c>
      <c r="K12" s="19"/>
      <c r="L12" s="2"/>
      <c r="M12" s="21"/>
      <c r="N12" s="21"/>
      <c r="O12" s="21"/>
    </row>
    <row r="13" spans="1:17" s="1" customFormat="1" x14ac:dyDescent="0.2">
      <c r="A13" s="317" t="str">
        <f>A$155</f>
        <v>IT</v>
      </c>
      <c r="B13" s="83"/>
      <c r="C13" s="315">
        <f>C155</f>
        <v>7</v>
      </c>
      <c r="D13" s="758">
        <f>'Data 2009-12'!D13/D$145</f>
        <v>22906552.906162161</v>
      </c>
      <c r="E13" s="759">
        <f>'Data 2009-12'!E13/E$145</f>
        <v>19865495.39632266</v>
      </c>
      <c r="F13" s="759">
        <f>'Data 2009-12'!F13/F$145</f>
        <v>10372068.667339874</v>
      </c>
      <c r="G13" s="759">
        <f>'Data 2009-12'!G13/G$145</f>
        <v>8184250.4311594209</v>
      </c>
      <c r="H13" s="759">
        <f>'DNSP Data Inputs 2013-15'!H13/$H$145</f>
        <v>5535941.224674412</v>
      </c>
      <c r="I13" s="759">
        <f>'DNSP Data Inputs 2013-15'!I13/$I$145</f>
        <v>6166349.8576883422</v>
      </c>
      <c r="J13" s="760">
        <f>'DNSP Data Inputs 2013-15'!J13/$I$145</f>
        <v>4594699.8172959602</v>
      </c>
      <c r="K13" s="15"/>
      <c r="L13" s="2"/>
      <c r="M13" s="21"/>
      <c r="N13" s="21"/>
      <c r="O13" s="21"/>
    </row>
    <row r="14" spans="1:17" s="1" customFormat="1" x14ac:dyDescent="0.2">
      <c r="A14" s="317" t="str">
        <f>A$156</f>
        <v>Communications</v>
      </c>
      <c r="B14" s="86"/>
      <c r="C14" s="315">
        <f>C156</f>
        <v>7</v>
      </c>
      <c r="D14" s="758">
        <f>'Data 2009-12'!D14/D$145</f>
        <v>900873.81417417421</v>
      </c>
      <c r="E14" s="759">
        <f>'Data 2009-12'!E14/E$145</f>
        <v>3128865.1083511272</v>
      </c>
      <c r="F14" s="759">
        <f>'Data 2009-12'!F14/F$145</f>
        <v>14800781.096006922</v>
      </c>
      <c r="G14" s="759">
        <f>'Data 2009-12'!G14/G$145</f>
        <v>10192341.702945465</v>
      </c>
      <c r="H14" s="759">
        <f>'DNSP Data Inputs 2013-15'!H14/$H$145</f>
        <v>3566270.9641136019</v>
      </c>
      <c r="I14" s="759">
        <f>'DNSP Data Inputs 2013-15'!I14/$I$145</f>
        <v>1993455.3734855996</v>
      </c>
      <c r="J14" s="760">
        <f>'DNSP Data Inputs 2013-15'!J14/$I$145</f>
        <v>940886.73833913868</v>
      </c>
      <c r="K14" s="15"/>
      <c r="L14" s="2"/>
      <c r="M14" s="21"/>
      <c r="N14" s="21"/>
      <c r="O14" s="21"/>
    </row>
    <row r="15" spans="1:17" s="1" customFormat="1" x14ac:dyDescent="0.2">
      <c r="A15" s="317" t="str">
        <f>A$157</f>
        <v>Other</v>
      </c>
      <c r="B15" s="83"/>
      <c r="C15" s="105">
        <f>C157</f>
        <v>7</v>
      </c>
      <c r="D15" s="758">
        <f>'Data 2009-12'!D15/D$145</f>
        <v>502689.55837837834</v>
      </c>
      <c r="E15" s="759">
        <f>'Data 2009-12'!E15/E$145</f>
        <v>590426.42854092538</v>
      </c>
      <c r="F15" s="759">
        <f>'Data 2009-12'!F15/F$145</f>
        <v>319493.26631275244</v>
      </c>
      <c r="G15" s="759">
        <f>'Data 2009-12'!G15/G$145</f>
        <v>154465.95927536234</v>
      </c>
      <c r="H15" s="759">
        <f>'DNSP Data Inputs 2013-15'!H15/$H$145</f>
        <v>32701.787470744006</v>
      </c>
      <c r="I15" s="759">
        <f>'DNSP Data Inputs 2013-15'!I15/$I$145</f>
        <v>106793.71725331793</v>
      </c>
      <c r="J15" s="760">
        <f>'DNSP Data Inputs 2013-15'!J15/$I$145</f>
        <v>115134.63127524524</v>
      </c>
      <c r="K15" s="15"/>
      <c r="L15" s="2"/>
      <c r="M15" s="21"/>
      <c r="N15" s="21"/>
      <c r="O15" s="21"/>
    </row>
    <row r="16" spans="1:17" s="1" customFormat="1" ht="13.5" thickBot="1" x14ac:dyDescent="0.25">
      <c r="A16" s="86" t="s">
        <v>45</v>
      </c>
      <c r="B16" s="83"/>
      <c r="C16" s="2"/>
      <c r="D16" s="11">
        <f t="shared" ref="D16:J16" si="2">SUM(D10:D15)</f>
        <v>34685629.104773544</v>
      </c>
      <c r="E16" s="12">
        <f t="shared" si="2"/>
        <v>93930880.038998663</v>
      </c>
      <c r="F16" s="12">
        <f t="shared" si="2"/>
        <v>112619071.44998059</v>
      </c>
      <c r="G16" s="12">
        <f t="shared" si="2"/>
        <v>105674153.44430949</v>
      </c>
      <c r="H16" s="12">
        <f t="shared" si="2"/>
        <v>72426645.867333323</v>
      </c>
      <c r="I16" s="12">
        <f t="shared" si="2"/>
        <v>14513689.333243655</v>
      </c>
      <c r="J16" s="13">
        <f t="shared" si="2"/>
        <v>11874926.725626323</v>
      </c>
      <c r="K16" s="15"/>
      <c r="L16" s="2"/>
      <c r="M16" s="21"/>
      <c r="N16" s="21"/>
      <c r="O16" s="21"/>
    </row>
    <row r="17" spans="1:15" s="1" customFormat="1" ht="13.5" thickTop="1" x14ac:dyDescent="0.2">
      <c r="A17" s="14"/>
      <c r="B17" s="89"/>
      <c r="C17" s="2"/>
      <c r="D17" s="15"/>
      <c r="E17" s="15"/>
      <c r="F17" s="15"/>
      <c r="G17" s="15"/>
      <c r="H17" s="15"/>
      <c r="I17" s="15"/>
      <c r="J17" s="15"/>
      <c r="K17" s="15"/>
      <c r="L17" s="2"/>
      <c r="M17" s="21"/>
      <c r="N17" s="21"/>
      <c r="O17" s="21"/>
    </row>
    <row r="18" spans="1:15" s="1" customFormat="1" x14ac:dyDescent="0.2">
      <c r="A18" s="319"/>
      <c r="B18" s="431"/>
      <c r="C18" s="2"/>
      <c r="D18" s="15"/>
      <c r="E18" s="15"/>
      <c r="F18" s="15"/>
      <c r="G18" s="15"/>
      <c r="H18" s="15"/>
      <c r="I18" s="15"/>
      <c r="J18" s="15"/>
      <c r="K18" s="15"/>
      <c r="L18" s="2"/>
      <c r="M18" s="21"/>
      <c r="N18" s="21"/>
      <c r="O18" s="21"/>
    </row>
    <row r="19" spans="1:15" s="1" customFormat="1" x14ac:dyDescent="0.2">
      <c r="A19" s="319"/>
      <c r="B19" s="83"/>
      <c r="C19" s="2"/>
      <c r="D19" s="44">
        <v>2009</v>
      </c>
      <c r="E19" s="45">
        <v>2010</v>
      </c>
      <c r="F19" s="45">
        <v>2011</v>
      </c>
      <c r="G19" s="45">
        <f>G$1</f>
        <v>2012</v>
      </c>
      <c r="H19" s="45">
        <f>H$1</f>
        <v>2013</v>
      </c>
      <c r="I19" s="45">
        <f>I$1</f>
        <v>2014</v>
      </c>
      <c r="J19" s="46">
        <f>J$1</f>
        <v>2015</v>
      </c>
      <c r="K19" s="15"/>
      <c r="L19" s="2"/>
      <c r="M19" s="21"/>
      <c r="N19" s="21"/>
      <c r="O19" s="21"/>
    </row>
    <row r="20" spans="1:15" s="1" customFormat="1" x14ac:dyDescent="0.2">
      <c r="A20" s="319"/>
      <c r="B20" s="83"/>
      <c r="C20" s="307" t="s">
        <v>283</v>
      </c>
      <c r="D20" s="47" t="str">
        <f t="shared" ref="D20:J20" si="3">D$2</f>
        <v>Real 2008 $</v>
      </c>
      <c r="E20" s="48" t="str">
        <f t="shared" si="3"/>
        <v>Real 2008 $</v>
      </c>
      <c r="F20" s="48" t="str">
        <f t="shared" si="3"/>
        <v>Real 2008 $</v>
      </c>
      <c r="G20" s="48" t="str">
        <f t="shared" si="3"/>
        <v>Real 2008 $</v>
      </c>
      <c r="H20" s="48" t="str">
        <f t="shared" si="3"/>
        <v>Real 2008 $</v>
      </c>
      <c r="I20" s="48" t="str">
        <f t="shared" si="3"/>
        <v>Real 2008 $</v>
      </c>
      <c r="J20" s="49" t="str">
        <f t="shared" si="3"/>
        <v>Real 2008 $</v>
      </c>
      <c r="K20" s="15"/>
      <c r="L20" s="2"/>
      <c r="M20" s="21"/>
      <c r="N20" s="21"/>
      <c r="O20" s="21"/>
    </row>
    <row r="21" spans="1:15" s="1" customFormat="1" x14ac:dyDescent="0.2">
      <c r="A21" s="72" t="s">
        <v>47</v>
      </c>
      <c r="B21" s="89"/>
      <c r="C21" s="320" t="s">
        <v>48</v>
      </c>
      <c r="D21" s="50" t="str">
        <f t="shared" ref="D21:J21" si="4">D$3</f>
        <v>Actual</v>
      </c>
      <c r="E21" s="51" t="str">
        <f t="shared" si="4"/>
        <v>Actual</v>
      </c>
      <c r="F21" s="51" t="str">
        <f t="shared" si="4"/>
        <v>Actual</v>
      </c>
      <c r="G21" s="51" t="str">
        <f t="shared" si="4"/>
        <v>Actual</v>
      </c>
      <c r="H21" s="51" t="str">
        <f t="shared" si="4"/>
        <v>Actual</v>
      </c>
      <c r="I21" s="51" t="str">
        <f t="shared" si="4"/>
        <v>Forecast</v>
      </c>
      <c r="J21" s="720" t="str">
        <f t="shared" si="4"/>
        <v>Forecast</v>
      </c>
      <c r="K21" s="15"/>
      <c r="L21" s="2"/>
      <c r="M21" s="21"/>
      <c r="N21" s="21"/>
      <c r="O21" s="21"/>
    </row>
    <row r="22" spans="1:15" s="1" customFormat="1" x14ac:dyDescent="0.2">
      <c r="A22" s="82" t="str">
        <f>A$162</f>
        <v>Meters and transformers (Group 1) (Unit cost &lt; $1,000)</v>
      </c>
      <c r="B22" s="89"/>
      <c r="C22" s="321">
        <f>C162</f>
        <v>0.375</v>
      </c>
      <c r="D22" s="324">
        <f t="shared" ref="D22:J22" si="5">SUM(D10:D12)-D23</f>
        <v>10375512.826058831</v>
      </c>
      <c r="E22" s="19">
        <f t="shared" si="5"/>
        <v>70346093.105783954</v>
      </c>
      <c r="F22" s="19">
        <f t="shared" si="5"/>
        <v>87126728.420321032</v>
      </c>
      <c r="G22" s="19">
        <f t="shared" si="5"/>
        <v>87143095.35092923</v>
      </c>
      <c r="H22" s="19">
        <f t="shared" si="5"/>
        <v>63291731.891074553</v>
      </c>
      <c r="I22" s="19">
        <f t="shared" si="5"/>
        <v>6247090.3848163961</v>
      </c>
      <c r="J22" s="325">
        <f t="shared" si="5"/>
        <v>6224205.5387159772</v>
      </c>
      <c r="K22" s="15"/>
      <c r="L22" s="2"/>
      <c r="M22" s="21"/>
      <c r="N22" s="21"/>
      <c r="O22" s="21"/>
    </row>
    <row r="23" spans="1:15" s="1" customFormat="1" x14ac:dyDescent="0.2">
      <c r="A23" s="82" t="str">
        <f>A$163</f>
        <v>Meters and transformers (Group 2) (Unit cost =&gt; $1,000)</v>
      </c>
      <c r="B23" s="86"/>
      <c r="C23" s="322">
        <f>C163</f>
        <v>0.06</v>
      </c>
      <c r="D23" s="758">
        <f>'Data 2009-12'!D23/D$145</f>
        <v>0</v>
      </c>
      <c r="E23" s="759">
        <f>'Data 2009-12'!E23/E$145</f>
        <v>0</v>
      </c>
      <c r="F23" s="759">
        <f>'Data 2009-12'!F23/F$145</f>
        <v>0</v>
      </c>
      <c r="G23" s="759">
        <f>'Data 2009-12'!G23/G$145</f>
        <v>0</v>
      </c>
      <c r="H23" s="759">
        <f>'DNSP Data Inputs 2013-15'!H23/$H$145</f>
        <v>0</v>
      </c>
      <c r="I23" s="759">
        <f>'DNSP Data Inputs 2013-15'!I23/$I$145</f>
        <v>0</v>
      </c>
      <c r="J23" s="760">
        <f>'DNSP Data Inputs 2013-15'!J23/$I$145</f>
        <v>0</v>
      </c>
      <c r="K23" s="15"/>
      <c r="L23" s="2"/>
      <c r="M23" s="21"/>
      <c r="N23" s="21"/>
      <c r="O23" s="21"/>
    </row>
    <row r="24" spans="1:15" s="1" customFormat="1" x14ac:dyDescent="0.2">
      <c r="A24" s="82" t="str">
        <f>A$164</f>
        <v>IT</v>
      </c>
      <c r="B24" s="83"/>
      <c r="C24" s="322">
        <f>C164</f>
        <v>0.4</v>
      </c>
      <c r="D24" s="324">
        <f t="shared" ref="D24:F26" si="6">D13</f>
        <v>22906552.906162161</v>
      </c>
      <c r="E24" s="19">
        <f t="shared" si="6"/>
        <v>19865495.39632266</v>
      </c>
      <c r="F24" s="19">
        <f t="shared" si="6"/>
        <v>10372068.667339874</v>
      </c>
      <c r="G24" s="19">
        <f t="shared" ref="G24:J26" si="7">G13</f>
        <v>8184250.4311594209</v>
      </c>
      <c r="H24" s="19">
        <f t="shared" si="7"/>
        <v>5535941.224674412</v>
      </c>
      <c r="I24" s="19">
        <f t="shared" si="7"/>
        <v>6166349.8576883422</v>
      </c>
      <c r="J24" s="325">
        <f t="shared" si="7"/>
        <v>4594699.8172959602</v>
      </c>
      <c r="K24" s="15"/>
      <c r="L24" s="2"/>
      <c r="M24" s="21"/>
      <c r="N24" s="21"/>
      <c r="O24" s="21"/>
    </row>
    <row r="25" spans="1:15" s="1" customFormat="1" x14ac:dyDescent="0.2">
      <c r="A25" s="82" t="str">
        <f>A$165</f>
        <v>Communications</v>
      </c>
      <c r="B25" s="83"/>
      <c r="C25" s="322">
        <f>C165</f>
        <v>0.21428571428571427</v>
      </c>
      <c r="D25" s="324">
        <f t="shared" si="6"/>
        <v>900873.81417417421</v>
      </c>
      <c r="E25" s="19">
        <f t="shared" si="6"/>
        <v>3128865.1083511272</v>
      </c>
      <c r="F25" s="19">
        <f t="shared" si="6"/>
        <v>14800781.096006922</v>
      </c>
      <c r="G25" s="19">
        <f t="shared" si="7"/>
        <v>10192341.702945465</v>
      </c>
      <c r="H25" s="19">
        <f t="shared" si="7"/>
        <v>3566270.9641136019</v>
      </c>
      <c r="I25" s="19">
        <f t="shared" si="7"/>
        <v>1993455.3734855996</v>
      </c>
      <c r="J25" s="325">
        <f t="shared" si="7"/>
        <v>940886.73833913868</v>
      </c>
      <c r="K25" s="15"/>
      <c r="L25" s="2"/>
      <c r="M25" s="21"/>
      <c r="N25" s="21"/>
      <c r="O25" s="21"/>
    </row>
    <row r="26" spans="1:15" s="1" customFormat="1" x14ac:dyDescent="0.2">
      <c r="A26" s="85" t="str">
        <f>A$166</f>
        <v>Other</v>
      </c>
      <c r="B26" s="83"/>
      <c r="C26" s="323">
        <f>C166</f>
        <v>0.1764705882352941</v>
      </c>
      <c r="D26" s="324">
        <f t="shared" si="6"/>
        <v>502689.55837837834</v>
      </c>
      <c r="E26" s="19">
        <f t="shared" si="6"/>
        <v>590426.42854092538</v>
      </c>
      <c r="F26" s="19">
        <f t="shared" si="6"/>
        <v>319493.26631275244</v>
      </c>
      <c r="G26" s="19">
        <f t="shared" si="7"/>
        <v>154465.95927536234</v>
      </c>
      <c r="H26" s="19">
        <f t="shared" si="7"/>
        <v>32701.787470744006</v>
      </c>
      <c r="I26" s="19">
        <f t="shared" si="7"/>
        <v>106793.71725331793</v>
      </c>
      <c r="J26" s="325">
        <f t="shared" si="7"/>
        <v>115134.63127524524</v>
      </c>
      <c r="K26" s="15"/>
      <c r="L26" s="2"/>
      <c r="M26" s="21"/>
      <c r="N26" s="21"/>
      <c r="O26" s="21"/>
    </row>
    <row r="27" spans="1:15" s="1" customFormat="1" ht="13.5" thickBot="1" x14ac:dyDescent="0.25">
      <c r="A27" s="86" t="s">
        <v>45</v>
      </c>
      <c r="B27" s="58"/>
      <c r="C27" s="2"/>
      <c r="D27" s="11">
        <f t="shared" ref="D27:J27" si="8">SUM(D21:D26)</f>
        <v>34685629.104773544</v>
      </c>
      <c r="E27" s="12">
        <f t="shared" si="8"/>
        <v>93930880.038998663</v>
      </c>
      <c r="F27" s="12">
        <f t="shared" si="8"/>
        <v>112619071.44998059</v>
      </c>
      <c r="G27" s="12">
        <f t="shared" si="8"/>
        <v>105674153.44430949</v>
      </c>
      <c r="H27" s="12">
        <f t="shared" si="8"/>
        <v>72426645.867333323</v>
      </c>
      <c r="I27" s="12">
        <f t="shared" si="8"/>
        <v>14513689.333243655</v>
      </c>
      <c r="J27" s="13">
        <f t="shared" si="8"/>
        <v>11874926.725626323</v>
      </c>
      <c r="K27" s="15"/>
      <c r="L27" s="2"/>
      <c r="M27" s="21"/>
      <c r="N27" s="21"/>
      <c r="O27" s="21"/>
    </row>
    <row r="28" spans="1:15" s="1" customFormat="1" ht="13.5" thickTop="1" x14ac:dyDescent="0.2">
      <c r="A28" s="14"/>
      <c r="B28" s="83"/>
      <c r="C28" s="2"/>
      <c r="D28" s="15"/>
      <c r="E28" s="15"/>
      <c r="F28" s="15"/>
      <c r="G28" s="15"/>
      <c r="H28" s="15"/>
      <c r="I28" s="15"/>
      <c r="J28" s="15"/>
      <c r="K28" s="15"/>
      <c r="L28" s="2"/>
      <c r="M28" s="21"/>
      <c r="N28" s="21"/>
      <c r="O28" s="21"/>
    </row>
    <row r="29" spans="1:15" s="1" customFormat="1" x14ac:dyDescent="0.2">
      <c r="A29" s="14"/>
      <c r="B29" s="83"/>
      <c r="C29" s="2"/>
      <c r="D29" s="15"/>
      <c r="E29" s="15"/>
      <c r="F29" s="15"/>
      <c r="G29" s="15"/>
      <c r="H29" s="15"/>
      <c r="I29" s="15"/>
      <c r="J29" s="15"/>
      <c r="K29" s="15"/>
      <c r="L29" s="2"/>
      <c r="M29" s="21"/>
      <c r="N29" s="21"/>
      <c r="O29" s="21"/>
    </row>
    <row r="30" spans="1:15" s="1" customFormat="1" x14ac:dyDescent="0.2">
      <c r="A30" s="14"/>
      <c r="B30" s="83"/>
      <c r="C30" s="2"/>
      <c r="D30" s="4">
        <v>2009</v>
      </c>
      <c r="E30" s="5">
        <v>2010</v>
      </c>
      <c r="F30" s="5">
        <v>2011</v>
      </c>
      <c r="G30" s="45">
        <f>G$1</f>
        <v>2012</v>
      </c>
      <c r="H30" s="45">
        <f>H$1</f>
        <v>2013</v>
      </c>
      <c r="I30" s="45">
        <f>I$1</f>
        <v>2014</v>
      </c>
      <c r="J30" s="46">
        <f>J$1</f>
        <v>2015</v>
      </c>
      <c r="K30" s="54"/>
      <c r="L30" s="2"/>
      <c r="M30" s="21"/>
      <c r="N30" s="21"/>
      <c r="O30" s="21"/>
    </row>
    <row r="31" spans="1:15" x14ac:dyDescent="0.2">
      <c r="A31" s="41" t="s">
        <v>3</v>
      </c>
      <c r="C31" s="2"/>
      <c r="D31" s="47" t="str">
        <f t="shared" ref="D31:J31" si="9">D$2</f>
        <v>Real 2008 $</v>
      </c>
      <c r="E31" s="48" t="str">
        <f t="shared" si="9"/>
        <v>Real 2008 $</v>
      </c>
      <c r="F31" s="48" t="str">
        <f t="shared" si="9"/>
        <v>Real 2008 $</v>
      </c>
      <c r="G31" s="48" t="str">
        <f t="shared" si="9"/>
        <v>Real 2008 $</v>
      </c>
      <c r="H31" s="48" t="str">
        <f t="shared" si="9"/>
        <v>Real 2008 $</v>
      </c>
      <c r="I31" s="48" t="str">
        <f t="shared" si="9"/>
        <v>Real 2008 $</v>
      </c>
      <c r="J31" s="49" t="str">
        <f t="shared" si="9"/>
        <v>Real 2008 $</v>
      </c>
      <c r="K31" s="108"/>
      <c r="L31" s="2"/>
      <c r="M31" s="21"/>
      <c r="N31" s="21"/>
      <c r="O31" s="21"/>
    </row>
    <row r="32" spans="1:15" x14ac:dyDescent="0.2">
      <c r="A32" s="22"/>
      <c r="B32" s="53"/>
      <c r="C32" s="20"/>
      <c r="D32" s="50" t="str">
        <f t="shared" ref="D32:J32" si="10">D$3</f>
        <v>Actual</v>
      </c>
      <c r="E32" s="51" t="str">
        <f t="shared" si="10"/>
        <v>Actual</v>
      </c>
      <c r="F32" s="51" t="str">
        <f t="shared" si="10"/>
        <v>Actual</v>
      </c>
      <c r="G32" s="51" t="str">
        <f t="shared" si="10"/>
        <v>Actual</v>
      </c>
      <c r="H32" s="51" t="str">
        <f t="shared" si="10"/>
        <v>Actual</v>
      </c>
      <c r="I32" s="51" t="str">
        <f t="shared" si="10"/>
        <v>Forecast</v>
      </c>
      <c r="J32" s="720" t="str">
        <f t="shared" si="10"/>
        <v>Forecast</v>
      </c>
      <c r="K32" s="108"/>
      <c r="M32" s="21"/>
      <c r="N32" s="21"/>
      <c r="O32" s="21"/>
    </row>
    <row r="33" spans="1:15" x14ac:dyDescent="0.2">
      <c r="A33" s="38" t="s">
        <v>4</v>
      </c>
      <c r="C33" s="20"/>
      <c r="D33" s="35"/>
      <c r="E33" s="36"/>
      <c r="F33" s="36"/>
      <c r="G33" s="36"/>
      <c r="H33" s="36"/>
      <c r="I33" s="36"/>
      <c r="J33" s="37"/>
      <c r="K33" s="36"/>
      <c r="M33" s="21"/>
      <c r="N33" s="21"/>
      <c r="O33" s="21"/>
    </row>
    <row r="34" spans="1:15" x14ac:dyDescent="0.2">
      <c r="A34" s="83" t="str">
        <f t="shared" ref="A34:A39" si="11">A10</f>
        <v>Accumulation Meters</v>
      </c>
      <c r="C34" s="20"/>
      <c r="D34" s="763">
        <f>'Data 2009-12'!D34/D$145</f>
        <v>0</v>
      </c>
      <c r="E34" s="764">
        <f>'Data 2009-12'!E34/E$145</f>
        <v>0</v>
      </c>
      <c r="F34" s="764">
        <f>'Data 2009-12'!F34/F$145</f>
        <v>0</v>
      </c>
      <c r="G34" s="764">
        <f>'Data 2009-12'!G34/G$145</f>
        <v>0</v>
      </c>
      <c r="H34" s="759">
        <f>'DNSP Data Inputs 2013-15'!H34/$H$145</f>
        <v>0</v>
      </c>
      <c r="I34" s="759">
        <f>'DNSP Data Inputs 2013-15'!I34/$I$145</f>
        <v>0</v>
      </c>
      <c r="J34" s="760">
        <f>'DNSP Data Inputs 2013-15'!J34/$I$145</f>
        <v>0</v>
      </c>
      <c r="K34" s="36"/>
      <c r="M34" s="21"/>
      <c r="N34" s="21"/>
      <c r="O34" s="21"/>
    </row>
    <row r="35" spans="1:15" x14ac:dyDescent="0.2">
      <c r="A35" s="83" t="str">
        <f t="shared" si="11"/>
        <v>Manually read interval meters</v>
      </c>
      <c r="C35" s="20"/>
      <c r="D35" s="763">
        <f>'Data 2009-12'!D35/D$145</f>
        <v>0</v>
      </c>
      <c r="E35" s="764">
        <f>'Data 2009-12'!E35/E$145</f>
        <v>0</v>
      </c>
      <c r="F35" s="764">
        <f>'Data 2009-12'!F35/F$145</f>
        <v>0</v>
      </c>
      <c r="G35" s="764">
        <f>'Data 2009-12'!G35/G$145</f>
        <v>0</v>
      </c>
      <c r="H35" s="759">
        <f>'DNSP Data Inputs 2013-15'!H35/$H$145</f>
        <v>0</v>
      </c>
      <c r="I35" s="759">
        <f>'DNSP Data Inputs 2013-15'!I35/$I$145</f>
        <v>0</v>
      </c>
      <c r="J35" s="760">
        <f>'DNSP Data Inputs 2013-15'!J35/$I$145</f>
        <v>0</v>
      </c>
      <c r="K35" s="36"/>
      <c r="M35" s="21"/>
      <c r="N35" s="21"/>
      <c r="O35" s="21"/>
    </row>
    <row r="36" spans="1:15" x14ac:dyDescent="0.2">
      <c r="A36" s="83" t="str">
        <f t="shared" si="11"/>
        <v>Remotely read interval meters &amp; transformers</v>
      </c>
      <c r="C36" s="20"/>
      <c r="D36" s="763">
        <f>'Data 2009-12'!D36/D$145</f>
        <v>0</v>
      </c>
      <c r="E36" s="764">
        <f>'Data 2009-12'!E36/E$145</f>
        <v>0</v>
      </c>
      <c r="F36" s="764">
        <f>'Data 2009-12'!F36/F$145</f>
        <v>0</v>
      </c>
      <c r="G36" s="764">
        <f>'Data 2009-12'!G36/G$145</f>
        <v>0</v>
      </c>
      <c r="H36" s="759">
        <f>'DNSP Data Inputs 2013-15'!H36/$H$145</f>
        <v>0</v>
      </c>
      <c r="I36" s="759">
        <f>'DNSP Data Inputs 2013-15'!I36/$I$145</f>
        <v>0</v>
      </c>
      <c r="J36" s="760">
        <f>'DNSP Data Inputs 2013-15'!J36/$I$145</f>
        <v>0</v>
      </c>
      <c r="K36" s="36"/>
      <c r="M36" s="21"/>
      <c r="N36" s="21"/>
      <c r="O36" s="21"/>
    </row>
    <row r="37" spans="1:15" x14ac:dyDescent="0.2">
      <c r="A37" s="83" t="str">
        <f t="shared" si="11"/>
        <v>IT</v>
      </c>
      <c r="C37" s="20"/>
      <c r="D37" s="763">
        <f>'Data 2009-12'!D37/D$145</f>
        <v>0</v>
      </c>
      <c r="E37" s="764">
        <f>'Data 2009-12'!E37/E$145</f>
        <v>0</v>
      </c>
      <c r="F37" s="764">
        <f>'Data 2009-12'!F37/F$145</f>
        <v>0</v>
      </c>
      <c r="G37" s="764">
        <f>'Data 2009-12'!G37/G$145</f>
        <v>0</v>
      </c>
      <c r="H37" s="759">
        <f>'DNSP Data Inputs 2013-15'!H37/$H$145</f>
        <v>0</v>
      </c>
      <c r="I37" s="759">
        <f>'DNSP Data Inputs 2013-15'!I37/$I$145</f>
        <v>0</v>
      </c>
      <c r="J37" s="760">
        <f>'DNSP Data Inputs 2013-15'!J37/$I$145</f>
        <v>0</v>
      </c>
      <c r="K37" s="36"/>
      <c r="M37" s="21"/>
      <c r="N37" s="21"/>
      <c r="O37" s="21"/>
    </row>
    <row r="38" spans="1:15" x14ac:dyDescent="0.2">
      <c r="A38" s="83" t="str">
        <f t="shared" si="11"/>
        <v>Communications</v>
      </c>
      <c r="B38" s="446"/>
      <c r="C38" s="20"/>
      <c r="D38" s="763">
        <f>'Data 2009-12'!D38/D$145</f>
        <v>0</v>
      </c>
      <c r="E38" s="764">
        <f>'Data 2009-12'!E38/E$145</f>
        <v>0</v>
      </c>
      <c r="F38" s="764">
        <f>'Data 2009-12'!F38/F$145</f>
        <v>0</v>
      </c>
      <c r="G38" s="764">
        <f>'Data 2009-12'!G38/G$145</f>
        <v>0</v>
      </c>
      <c r="H38" s="759">
        <f>'DNSP Data Inputs 2013-15'!H38/$H$145</f>
        <v>0</v>
      </c>
      <c r="I38" s="759">
        <f>'DNSP Data Inputs 2013-15'!I38/$I$145</f>
        <v>0</v>
      </c>
      <c r="J38" s="760">
        <f>'DNSP Data Inputs 2013-15'!J38/$I$145</f>
        <v>0</v>
      </c>
      <c r="K38" s="36"/>
      <c r="M38" s="21"/>
      <c r="N38" s="21"/>
      <c r="O38" s="21"/>
    </row>
    <row r="39" spans="1:15" x14ac:dyDescent="0.2">
      <c r="A39" s="83" t="str">
        <f t="shared" si="11"/>
        <v>Other</v>
      </c>
      <c r="B39" s="447"/>
      <c r="C39" s="20"/>
      <c r="D39" s="763">
        <f>'Data 2009-12'!D39/D$145</f>
        <v>0</v>
      </c>
      <c r="E39" s="764">
        <f>'Data 2009-12'!E39/E$145</f>
        <v>0</v>
      </c>
      <c r="F39" s="764">
        <f>'Data 2009-12'!F39/F$145</f>
        <v>0</v>
      </c>
      <c r="G39" s="764">
        <f>'Data 2009-12'!G39/G$145</f>
        <v>0</v>
      </c>
      <c r="H39" s="759">
        <f>'DNSP Data Inputs 2013-15'!H39/$H$145</f>
        <v>0</v>
      </c>
      <c r="I39" s="759">
        <f>'DNSP Data Inputs 2013-15'!I39/$I$145</f>
        <v>0</v>
      </c>
      <c r="J39" s="760">
        <f>'DNSP Data Inputs 2013-15'!J39/$I$145</f>
        <v>0</v>
      </c>
      <c r="K39" s="36"/>
      <c r="M39" s="21"/>
      <c r="N39" s="21"/>
      <c r="O39" s="21"/>
    </row>
    <row r="40" spans="1:15" ht="13.5" thickBot="1" x14ac:dyDescent="0.25">
      <c r="A40" s="22"/>
      <c r="C40" s="20"/>
      <c r="D40" s="326">
        <f t="shared" ref="D40:J40" si="12">SUM(D34:D39)</f>
        <v>0</v>
      </c>
      <c r="E40" s="90">
        <f t="shared" ref="E40" si="13">SUM(E34:E39)</f>
        <v>0</v>
      </c>
      <c r="F40" s="90">
        <f t="shared" si="12"/>
        <v>0</v>
      </c>
      <c r="G40" s="90">
        <f t="shared" ref="G40" si="14">SUM(G34:G39)</f>
        <v>0</v>
      </c>
      <c r="H40" s="90">
        <f t="shared" si="12"/>
        <v>0</v>
      </c>
      <c r="I40" s="90">
        <f t="shared" si="12"/>
        <v>0</v>
      </c>
      <c r="J40" s="327">
        <f t="shared" si="12"/>
        <v>0</v>
      </c>
      <c r="K40" s="36"/>
      <c r="M40" s="21"/>
      <c r="N40" s="21"/>
      <c r="O40" s="21"/>
    </row>
    <row r="41" spans="1:15" ht="13.5" thickTop="1" x14ac:dyDescent="0.2">
      <c r="A41" s="22"/>
      <c r="C41" s="20"/>
      <c r="D41" s="328"/>
      <c r="E41" s="92"/>
      <c r="F41" s="92"/>
      <c r="G41" s="92"/>
      <c r="H41" s="92"/>
      <c r="I41" s="92"/>
      <c r="J41" s="329"/>
      <c r="K41" s="36"/>
      <c r="M41" s="21"/>
      <c r="N41" s="21"/>
      <c r="O41" s="21"/>
    </row>
    <row r="42" spans="1:15" x14ac:dyDescent="0.2">
      <c r="A42" s="38" t="s">
        <v>5</v>
      </c>
      <c r="C42" s="20"/>
      <c r="D42" s="23"/>
      <c r="E42" s="20"/>
      <c r="F42" s="20"/>
      <c r="G42" s="20"/>
      <c r="H42" s="20"/>
      <c r="I42" s="20"/>
      <c r="J42" s="721"/>
      <c r="K42" s="2"/>
      <c r="M42" s="2"/>
      <c r="N42" s="2"/>
      <c r="O42" s="2"/>
    </row>
    <row r="43" spans="1:15" x14ac:dyDescent="0.2">
      <c r="A43" s="83" t="str">
        <f t="shared" ref="A43:A48" si="15">A10</f>
        <v>Accumulation Meters</v>
      </c>
      <c r="C43" s="20"/>
      <c r="D43" s="763">
        <f>'Data 2009-12'!D43/D$145</f>
        <v>0</v>
      </c>
      <c r="E43" s="764">
        <f>'Data 2009-12'!E43/E$145</f>
        <v>0</v>
      </c>
      <c r="F43" s="764">
        <f>'Data 2009-12'!F43/F$145</f>
        <v>0</v>
      </c>
      <c r="G43" s="764">
        <f>'Data 2009-12'!G43/G$145</f>
        <v>0</v>
      </c>
      <c r="H43" s="759">
        <f>'DNSP Data Inputs 2013-15'!H43/$H$145</f>
        <v>0</v>
      </c>
      <c r="I43" s="759">
        <f>'DNSP Data Inputs 2013-15'!I43/$I$145</f>
        <v>0</v>
      </c>
      <c r="J43" s="760">
        <f>'DNSP Data Inputs 2013-15'!J43/$I$145</f>
        <v>0</v>
      </c>
      <c r="K43" s="36"/>
      <c r="M43" s="2"/>
      <c r="N43" s="2"/>
      <c r="O43" s="2"/>
    </row>
    <row r="44" spans="1:15" x14ac:dyDescent="0.2">
      <c r="A44" s="83" t="str">
        <f t="shared" si="15"/>
        <v>Manually read interval meters</v>
      </c>
      <c r="B44" s="447"/>
      <c r="C44" s="20"/>
      <c r="D44" s="763">
        <f>'Data 2009-12'!D44/D$145</f>
        <v>0</v>
      </c>
      <c r="E44" s="764">
        <f>'Data 2009-12'!E44/E$145</f>
        <v>0</v>
      </c>
      <c r="F44" s="764">
        <f>'Data 2009-12'!F44/F$145</f>
        <v>0</v>
      </c>
      <c r="G44" s="764">
        <f>'Data 2009-12'!G44/G$145</f>
        <v>0</v>
      </c>
      <c r="H44" s="759">
        <f>'DNSP Data Inputs 2013-15'!H44/$H$145</f>
        <v>0</v>
      </c>
      <c r="I44" s="759">
        <f>'DNSP Data Inputs 2013-15'!I44/$I$145</f>
        <v>0</v>
      </c>
      <c r="J44" s="760">
        <f>'DNSP Data Inputs 2013-15'!J44/$I$145</f>
        <v>0</v>
      </c>
      <c r="K44" s="36"/>
      <c r="M44" s="2"/>
      <c r="N44" s="2"/>
      <c r="O44" s="2"/>
    </row>
    <row r="45" spans="1:15" x14ac:dyDescent="0.2">
      <c r="A45" s="83" t="str">
        <f t="shared" si="15"/>
        <v>Remotely read interval meters &amp; transformers</v>
      </c>
      <c r="C45" s="20"/>
      <c r="D45" s="763">
        <f>'Data 2009-12'!D45/D$145</f>
        <v>0</v>
      </c>
      <c r="E45" s="764">
        <f>'Data 2009-12'!E45/E$145</f>
        <v>0</v>
      </c>
      <c r="F45" s="764">
        <f>'Data 2009-12'!F45/F$145</f>
        <v>0</v>
      </c>
      <c r="G45" s="764">
        <f>'Data 2009-12'!G45/G$145</f>
        <v>0</v>
      </c>
      <c r="H45" s="759">
        <f>'DNSP Data Inputs 2013-15'!H45/$H$145</f>
        <v>0</v>
      </c>
      <c r="I45" s="759">
        <f>'DNSP Data Inputs 2013-15'!I45/$I$145</f>
        <v>0</v>
      </c>
      <c r="J45" s="760">
        <f>'DNSP Data Inputs 2013-15'!J45/$I$145</f>
        <v>0</v>
      </c>
      <c r="K45" s="36"/>
      <c r="M45" s="2"/>
      <c r="N45" s="2"/>
      <c r="O45" s="2"/>
    </row>
    <row r="46" spans="1:15" x14ac:dyDescent="0.2">
      <c r="A46" s="83" t="str">
        <f t="shared" si="15"/>
        <v>IT</v>
      </c>
      <c r="C46" s="20"/>
      <c r="D46" s="763">
        <f>'Data 2009-12'!D46/D$145</f>
        <v>0</v>
      </c>
      <c r="E46" s="764">
        <f>'Data 2009-12'!E46/E$145</f>
        <v>0</v>
      </c>
      <c r="F46" s="764">
        <f>'Data 2009-12'!F46/F$145</f>
        <v>0</v>
      </c>
      <c r="G46" s="764">
        <f>'Data 2009-12'!G46/G$145</f>
        <v>0</v>
      </c>
      <c r="H46" s="759">
        <f>'DNSP Data Inputs 2013-15'!H46/$H$145</f>
        <v>0</v>
      </c>
      <c r="I46" s="759">
        <f>'DNSP Data Inputs 2013-15'!I46/$I$145</f>
        <v>0</v>
      </c>
      <c r="J46" s="760">
        <f>'DNSP Data Inputs 2013-15'!J46/$I$145</f>
        <v>0</v>
      </c>
      <c r="K46" s="36"/>
      <c r="M46" s="2"/>
      <c r="N46" s="2"/>
      <c r="O46" s="2"/>
    </row>
    <row r="47" spans="1:15" x14ac:dyDescent="0.2">
      <c r="A47" s="83" t="str">
        <f t="shared" si="15"/>
        <v>Communications</v>
      </c>
      <c r="B47" s="89"/>
      <c r="C47" s="20"/>
      <c r="D47" s="763">
        <f>'Data 2009-12'!D47/D$145</f>
        <v>0</v>
      </c>
      <c r="E47" s="764">
        <f>'Data 2009-12'!E47/E$145</f>
        <v>0</v>
      </c>
      <c r="F47" s="764">
        <f>'Data 2009-12'!F47/F$145</f>
        <v>0</v>
      </c>
      <c r="G47" s="764">
        <f>'Data 2009-12'!G47/G$145</f>
        <v>0</v>
      </c>
      <c r="H47" s="759">
        <f>'DNSP Data Inputs 2013-15'!H47/$H$145</f>
        <v>0</v>
      </c>
      <c r="I47" s="759">
        <f>'DNSP Data Inputs 2013-15'!I47/$I$145</f>
        <v>0</v>
      </c>
      <c r="J47" s="760">
        <f>'DNSP Data Inputs 2013-15'!J47/$I$145</f>
        <v>0</v>
      </c>
      <c r="K47" s="36"/>
      <c r="M47" s="2"/>
      <c r="N47" s="2"/>
      <c r="O47" s="2"/>
    </row>
    <row r="48" spans="1:15" x14ac:dyDescent="0.2">
      <c r="A48" s="83" t="str">
        <f t="shared" si="15"/>
        <v>Other</v>
      </c>
      <c r="C48" s="20"/>
      <c r="D48" s="763">
        <f>'Data 2009-12'!D48/D$145</f>
        <v>0</v>
      </c>
      <c r="E48" s="764">
        <f>'Data 2009-12'!E48/E$145</f>
        <v>0</v>
      </c>
      <c r="F48" s="764">
        <f>'Data 2009-12'!F48/F$145</f>
        <v>0</v>
      </c>
      <c r="G48" s="764">
        <f>'Data 2009-12'!G48/G$145</f>
        <v>0</v>
      </c>
      <c r="H48" s="759">
        <f>'DNSP Data Inputs 2013-15'!H48/$H$145</f>
        <v>0</v>
      </c>
      <c r="I48" s="759">
        <f>'DNSP Data Inputs 2013-15'!I48/$I$145</f>
        <v>0</v>
      </c>
      <c r="J48" s="760">
        <f>'DNSP Data Inputs 2013-15'!J48/$I$145</f>
        <v>0</v>
      </c>
      <c r="K48" s="36"/>
      <c r="M48" s="2"/>
      <c r="N48" s="2"/>
      <c r="O48" s="2"/>
    </row>
    <row r="49" spans="1:15" s="1" customFormat="1" ht="13.5" thickBot="1" x14ac:dyDescent="0.25">
      <c r="A49" s="14"/>
      <c r="B49" s="89"/>
      <c r="C49" s="2"/>
      <c r="D49" s="326">
        <f t="shared" ref="D49:J49" si="16">SUM(D43:D48)</f>
        <v>0</v>
      </c>
      <c r="E49" s="90">
        <f t="shared" si="16"/>
        <v>0</v>
      </c>
      <c r="F49" s="90">
        <f t="shared" si="16"/>
        <v>0</v>
      </c>
      <c r="G49" s="90">
        <f t="shared" si="16"/>
        <v>0</v>
      </c>
      <c r="H49" s="90">
        <f t="shared" si="16"/>
        <v>0</v>
      </c>
      <c r="I49" s="90">
        <f t="shared" si="16"/>
        <v>0</v>
      </c>
      <c r="J49" s="327">
        <f t="shared" si="16"/>
        <v>0</v>
      </c>
      <c r="K49" s="15"/>
      <c r="L49" s="2"/>
      <c r="M49" s="21"/>
      <c r="N49" s="21"/>
      <c r="O49" s="21"/>
    </row>
    <row r="50" spans="1:15" s="1" customFormat="1" ht="13.5" thickTop="1" x14ac:dyDescent="0.2">
      <c r="A50" s="14"/>
      <c r="B50" s="89"/>
      <c r="C50" s="2"/>
      <c r="D50" s="15"/>
      <c r="E50" s="15"/>
      <c r="F50" s="15"/>
      <c r="G50" s="15"/>
      <c r="H50" s="15"/>
      <c r="I50" s="15"/>
      <c r="J50" s="15"/>
      <c r="K50" s="15"/>
      <c r="L50" s="2"/>
      <c r="M50" s="21"/>
      <c r="N50" s="21"/>
      <c r="O50" s="21"/>
    </row>
    <row r="51" spans="1:15" s="1" customFormat="1" x14ac:dyDescent="0.2">
      <c r="A51" s="14"/>
      <c r="B51" s="83"/>
      <c r="C51" s="2"/>
      <c r="D51" s="15"/>
      <c r="E51" s="15"/>
      <c r="F51" s="15"/>
      <c r="G51" s="15"/>
      <c r="H51" s="15"/>
      <c r="I51" s="15"/>
      <c r="J51" s="15"/>
      <c r="K51" s="15"/>
      <c r="L51" s="2"/>
      <c r="M51" s="21"/>
      <c r="N51" s="21"/>
      <c r="O51" s="21"/>
    </row>
    <row r="52" spans="1:15" s="1" customFormat="1" x14ac:dyDescent="0.2">
      <c r="A52" s="3"/>
      <c r="B52" s="83"/>
      <c r="C52" s="2"/>
      <c r="D52" s="4">
        <v>2009</v>
      </c>
      <c r="E52" s="5">
        <v>2010</v>
      </c>
      <c r="F52" s="5">
        <v>2011</v>
      </c>
      <c r="G52" s="45">
        <f>G$1</f>
        <v>2012</v>
      </c>
      <c r="H52" s="45">
        <f>H$1</f>
        <v>2013</v>
      </c>
      <c r="I52" s="45">
        <f>I$1</f>
        <v>2014</v>
      </c>
      <c r="J52" s="46">
        <f>J$1</f>
        <v>2015</v>
      </c>
      <c r="K52" s="54"/>
      <c r="L52" s="2"/>
      <c r="M52" s="21"/>
      <c r="N52" s="21"/>
      <c r="O52" s="21"/>
    </row>
    <row r="53" spans="1:15" s="1" customFormat="1" x14ac:dyDescent="0.2">
      <c r="A53" s="41" t="s">
        <v>1</v>
      </c>
      <c r="B53" s="448"/>
      <c r="C53" s="2"/>
      <c r="D53" s="47" t="str">
        <f t="shared" ref="D53:J53" si="17">D$2</f>
        <v>Real 2008 $</v>
      </c>
      <c r="E53" s="48" t="str">
        <f t="shared" si="17"/>
        <v>Real 2008 $</v>
      </c>
      <c r="F53" s="48" t="str">
        <f t="shared" si="17"/>
        <v>Real 2008 $</v>
      </c>
      <c r="G53" s="48" t="str">
        <f t="shared" si="17"/>
        <v>Real 2008 $</v>
      </c>
      <c r="H53" s="48" t="str">
        <f t="shared" si="17"/>
        <v>Real 2008 $</v>
      </c>
      <c r="I53" s="48" t="str">
        <f t="shared" si="17"/>
        <v>Real 2008 $</v>
      </c>
      <c r="J53" s="49" t="str">
        <f t="shared" si="17"/>
        <v>Real 2008 $</v>
      </c>
      <c r="K53" s="108"/>
      <c r="L53" s="2"/>
      <c r="M53" s="21"/>
      <c r="N53" s="21"/>
      <c r="O53" s="21"/>
    </row>
    <row r="54" spans="1:15" s="1" customFormat="1" x14ac:dyDescent="0.2">
      <c r="A54" s="3"/>
      <c r="B54" s="89"/>
      <c r="C54" s="2"/>
      <c r="D54" s="50" t="str">
        <f t="shared" ref="D54:J54" si="18">D$3</f>
        <v>Actual</v>
      </c>
      <c r="E54" s="51" t="str">
        <f t="shared" si="18"/>
        <v>Actual</v>
      </c>
      <c r="F54" s="51" t="str">
        <f t="shared" si="18"/>
        <v>Actual</v>
      </c>
      <c r="G54" s="51" t="str">
        <f t="shared" si="18"/>
        <v>Actual</v>
      </c>
      <c r="H54" s="51" t="str">
        <f t="shared" si="18"/>
        <v>Actual</v>
      </c>
      <c r="I54" s="51" t="str">
        <f t="shared" si="18"/>
        <v>Forecast</v>
      </c>
      <c r="J54" s="720" t="str">
        <f t="shared" si="18"/>
        <v>Forecast</v>
      </c>
      <c r="K54" s="108"/>
      <c r="L54" s="2"/>
      <c r="M54" s="21"/>
      <c r="N54" s="21"/>
      <c r="O54" s="21"/>
    </row>
    <row r="55" spans="1:15" s="1" customFormat="1" ht="13.5" thickBot="1" x14ac:dyDescent="0.25">
      <c r="A55" s="3" t="s">
        <v>398</v>
      </c>
      <c r="B55" s="83"/>
      <c r="C55" s="2"/>
      <c r="D55" s="761">
        <f>'Data 2009-12'!D55/D$145</f>
        <v>23636704.616791114</v>
      </c>
      <c r="E55" s="762">
        <f>'Data 2009-12'!E55/E$145</f>
        <v>18769980.999180183</v>
      </c>
      <c r="F55" s="762">
        <f>'Data 2009-12'!F55/F$145</f>
        <v>24547324.281262718</v>
      </c>
      <c r="G55" s="762">
        <f>'Data 2009-12'!G55/G$145</f>
        <v>19908330.019932449</v>
      </c>
      <c r="H55" s="762">
        <f>'DNSP Data Inputs 2013-15'!H55/$H$145</f>
        <v>19016391.546282612</v>
      </c>
      <c r="I55" s="780">
        <f>'DNSP Data Inputs 2013-15'!I55/$I$145+I56</f>
        <v>19789114.33993965</v>
      </c>
      <c r="J55" s="781">
        <f>'DNSP Data Inputs 2013-15'!J55/$I$145+J56</f>
        <v>19232385.668599289</v>
      </c>
      <c r="K55" s="117"/>
      <c r="L55" s="2"/>
      <c r="M55" s="21"/>
      <c r="N55" s="21"/>
      <c r="O55" s="21"/>
    </row>
    <row r="56" spans="1:15" s="1" customFormat="1" ht="13.5" thickTop="1" x14ac:dyDescent="0.2">
      <c r="A56" s="3" t="s">
        <v>393</v>
      </c>
      <c r="B56" s="446"/>
      <c r="C56" s="785"/>
      <c r="D56" s="778"/>
      <c r="E56" s="778"/>
      <c r="F56" s="778"/>
      <c r="G56" s="778"/>
      <c r="H56" s="778"/>
      <c r="I56" s="779">
        <f>'AMI RAB 2009-15'!I12*10^3*$I$133*I57</f>
        <v>200894.17022308099</v>
      </c>
      <c r="J56" s="779">
        <f>'AMI RAB 2009-15'!J12*10^3*$I$133*J57</f>
        <v>185251.74590112059</v>
      </c>
      <c r="K56" s="19"/>
      <c r="L56" s="2"/>
      <c r="M56" s="21"/>
      <c r="N56" s="21"/>
      <c r="O56" s="21"/>
    </row>
    <row r="57" spans="1:15" s="1" customFormat="1" x14ac:dyDescent="0.2">
      <c r="A57" s="777" t="s">
        <v>394</v>
      </c>
      <c r="B57" s="442"/>
      <c r="C57" s="785"/>
      <c r="D57" s="778"/>
      <c r="E57" s="778"/>
      <c r="F57" s="778"/>
      <c r="G57" s="778"/>
      <c r="H57" s="778"/>
      <c r="I57" s="786">
        <v>1.08E-3</v>
      </c>
      <c r="J57" s="786">
        <v>1.08E-3</v>
      </c>
      <c r="K57" s="19"/>
      <c r="L57" s="2"/>
      <c r="M57" s="21"/>
      <c r="N57" s="21"/>
      <c r="O57" s="21"/>
    </row>
    <row r="58" spans="1:15" s="1" customFormat="1" x14ac:dyDescent="0.2">
      <c r="A58" s="58" t="s">
        <v>63</v>
      </c>
      <c r="B58" s="443"/>
      <c r="D58" s="44">
        <f t="shared" ref="D58:J58" si="19">D$1</f>
        <v>2009</v>
      </c>
      <c r="E58" s="45">
        <f t="shared" si="19"/>
        <v>2010</v>
      </c>
      <c r="F58" s="45">
        <f t="shared" si="19"/>
        <v>2011</v>
      </c>
      <c r="G58" s="45">
        <f t="shared" si="19"/>
        <v>2012</v>
      </c>
      <c r="H58" s="45">
        <f t="shared" si="19"/>
        <v>2013</v>
      </c>
      <c r="I58" s="45">
        <f t="shared" si="19"/>
        <v>2014</v>
      </c>
      <c r="J58" s="46">
        <f t="shared" si="19"/>
        <v>2015</v>
      </c>
      <c r="K58" s="19"/>
      <c r="L58" s="19"/>
      <c r="M58" s="21"/>
      <c r="N58" s="21"/>
      <c r="O58" s="21"/>
    </row>
    <row r="59" spans="1:15" s="1" customFormat="1" x14ac:dyDescent="0.2">
      <c r="B59" s="86"/>
      <c r="D59" s="718" t="s">
        <v>22</v>
      </c>
      <c r="E59" s="722" t="s">
        <v>22</v>
      </c>
      <c r="F59" s="788" t="s">
        <v>22</v>
      </c>
      <c r="G59" s="722" t="s">
        <v>22</v>
      </c>
      <c r="H59" s="722" t="s">
        <v>22</v>
      </c>
      <c r="I59" s="722" t="s">
        <v>22</v>
      </c>
      <c r="J59" s="719" t="s">
        <v>22</v>
      </c>
      <c r="K59" s="19"/>
      <c r="L59" s="2"/>
      <c r="M59" s="21"/>
      <c r="N59" s="21"/>
      <c r="O59" s="21"/>
    </row>
    <row r="60" spans="1:15" s="1" customFormat="1" ht="13.5" thickBot="1" x14ac:dyDescent="0.25">
      <c r="A60" s="76" t="s">
        <v>63</v>
      </c>
      <c r="B60" s="442"/>
      <c r="D60" s="789">
        <f>'Data 2009-12'!D60</f>
        <v>33138971.770000003</v>
      </c>
      <c r="E60" s="874">
        <f>'Data 2009-12'!E60</f>
        <v>71092652.63000001</v>
      </c>
      <c r="F60" s="874">
        <f>'Data 2009-12'!F60</f>
        <v>72026210.274123311</v>
      </c>
      <c r="G60" s="874">
        <f>'Data 2009-12'!G60</f>
        <v>79301450.791750014</v>
      </c>
      <c r="H60" s="877">
        <f>'DNSP Data Inputs 2013-15'!H60</f>
        <v>99912045.450000003</v>
      </c>
      <c r="K60" s="19"/>
      <c r="M60" s="21"/>
      <c r="N60" s="21"/>
      <c r="O60" s="21"/>
    </row>
    <row r="61" spans="1:15" s="1" customFormat="1" ht="13.5" thickTop="1" x14ac:dyDescent="0.2">
      <c r="E61" s="19"/>
      <c r="K61" s="19"/>
      <c r="M61" s="21"/>
      <c r="N61" s="21"/>
      <c r="O61" s="21"/>
    </row>
    <row r="62" spans="1:15" s="1" customFormat="1" x14ac:dyDescent="0.2">
      <c r="E62" s="19"/>
      <c r="K62" s="19"/>
      <c r="L62" s="2"/>
      <c r="M62" s="21"/>
      <c r="N62" s="21"/>
      <c r="O62" s="21"/>
    </row>
    <row r="63" spans="1:15" s="1" customFormat="1" x14ac:dyDescent="0.2">
      <c r="A63" s="30"/>
      <c r="B63" s="84"/>
      <c r="C63" s="2"/>
      <c r="D63" s="19"/>
      <c r="E63" s="19"/>
      <c r="F63" s="19"/>
      <c r="G63" s="19"/>
      <c r="H63" s="19"/>
      <c r="I63" s="19"/>
      <c r="J63" s="19"/>
      <c r="K63" s="19"/>
      <c r="L63" s="2"/>
      <c r="M63" s="21"/>
      <c r="N63" s="21"/>
      <c r="O63" s="21"/>
    </row>
    <row r="64" spans="1:15" s="1" customFormat="1" x14ac:dyDescent="0.2">
      <c r="A64" s="30"/>
      <c r="B64" s="86"/>
      <c r="C64" s="2"/>
      <c r="D64" s="19"/>
      <c r="E64" s="19"/>
      <c r="F64" s="19"/>
      <c r="G64" s="19"/>
      <c r="H64" s="19"/>
      <c r="I64" s="19"/>
      <c r="J64" s="19"/>
      <c r="K64" s="19"/>
      <c r="L64" s="2"/>
      <c r="M64" s="21"/>
      <c r="N64" s="21"/>
      <c r="O64" s="21"/>
    </row>
    <row r="65" spans="1:17" x14ac:dyDescent="0.2">
      <c r="A65" s="58" t="s">
        <v>293</v>
      </c>
      <c r="B65" s="86"/>
      <c r="D65" s="20"/>
      <c r="E65" s="965" t="s">
        <v>380</v>
      </c>
      <c r="F65" s="982"/>
      <c r="G65" s="982"/>
      <c r="H65" s="982"/>
      <c r="I65" s="982"/>
      <c r="J65" s="966"/>
      <c r="K65" s="32"/>
      <c r="L65" s="2"/>
      <c r="N65" s="2"/>
      <c r="O65" s="965" t="s">
        <v>23</v>
      </c>
      <c r="P65" s="983"/>
      <c r="Q65" s="967"/>
    </row>
    <row r="66" spans="1:17" x14ac:dyDescent="0.2">
      <c r="L66" s="2"/>
    </row>
    <row r="67" spans="1:17" x14ac:dyDescent="0.2">
      <c r="D67" s="54"/>
      <c r="E67" s="4">
        <f t="shared" ref="E67:J67" si="20">E$1</f>
        <v>2010</v>
      </c>
      <c r="F67" s="5">
        <f t="shared" si="20"/>
        <v>2011</v>
      </c>
      <c r="G67" s="5">
        <f t="shared" si="20"/>
        <v>2012</v>
      </c>
      <c r="H67" s="5">
        <f t="shared" si="20"/>
        <v>2013</v>
      </c>
      <c r="I67" s="5">
        <f t="shared" si="20"/>
        <v>2014</v>
      </c>
      <c r="J67" s="6">
        <f t="shared" si="20"/>
        <v>2015</v>
      </c>
      <c r="K67" s="54"/>
      <c r="L67" s="2"/>
      <c r="M67" s="21"/>
      <c r="N67" s="2"/>
      <c r="O67" s="4">
        <f>O$1</f>
        <v>2013</v>
      </c>
      <c r="P67" s="5">
        <f>P$1</f>
        <v>2014</v>
      </c>
      <c r="Q67" s="6">
        <f>Q$1</f>
        <v>2015</v>
      </c>
    </row>
    <row r="68" spans="1:17" x14ac:dyDescent="0.2">
      <c r="A68" s="57"/>
      <c r="D68" s="308"/>
      <c r="E68" s="724" t="s">
        <v>20</v>
      </c>
      <c r="F68" s="725" t="s">
        <v>20</v>
      </c>
      <c r="G68" s="725" t="s">
        <v>20</v>
      </c>
      <c r="H68" s="725" t="s">
        <v>20</v>
      </c>
      <c r="I68" s="725" t="s">
        <v>20</v>
      </c>
      <c r="J68" s="726" t="s">
        <v>21</v>
      </c>
      <c r="K68" s="108"/>
      <c r="L68" s="2"/>
      <c r="M68" s="21"/>
      <c r="N68" s="2"/>
      <c r="O68" s="683" t="str">
        <f>O$3</f>
        <v>Actual</v>
      </c>
      <c r="P68" s="727" t="str">
        <f>P$3</f>
        <v>Forecast</v>
      </c>
      <c r="Q68" s="728" t="str">
        <f>Q$3</f>
        <v>Forecast</v>
      </c>
    </row>
    <row r="69" spans="1:17" x14ac:dyDescent="0.2">
      <c r="B69" s="1"/>
      <c r="D69" s="308"/>
      <c r="E69" s="729" t="s">
        <v>22</v>
      </c>
      <c r="F69" s="713" t="s">
        <v>22</v>
      </c>
      <c r="G69" s="720" t="s">
        <v>22</v>
      </c>
      <c r="H69" s="720" t="s">
        <v>22</v>
      </c>
      <c r="I69" s="720" t="s">
        <v>22</v>
      </c>
      <c r="J69" s="720" t="s">
        <v>22</v>
      </c>
      <c r="K69" s="108"/>
      <c r="L69" s="2"/>
      <c r="M69" s="21"/>
      <c r="N69" s="2"/>
      <c r="O69" s="729"/>
      <c r="P69" s="730"/>
      <c r="Q69" s="731"/>
    </row>
    <row r="70" spans="1:17" x14ac:dyDescent="0.2">
      <c r="B70" s="89"/>
      <c r="D70" s="20"/>
      <c r="E70" s="732"/>
      <c r="F70" s="734"/>
      <c r="G70" s="734"/>
      <c r="H70" s="20"/>
      <c r="I70" s="20"/>
      <c r="J70" s="733"/>
      <c r="K70" s="2"/>
      <c r="L70" s="2"/>
      <c r="M70" s="21"/>
      <c r="N70" s="2"/>
      <c r="O70" s="732"/>
      <c r="P70" s="734"/>
      <c r="Q70" s="733"/>
    </row>
    <row r="71" spans="1:17" x14ac:dyDescent="0.2">
      <c r="A71" s="88" t="s">
        <v>24</v>
      </c>
      <c r="B71" s="89"/>
      <c r="D71" s="332"/>
      <c r="E71" s="339" t="s">
        <v>25</v>
      </c>
      <c r="F71" s="697"/>
      <c r="G71" s="697"/>
      <c r="H71" s="697"/>
      <c r="I71" s="697"/>
      <c r="J71" s="121"/>
      <c r="K71" s="118"/>
      <c r="L71" s="2"/>
      <c r="M71" s="21"/>
      <c r="N71" s="2"/>
      <c r="O71" s="23"/>
      <c r="P71" s="20"/>
      <c r="Q71" s="721"/>
    </row>
    <row r="72" spans="1:17" x14ac:dyDescent="0.2">
      <c r="A72" s="82" t="s">
        <v>26</v>
      </c>
      <c r="B72" s="53"/>
      <c r="D72" s="337"/>
      <c r="E72" s="684">
        <v>0</v>
      </c>
      <c r="F72" s="716">
        <v>0</v>
      </c>
      <c r="G72" s="716">
        <v>0</v>
      </c>
      <c r="H72" s="716">
        <v>0</v>
      </c>
      <c r="I72" s="716">
        <v>0</v>
      </c>
      <c r="J72" s="690">
        <f>'DNSP Data Inputs 2013-15'!J72</f>
        <v>0</v>
      </c>
      <c r="K72" s="119"/>
      <c r="L72" s="2"/>
      <c r="M72" s="21"/>
      <c r="N72" s="2"/>
      <c r="O72" s="686">
        <f>'DNSP Data Inputs 2013-15'!O72</f>
        <v>0</v>
      </c>
      <c r="P72" s="735">
        <f>'DNSP Data Inputs 2013-15'!P72</f>
        <v>0</v>
      </c>
      <c r="Q72" s="687">
        <f>'DNSP Data Inputs 2013-15'!Q72</f>
        <v>0</v>
      </c>
    </row>
    <row r="73" spans="1:17" x14ac:dyDescent="0.2">
      <c r="A73" s="82" t="s">
        <v>27</v>
      </c>
      <c r="B73" s="444"/>
      <c r="D73" s="337"/>
      <c r="E73" s="684">
        <v>0</v>
      </c>
      <c r="F73" s="716">
        <v>0</v>
      </c>
      <c r="G73" s="716">
        <v>0</v>
      </c>
      <c r="H73" s="716">
        <v>0</v>
      </c>
      <c r="I73" s="716">
        <v>0</v>
      </c>
      <c r="J73" s="690">
        <f>'DNSP Data Inputs 2013-15'!J73</f>
        <v>0</v>
      </c>
      <c r="K73" s="119"/>
      <c r="L73" s="2"/>
      <c r="M73" s="21"/>
      <c r="N73" s="2"/>
      <c r="O73" s="686">
        <f>'DNSP Data Inputs 2013-15'!O73</f>
        <v>0</v>
      </c>
      <c r="P73" s="735">
        <f>'DNSP Data Inputs 2013-15'!P73</f>
        <v>0</v>
      </c>
      <c r="Q73" s="687">
        <f>'DNSP Data Inputs 2013-15'!Q73</f>
        <v>0</v>
      </c>
    </row>
    <row r="74" spans="1:17" x14ac:dyDescent="0.2">
      <c r="A74" s="551" t="s">
        <v>370</v>
      </c>
      <c r="B74" s="2"/>
      <c r="D74" s="337"/>
      <c r="E74" s="684">
        <v>0</v>
      </c>
      <c r="F74" s="716">
        <v>0</v>
      </c>
      <c r="G74" s="716">
        <v>0</v>
      </c>
      <c r="H74" s="716">
        <v>0</v>
      </c>
      <c r="I74" s="716">
        <v>0</v>
      </c>
      <c r="J74" s="690">
        <f>'DNSP Data Inputs 2013-15'!J74</f>
        <v>0</v>
      </c>
      <c r="K74" s="119"/>
      <c r="L74" s="2"/>
      <c r="M74" s="21"/>
      <c r="N74" s="2"/>
      <c r="O74" s="686">
        <f>'DNSP Data Inputs 2013-15'!O74</f>
        <v>0</v>
      </c>
      <c r="P74" s="735">
        <f>'DNSP Data Inputs 2013-15'!P74</f>
        <v>0</v>
      </c>
      <c r="Q74" s="687">
        <f>'DNSP Data Inputs 2013-15'!Q74</f>
        <v>0</v>
      </c>
    </row>
    <row r="75" spans="1:17" x14ac:dyDescent="0.2">
      <c r="A75" s="551" t="s">
        <v>371</v>
      </c>
      <c r="D75" s="337"/>
      <c r="E75" s="684">
        <v>0</v>
      </c>
      <c r="F75" s="716">
        <v>0</v>
      </c>
      <c r="G75" s="716">
        <v>0</v>
      </c>
      <c r="H75" s="716">
        <v>0</v>
      </c>
      <c r="I75" s="716">
        <v>0</v>
      </c>
      <c r="J75" s="690">
        <f>'DNSP Data Inputs 2013-15'!J75</f>
        <v>0</v>
      </c>
      <c r="K75" s="119"/>
      <c r="L75" s="2"/>
      <c r="M75" s="21"/>
      <c r="N75" s="2"/>
      <c r="O75" s="686">
        <f>'DNSP Data Inputs 2013-15'!O75</f>
        <v>0</v>
      </c>
      <c r="P75" s="735">
        <f>'DNSP Data Inputs 2013-15'!P75</f>
        <v>0</v>
      </c>
      <c r="Q75" s="687">
        <f>'DNSP Data Inputs 2013-15'!Q75</f>
        <v>0</v>
      </c>
    </row>
    <row r="76" spans="1:17" x14ac:dyDescent="0.2">
      <c r="A76" s="551" t="s">
        <v>372</v>
      </c>
      <c r="D76" s="337"/>
      <c r="E76" s="684">
        <v>0</v>
      </c>
      <c r="F76" s="716">
        <v>0</v>
      </c>
      <c r="G76" s="716">
        <v>0</v>
      </c>
      <c r="H76" s="716">
        <v>0</v>
      </c>
      <c r="I76" s="716">
        <v>0</v>
      </c>
      <c r="J76" s="690">
        <f>'DNSP Data Inputs 2013-15'!J76</f>
        <v>0</v>
      </c>
      <c r="K76" s="119"/>
      <c r="L76" s="2"/>
      <c r="M76" s="21"/>
      <c r="N76" s="2"/>
      <c r="O76" s="686">
        <f>'DNSP Data Inputs 2013-15'!O76</f>
        <v>0</v>
      </c>
      <c r="P76" s="735">
        <f>'DNSP Data Inputs 2013-15'!P76</f>
        <v>0</v>
      </c>
      <c r="Q76" s="687">
        <f>'DNSP Data Inputs 2013-15'!Q76</f>
        <v>0</v>
      </c>
    </row>
    <row r="77" spans="1:17" x14ac:dyDescent="0.2">
      <c r="A77" s="551" t="s">
        <v>373</v>
      </c>
      <c r="B77" s="2"/>
      <c r="D77" s="337"/>
      <c r="E77" s="684">
        <v>0</v>
      </c>
      <c r="F77" s="716">
        <v>0</v>
      </c>
      <c r="G77" s="716">
        <v>0</v>
      </c>
      <c r="H77" s="716">
        <v>0</v>
      </c>
      <c r="I77" s="716">
        <v>0</v>
      </c>
      <c r="J77" s="690">
        <f>'DNSP Data Inputs 2013-15'!J77</f>
        <v>0</v>
      </c>
      <c r="K77" s="119"/>
      <c r="L77" s="2"/>
      <c r="M77" s="21"/>
      <c r="N77" s="2"/>
      <c r="O77" s="686">
        <f>'DNSP Data Inputs 2013-15'!O77</f>
        <v>0</v>
      </c>
      <c r="P77" s="735">
        <f>'DNSP Data Inputs 2013-15'!P77</f>
        <v>0</v>
      </c>
      <c r="Q77" s="687">
        <f>'DNSP Data Inputs 2013-15'!Q77</f>
        <v>0</v>
      </c>
    </row>
    <row r="78" spans="1:17" x14ac:dyDescent="0.2">
      <c r="A78" s="551" t="s">
        <v>374</v>
      </c>
      <c r="B78" s="86"/>
      <c r="D78" s="337"/>
      <c r="E78" s="684">
        <v>0</v>
      </c>
      <c r="F78" s="716">
        <v>0</v>
      </c>
      <c r="G78" s="716">
        <v>0</v>
      </c>
      <c r="H78" s="716">
        <v>0</v>
      </c>
      <c r="I78" s="716">
        <v>0</v>
      </c>
      <c r="J78" s="690">
        <f>'DNSP Data Inputs 2013-15'!J78</f>
        <v>0</v>
      </c>
      <c r="K78" s="119"/>
      <c r="L78" s="2"/>
      <c r="M78" s="21"/>
      <c r="N78" s="2"/>
      <c r="O78" s="686">
        <f>'DNSP Data Inputs 2013-15'!O78</f>
        <v>0</v>
      </c>
      <c r="P78" s="735">
        <f>'DNSP Data Inputs 2013-15'!P78</f>
        <v>0</v>
      </c>
      <c r="Q78" s="687">
        <f>'DNSP Data Inputs 2013-15'!Q78</f>
        <v>0</v>
      </c>
    </row>
    <row r="79" spans="1:17" x14ac:dyDescent="0.2">
      <c r="A79" s="82"/>
      <c r="D79" s="338"/>
      <c r="E79" s="736"/>
      <c r="F79" s="334"/>
      <c r="G79" s="334"/>
      <c r="H79" s="334"/>
      <c r="I79" s="334"/>
      <c r="J79" s="737"/>
      <c r="K79" s="2"/>
      <c r="L79" s="2"/>
      <c r="M79" s="21"/>
      <c r="N79" s="2"/>
      <c r="O79" s="23"/>
      <c r="P79" s="20"/>
      <c r="Q79" s="721"/>
    </row>
    <row r="80" spans="1:17" x14ac:dyDescent="0.2">
      <c r="A80" s="82"/>
      <c r="D80" s="338"/>
      <c r="E80" s="736"/>
      <c r="F80" s="334"/>
      <c r="G80" s="334"/>
      <c r="H80" s="334"/>
      <c r="I80" s="334"/>
      <c r="J80" s="737"/>
      <c r="K80" s="2"/>
      <c r="L80" s="2"/>
      <c r="M80" s="21"/>
      <c r="N80" s="2"/>
      <c r="O80" s="23"/>
      <c r="P80" s="20"/>
      <c r="Q80" s="721"/>
    </row>
    <row r="81" spans="1:17" x14ac:dyDescent="0.2">
      <c r="A81" s="88" t="s">
        <v>24</v>
      </c>
      <c r="B81" s="319"/>
      <c r="D81" s="332"/>
      <c r="E81" s="511" t="s">
        <v>28</v>
      </c>
      <c r="F81" s="698"/>
      <c r="G81" s="698"/>
      <c r="H81" s="698"/>
      <c r="I81" s="698"/>
      <c r="J81" s="335"/>
      <c r="K81" s="118"/>
      <c r="L81" s="2"/>
      <c r="M81" s="21"/>
      <c r="N81" s="2"/>
      <c r="O81" s="23"/>
      <c r="P81" s="20"/>
      <c r="Q81" s="721"/>
    </row>
    <row r="82" spans="1:17" x14ac:dyDescent="0.2">
      <c r="A82" s="82" t="s">
        <v>26</v>
      </c>
      <c r="B82" s="319"/>
      <c r="D82" s="334"/>
      <c r="E82" s="684">
        <v>0</v>
      </c>
      <c r="F82" s="716">
        <v>0</v>
      </c>
      <c r="G82" s="716">
        <v>0</v>
      </c>
      <c r="H82" s="716">
        <v>0</v>
      </c>
      <c r="I82" s="716">
        <v>0</v>
      </c>
      <c r="J82" s="690">
        <f>'DNSP Data Inputs 2013-15'!J82</f>
        <v>0</v>
      </c>
      <c r="K82" s="119"/>
      <c r="L82" s="2"/>
      <c r="M82" s="21"/>
      <c r="N82" s="2"/>
      <c r="O82" s="686">
        <f>'DNSP Data Inputs 2013-15'!O82</f>
        <v>0</v>
      </c>
      <c r="P82" s="735">
        <f>'DNSP Data Inputs 2013-15'!P82</f>
        <v>0</v>
      </c>
      <c r="Q82" s="687">
        <f>'DNSP Data Inputs 2013-15'!Q82</f>
        <v>0</v>
      </c>
    </row>
    <row r="83" spans="1:17" x14ac:dyDescent="0.2">
      <c r="A83" s="82" t="s">
        <v>27</v>
      </c>
      <c r="B83" s="431"/>
      <c r="D83" s="334"/>
      <c r="E83" s="684">
        <v>0</v>
      </c>
      <c r="F83" s="716">
        <v>0</v>
      </c>
      <c r="G83" s="716">
        <v>0</v>
      </c>
      <c r="H83" s="716">
        <v>0</v>
      </c>
      <c r="I83" s="716">
        <v>0</v>
      </c>
      <c r="J83" s="690">
        <f>'DNSP Data Inputs 2013-15'!J83</f>
        <v>0</v>
      </c>
      <c r="K83" s="119"/>
      <c r="L83" s="2"/>
      <c r="M83" s="21"/>
      <c r="N83" s="2"/>
      <c r="O83" s="686">
        <f>'DNSP Data Inputs 2013-15'!O83</f>
        <v>0</v>
      </c>
      <c r="P83" s="735">
        <f>'DNSP Data Inputs 2013-15'!P83</f>
        <v>0</v>
      </c>
      <c r="Q83" s="687">
        <f>'DNSP Data Inputs 2013-15'!Q83</f>
        <v>0</v>
      </c>
    </row>
    <row r="84" spans="1:17" x14ac:dyDescent="0.2">
      <c r="A84" s="551" t="s">
        <v>370</v>
      </c>
      <c r="D84" s="337"/>
      <c r="E84" s="684">
        <v>0</v>
      </c>
      <c r="F84" s="716">
        <v>0</v>
      </c>
      <c r="G84" s="716">
        <v>0</v>
      </c>
      <c r="H84" s="716">
        <v>0</v>
      </c>
      <c r="I84" s="716">
        <v>0</v>
      </c>
      <c r="J84" s="690">
        <f>'DNSP Data Inputs 2013-15'!J84</f>
        <v>0</v>
      </c>
      <c r="K84" s="119"/>
      <c r="L84" s="2"/>
      <c r="M84" s="21"/>
      <c r="N84" s="2"/>
      <c r="O84" s="686">
        <f>'DNSP Data Inputs 2013-15'!O84</f>
        <v>0</v>
      </c>
      <c r="P84" s="735">
        <f>'DNSP Data Inputs 2013-15'!P84</f>
        <v>0</v>
      </c>
      <c r="Q84" s="687">
        <f>'DNSP Data Inputs 2013-15'!Q84</f>
        <v>0</v>
      </c>
    </row>
    <row r="85" spans="1:17" x14ac:dyDescent="0.2">
      <c r="A85" s="551" t="s">
        <v>371</v>
      </c>
      <c r="D85" s="337"/>
      <c r="E85" s="684">
        <v>0</v>
      </c>
      <c r="F85" s="716">
        <v>0</v>
      </c>
      <c r="G85" s="716">
        <v>0</v>
      </c>
      <c r="H85" s="716">
        <v>0</v>
      </c>
      <c r="I85" s="716">
        <v>0</v>
      </c>
      <c r="J85" s="690">
        <f>'DNSP Data Inputs 2013-15'!J85</f>
        <v>0</v>
      </c>
      <c r="K85" s="119"/>
      <c r="L85" s="2"/>
      <c r="M85" s="21"/>
      <c r="N85" s="2"/>
      <c r="O85" s="686">
        <f>'DNSP Data Inputs 2013-15'!O85</f>
        <v>0</v>
      </c>
      <c r="P85" s="735">
        <f>'DNSP Data Inputs 2013-15'!P85</f>
        <v>0</v>
      </c>
      <c r="Q85" s="687">
        <f>'DNSP Data Inputs 2013-15'!Q85</f>
        <v>0</v>
      </c>
    </row>
    <row r="86" spans="1:17" x14ac:dyDescent="0.2">
      <c r="A86" s="551" t="s">
        <v>372</v>
      </c>
      <c r="D86" s="337"/>
      <c r="E86" s="684">
        <v>0</v>
      </c>
      <c r="F86" s="716">
        <v>0</v>
      </c>
      <c r="G86" s="716">
        <v>0</v>
      </c>
      <c r="H86" s="716">
        <v>0</v>
      </c>
      <c r="I86" s="716">
        <v>0</v>
      </c>
      <c r="J86" s="690">
        <f>'DNSP Data Inputs 2013-15'!J86</f>
        <v>0</v>
      </c>
      <c r="K86" s="119"/>
      <c r="L86" s="2"/>
      <c r="M86" s="21"/>
      <c r="N86" s="2"/>
      <c r="O86" s="686">
        <f>'DNSP Data Inputs 2013-15'!O86</f>
        <v>0</v>
      </c>
      <c r="P86" s="735">
        <f>'DNSP Data Inputs 2013-15'!P86</f>
        <v>0</v>
      </c>
      <c r="Q86" s="687">
        <f>'DNSP Data Inputs 2013-15'!Q86</f>
        <v>0</v>
      </c>
    </row>
    <row r="87" spans="1:17" x14ac:dyDescent="0.2">
      <c r="A87" s="551" t="s">
        <v>373</v>
      </c>
      <c r="D87" s="337"/>
      <c r="E87" s="684">
        <v>0</v>
      </c>
      <c r="F87" s="716">
        <v>0</v>
      </c>
      <c r="G87" s="716">
        <v>0</v>
      </c>
      <c r="H87" s="716">
        <v>0</v>
      </c>
      <c r="I87" s="716">
        <v>0</v>
      </c>
      <c r="J87" s="690">
        <f>'DNSP Data Inputs 2013-15'!J87</f>
        <v>0</v>
      </c>
      <c r="K87" s="119"/>
      <c r="L87" s="2"/>
      <c r="M87" s="21"/>
      <c r="N87" s="2"/>
      <c r="O87" s="686">
        <f>'DNSP Data Inputs 2013-15'!O87</f>
        <v>0</v>
      </c>
      <c r="P87" s="735">
        <f>'DNSP Data Inputs 2013-15'!P87</f>
        <v>0</v>
      </c>
      <c r="Q87" s="687">
        <f>'DNSP Data Inputs 2013-15'!Q87</f>
        <v>0</v>
      </c>
    </row>
    <row r="88" spans="1:17" x14ac:dyDescent="0.2">
      <c r="A88" s="551" t="s">
        <v>374</v>
      </c>
      <c r="B88" s="106"/>
      <c r="D88" s="337"/>
      <c r="E88" s="684">
        <v>0</v>
      </c>
      <c r="F88" s="716">
        <v>0</v>
      </c>
      <c r="G88" s="716">
        <v>0</v>
      </c>
      <c r="H88" s="716">
        <v>0</v>
      </c>
      <c r="I88" s="716">
        <v>0</v>
      </c>
      <c r="J88" s="690">
        <f>'DNSP Data Inputs 2013-15'!J88</f>
        <v>0</v>
      </c>
      <c r="K88" s="119"/>
      <c r="L88" s="2"/>
      <c r="M88" s="21"/>
      <c r="N88" s="2"/>
      <c r="O88" s="686">
        <f>'DNSP Data Inputs 2013-15'!O88</f>
        <v>0</v>
      </c>
      <c r="P88" s="735">
        <f>'DNSP Data Inputs 2013-15'!P88</f>
        <v>0</v>
      </c>
      <c r="Q88" s="687">
        <f>'DNSP Data Inputs 2013-15'!Q88</f>
        <v>0</v>
      </c>
    </row>
    <row r="89" spans="1:17" x14ac:dyDescent="0.2">
      <c r="A89" s="82"/>
      <c r="B89" s="86"/>
      <c r="D89" s="338"/>
      <c r="E89" s="736"/>
      <c r="F89" s="334"/>
      <c r="G89" s="334"/>
      <c r="H89" s="334"/>
      <c r="I89" s="334"/>
      <c r="J89" s="737"/>
      <c r="K89" s="2"/>
      <c r="L89" s="2"/>
      <c r="M89" s="21"/>
      <c r="N89" s="2"/>
      <c r="O89" s="23"/>
      <c r="P89" s="20"/>
      <c r="Q89" s="721"/>
    </row>
    <row r="90" spans="1:17" x14ac:dyDescent="0.2">
      <c r="A90" s="82"/>
      <c r="B90" s="91"/>
      <c r="D90" s="338"/>
      <c r="E90" s="736"/>
      <c r="F90" s="334"/>
      <c r="G90" s="334"/>
      <c r="H90" s="334"/>
      <c r="I90" s="334"/>
      <c r="J90" s="737"/>
      <c r="K90" s="2"/>
      <c r="L90" s="2"/>
      <c r="M90" s="21"/>
      <c r="N90" s="2"/>
      <c r="O90" s="23"/>
      <c r="P90" s="20"/>
      <c r="Q90" s="721"/>
    </row>
    <row r="91" spans="1:17" x14ac:dyDescent="0.2">
      <c r="A91" s="88" t="s">
        <v>29</v>
      </c>
      <c r="B91" s="91"/>
      <c r="D91" s="332"/>
      <c r="E91" s="339" t="s">
        <v>25</v>
      </c>
      <c r="F91" s="698"/>
      <c r="G91" s="698"/>
      <c r="H91" s="698"/>
      <c r="I91" s="698"/>
      <c r="J91" s="335"/>
      <c r="K91" s="118"/>
      <c r="L91" s="2"/>
      <c r="M91" s="21"/>
      <c r="N91" s="2"/>
      <c r="O91" s="23"/>
      <c r="P91" s="20"/>
      <c r="Q91" s="721"/>
    </row>
    <row r="92" spans="1:17" x14ac:dyDescent="0.2">
      <c r="A92" s="82" t="s">
        <v>30</v>
      </c>
      <c r="B92" s="89"/>
      <c r="D92" s="337"/>
      <c r="E92" s="684">
        <v>0</v>
      </c>
      <c r="F92" s="716">
        <v>0</v>
      </c>
      <c r="G92" s="716">
        <v>0</v>
      </c>
      <c r="H92" s="716">
        <v>0</v>
      </c>
      <c r="I92" s="716">
        <v>0</v>
      </c>
      <c r="J92" s="690">
        <f>'DNSP Data Inputs 2013-15'!J92</f>
        <v>0</v>
      </c>
      <c r="K92" s="119"/>
      <c r="L92" s="2"/>
      <c r="M92" s="21"/>
      <c r="N92" s="2"/>
      <c r="O92" s="686">
        <f>'DNSP Data Inputs 2013-15'!O92</f>
        <v>0</v>
      </c>
      <c r="P92" s="735">
        <f>'DNSP Data Inputs 2013-15'!P92</f>
        <v>0</v>
      </c>
      <c r="Q92" s="687">
        <f>'DNSP Data Inputs 2013-15'!Q92</f>
        <v>0</v>
      </c>
    </row>
    <row r="93" spans="1:17" x14ac:dyDescent="0.2">
      <c r="A93" s="82" t="s">
        <v>31</v>
      </c>
      <c r="B93" s="84"/>
      <c r="D93" s="337"/>
      <c r="E93" s="684">
        <v>0</v>
      </c>
      <c r="F93" s="716">
        <v>0</v>
      </c>
      <c r="G93" s="716">
        <v>0</v>
      </c>
      <c r="H93" s="716">
        <v>0</v>
      </c>
      <c r="I93" s="716">
        <v>0</v>
      </c>
      <c r="J93" s="690">
        <f>'DNSP Data Inputs 2013-15'!J93</f>
        <v>0</v>
      </c>
      <c r="K93" s="119"/>
      <c r="L93" s="2"/>
      <c r="M93" s="21"/>
      <c r="N93" s="2"/>
      <c r="O93" s="686">
        <f>'DNSP Data Inputs 2013-15'!O93</f>
        <v>0</v>
      </c>
      <c r="P93" s="735">
        <f>'DNSP Data Inputs 2013-15'!P93</f>
        <v>0</v>
      </c>
      <c r="Q93" s="687">
        <f>'DNSP Data Inputs 2013-15'!Q93</f>
        <v>0</v>
      </c>
    </row>
    <row r="94" spans="1:17" x14ac:dyDescent="0.2">
      <c r="A94" s="82" t="s">
        <v>32</v>
      </c>
      <c r="B94" s="89"/>
      <c r="D94" s="337"/>
      <c r="E94" s="684">
        <v>0</v>
      </c>
      <c r="F94" s="716">
        <v>0</v>
      </c>
      <c r="G94" s="716">
        <v>0</v>
      </c>
      <c r="H94" s="716">
        <v>0</v>
      </c>
      <c r="I94" s="716">
        <v>0</v>
      </c>
      <c r="J94" s="690">
        <f>'DNSP Data Inputs 2013-15'!J94</f>
        <v>0</v>
      </c>
      <c r="K94" s="119"/>
      <c r="L94" s="2"/>
      <c r="M94" s="21"/>
      <c r="N94" s="2"/>
      <c r="O94" s="686">
        <f>'DNSP Data Inputs 2013-15'!O94</f>
        <v>0</v>
      </c>
      <c r="P94" s="735">
        <f>'DNSP Data Inputs 2013-15'!P94</f>
        <v>0</v>
      </c>
      <c r="Q94" s="687">
        <f>'DNSP Data Inputs 2013-15'!Q94</f>
        <v>0</v>
      </c>
    </row>
    <row r="95" spans="1:17" x14ac:dyDescent="0.2">
      <c r="A95" s="82" t="s">
        <v>33</v>
      </c>
      <c r="B95" s="91"/>
      <c r="D95" s="337"/>
      <c r="E95" s="684">
        <v>0</v>
      </c>
      <c r="F95" s="716">
        <v>0</v>
      </c>
      <c r="G95" s="716">
        <v>0</v>
      </c>
      <c r="H95" s="716">
        <v>0</v>
      </c>
      <c r="I95" s="716">
        <v>0</v>
      </c>
      <c r="J95" s="690">
        <f>'DNSP Data Inputs 2013-15'!J95</f>
        <v>0</v>
      </c>
      <c r="K95" s="119"/>
      <c r="L95" s="2"/>
      <c r="M95" s="21"/>
      <c r="N95" s="2"/>
      <c r="O95" s="686">
        <f>'DNSP Data Inputs 2013-15'!O95</f>
        <v>0</v>
      </c>
      <c r="P95" s="735">
        <f>'DNSP Data Inputs 2013-15'!P95</f>
        <v>0</v>
      </c>
      <c r="Q95" s="687">
        <f>'DNSP Data Inputs 2013-15'!Q95</f>
        <v>0</v>
      </c>
    </row>
    <row r="96" spans="1:17" x14ac:dyDescent="0.2">
      <c r="A96" s="82" t="s">
        <v>34</v>
      </c>
      <c r="B96" s="91"/>
      <c r="D96" s="337"/>
      <c r="E96" s="684">
        <v>0</v>
      </c>
      <c r="F96" s="716">
        <v>0</v>
      </c>
      <c r="G96" s="716">
        <v>0</v>
      </c>
      <c r="H96" s="716">
        <v>0</v>
      </c>
      <c r="I96" s="716">
        <v>0</v>
      </c>
      <c r="J96" s="690">
        <f>'DNSP Data Inputs 2013-15'!J96</f>
        <v>0</v>
      </c>
      <c r="K96" s="119"/>
      <c r="L96" s="2"/>
      <c r="M96" s="21"/>
      <c r="N96" s="2"/>
      <c r="O96" s="686">
        <f>'DNSP Data Inputs 2013-15'!O96</f>
        <v>0</v>
      </c>
      <c r="P96" s="735">
        <f>'DNSP Data Inputs 2013-15'!P96</f>
        <v>0</v>
      </c>
      <c r="Q96" s="687">
        <f>'DNSP Data Inputs 2013-15'!Q96</f>
        <v>0</v>
      </c>
    </row>
    <row r="97" spans="1:17" x14ac:dyDescent="0.2">
      <c r="A97" s="82" t="s">
        <v>35</v>
      </c>
      <c r="B97" s="91"/>
      <c r="D97" s="337"/>
      <c r="E97" s="684">
        <v>0</v>
      </c>
      <c r="F97" s="716">
        <v>0</v>
      </c>
      <c r="G97" s="716">
        <v>0</v>
      </c>
      <c r="H97" s="716">
        <v>0</v>
      </c>
      <c r="I97" s="716">
        <v>0</v>
      </c>
      <c r="J97" s="690">
        <f>'DNSP Data Inputs 2013-15'!J97</f>
        <v>0</v>
      </c>
      <c r="K97" s="119"/>
      <c r="L97" s="2"/>
      <c r="M97" s="21"/>
      <c r="N97" s="2"/>
      <c r="O97" s="686">
        <f>'DNSP Data Inputs 2013-15'!O97</f>
        <v>0</v>
      </c>
      <c r="P97" s="735">
        <f>'DNSP Data Inputs 2013-15'!P97</f>
        <v>0</v>
      </c>
      <c r="Q97" s="687">
        <f>'DNSP Data Inputs 2013-15'!Q97</f>
        <v>0</v>
      </c>
    </row>
    <row r="98" spans="1:17" x14ac:dyDescent="0.2">
      <c r="A98" s="551" t="s">
        <v>370</v>
      </c>
      <c r="B98" s="91"/>
      <c r="D98" s="337"/>
      <c r="E98" s="684">
        <v>0</v>
      </c>
      <c r="F98" s="716">
        <v>0</v>
      </c>
      <c r="G98" s="716">
        <v>0</v>
      </c>
      <c r="H98" s="716">
        <v>0</v>
      </c>
      <c r="I98" s="716">
        <v>0</v>
      </c>
      <c r="J98" s="690">
        <f>'DNSP Data Inputs 2013-15'!J98</f>
        <v>0</v>
      </c>
      <c r="K98" s="119"/>
      <c r="L98" s="2"/>
      <c r="M98" s="21"/>
      <c r="N98" s="2"/>
      <c r="O98" s="686">
        <f>'DNSP Data Inputs 2013-15'!O98</f>
        <v>0</v>
      </c>
      <c r="P98" s="735">
        <f>'DNSP Data Inputs 2013-15'!P98</f>
        <v>0</v>
      </c>
      <c r="Q98" s="687">
        <f>'DNSP Data Inputs 2013-15'!Q98</f>
        <v>0</v>
      </c>
    </row>
    <row r="99" spans="1:17" x14ac:dyDescent="0.2">
      <c r="A99" s="551" t="s">
        <v>371</v>
      </c>
      <c r="B99" s="91"/>
      <c r="D99" s="337"/>
      <c r="E99" s="684">
        <v>0</v>
      </c>
      <c r="F99" s="716">
        <v>0</v>
      </c>
      <c r="G99" s="716">
        <v>0</v>
      </c>
      <c r="H99" s="716">
        <v>0</v>
      </c>
      <c r="I99" s="716">
        <v>0</v>
      </c>
      <c r="J99" s="690">
        <f>'DNSP Data Inputs 2013-15'!J99</f>
        <v>0</v>
      </c>
      <c r="K99" s="119"/>
      <c r="L99" s="2"/>
      <c r="M99" s="21"/>
      <c r="N99" s="2"/>
      <c r="O99" s="686">
        <f>'DNSP Data Inputs 2013-15'!O99</f>
        <v>0</v>
      </c>
      <c r="P99" s="735">
        <f>'DNSP Data Inputs 2013-15'!P99</f>
        <v>0</v>
      </c>
      <c r="Q99" s="687">
        <f>'DNSP Data Inputs 2013-15'!Q99</f>
        <v>0</v>
      </c>
    </row>
    <row r="100" spans="1:17" x14ac:dyDescent="0.2">
      <c r="A100" s="551" t="s">
        <v>372</v>
      </c>
      <c r="B100" s="91"/>
      <c r="D100" s="337"/>
      <c r="E100" s="684">
        <v>0</v>
      </c>
      <c r="F100" s="716">
        <v>0</v>
      </c>
      <c r="G100" s="716">
        <v>0</v>
      </c>
      <c r="H100" s="716">
        <v>0</v>
      </c>
      <c r="I100" s="716">
        <v>0</v>
      </c>
      <c r="J100" s="690">
        <f>'DNSP Data Inputs 2013-15'!J100</f>
        <v>0</v>
      </c>
      <c r="K100" s="119"/>
      <c r="L100" s="2"/>
      <c r="M100" s="21"/>
      <c r="N100" s="2"/>
      <c r="O100" s="686">
        <f>'DNSP Data Inputs 2013-15'!O100</f>
        <v>0</v>
      </c>
      <c r="P100" s="735">
        <f>'DNSP Data Inputs 2013-15'!P100</f>
        <v>0</v>
      </c>
      <c r="Q100" s="687">
        <f>'DNSP Data Inputs 2013-15'!Q100</f>
        <v>0</v>
      </c>
    </row>
    <row r="101" spans="1:17" x14ac:dyDescent="0.2">
      <c r="A101" s="551" t="s">
        <v>373</v>
      </c>
      <c r="B101" s="91"/>
      <c r="D101" s="337"/>
      <c r="E101" s="684">
        <v>0</v>
      </c>
      <c r="F101" s="716">
        <v>0</v>
      </c>
      <c r="G101" s="716">
        <v>0</v>
      </c>
      <c r="H101" s="716">
        <v>0</v>
      </c>
      <c r="I101" s="716">
        <v>0</v>
      </c>
      <c r="J101" s="690">
        <f>'DNSP Data Inputs 2013-15'!J101</f>
        <v>0</v>
      </c>
      <c r="K101" s="119"/>
      <c r="L101" s="2"/>
      <c r="M101" s="21"/>
      <c r="N101" s="2"/>
      <c r="O101" s="686">
        <f>'DNSP Data Inputs 2013-15'!O101</f>
        <v>0</v>
      </c>
      <c r="P101" s="735">
        <f>'DNSP Data Inputs 2013-15'!P101</f>
        <v>0</v>
      </c>
      <c r="Q101" s="687">
        <f>'DNSP Data Inputs 2013-15'!Q101</f>
        <v>0</v>
      </c>
    </row>
    <row r="102" spans="1:17" x14ac:dyDescent="0.2">
      <c r="A102" s="551" t="s">
        <v>374</v>
      </c>
      <c r="B102" s="91"/>
      <c r="D102" s="337"/>
      <c r="E102" s="684">
        <v>0</v>
      </c>
      <c r="F102" s="716">
        <v>0</v>
      </c>
      <c r="G102" s="716">
        <v>0</v>
      </c>
      <c r="H102" s="716">
        <v>0</v>
      </c>
      <c r="I102" s="716">
        <v>0</v>
      </c>
      <c r="J102" s="690">
        <f>'DNSP Data Inputs 2013-15'!J102</f>
        <v>0</v>
      </c>
      <c r="K102" s="119"/>
      <c r="L102" s="2"/>
      <c r="M102" s="21"/>
      <c r="N102" s="2"/>
      <c r="O102" s="686">
        <f>'DNSP Data Inputs 2013-15'!O102</f>
        <v>0</v>
      </c>
      <c r="P102" s="735">
        <f>'DNSP Data Inputs 2013-15'!P102</f>
        <v>0</v>
      </c>
      <c r="Q102" s="687">
        <f>'DNSP Data Inputs 2013-15'!Q102</f>
        <v>0</v>
      </c>
    </row>
    <row r="103" spans="1:17" x14ac:dyDescent="0.2">
      <c r="A103" s="82"/>
      <c r="B103" s="91"/>
      <c r="D103" s="338"/>
      <c r="E103" s="736"/>
      <c r="F103" s="334"/>
      <c r="G103" s="334"/>
      <c r="H103" s="334"/>
      <c r="I103" s="334"/>
      <c r="J103" s="737"/>
      <c r="K103" s="2"/>
      <c r="L103" s="2"/>
      <c r="M103" s="21"/>
      <c r="N103" s="2"/>
      <c r="O103" s="23"/>
      <c r="P103" s="20"/>
      <c r="Q103" s="721"/>
    </row>
    <row r="104" spans="1:17" x14ac:dyDescent="0.2">
      <c r="A104" s="82"/>
      <c r="B104" s="91"/>
      <c r="D104" s="338"/>
      <c r="E104" s="736"/>
      <c r="F104" s="334"/>
      <c r="G104" s="334"/>
      <c r="H104" s="334"/>
      <c r="I104" s="334"/>
      <c r="J104" s="737"/>
      <c r="K104" s="2"/>
      <c r="L104" s="2"/>
      <c r="M104" s="21"/>
      <c r="N104" s="2"/>
      <c r="O104" s="23"/>
      <c r="P104" s="20"/>
      <c r="Q104" s="721"/>
    </row>
    <row r="105" spans="1:17" x14ac:dyDescent="0.2">
      <c r="A105" s="88" t="s">
        <v>29</v>
      </c>
      <c r="D105" s="332"/>
      <c r="E105" s="511" t="s">
        <v>28</v>
      </c>
      <c r="F105" s="698"/>
      <c r="G105" s="698"/>
      <c r="H105" s="698"/>
      <c r="I105" s="698"/>
      <c r="J105" s="335"/>
      <c r="K105" s="118"/>
      <c r="L105" s="2"/>
      <c r="M105" s="21"/>
      <c r="N105" s="2"/>
      <c r="O105" s="23"/>
      <c r="P105" s="20"/>
      <c r="Q105" s="721"/>
    </row>
    <row r="106" spans="1:17" x14ac:dyDescent="0.2">
      <c r="A106" s="82" t="s">
        <v>30</v>
      </c>
      <c r="B106" s="91"/>
      <c r="D106" s="334"/>
      <c r="E106" s="684">
        <v>0</v>
      </c>
      <c r="F106" s="716">
        <v>0</v>
      </c>
      <c r="G106" s="716">
        <v>0</v>
      </c>
      <c r="H106" s="716">
        <v>0</v>
      </c>
      <c r="I106" s="716">
        <v>0</v>
      </c>
      <c r="J106" s="690">
        <f>'DNSP Data Inputs 2013-15'!J106</f>
        <v>0</v>
      </c>
      <c r="K106" s="119"/>
      <c r="L106" s="2"/>
      <c r="M106" s="21"/>
      <c r="N106" s="2"/>
      <c r="O106" s="686">
        <f>'DNSP Data Inputs 2013-15'!O106</f>
        <v>0</v>
      </c>
      <c r="P106" s="735">
        <f>'DNSP Data Inputs 2013-15'!P106</f>
        <v>0</v>
      </c>
      <c r="Q106" s="687">
        <f>'DNSP Data Inputs 2013-15'!Q106</f>
        <v>0</v>
      </c>
    </row>
    <row r="107" spans="1:17" x14ac:dyDescent="0.2">
      <c r="A107" s="82" t="s">
        <v>31</v>
      </c>
      <c r="B107" s="91"/>
      <c r="D107" s="337"/>
      <c r="E107" s="684">
        <v>0</v>
      </c>
      <c r="F107" s="716">
        <v>0</v>
      </c>
      <c r="G107" s="716">
        <v>0</v>
      </c>
      <c r="H107" s="716">
        <v>0</v>
      </c>
      <c r="I107" s="716">
        <v>0</v>
      </c>
      <c r="J107" s="690">
        <f>'DNSP Data Inputs 2013-15'!J107</f>
        <v>0</v>
      </c>
      <c r="K107" s="119"/>
      <c r="L107" s="2"/>
      <c r="M107" s="21"/>
      <c r="N107" s="2"/>
      <c r="O107" s="686">
        <f>'DNSP Data Inputs 2013-15'!O107</f>
        <v>0</v>
      </c>
      <c r="P107" s="735">
        <f>'DNSP Data Inputs 2013-15'!P107</f>
        <v>0</v>
      </c>
      <c r="Q107" s="687">
        <f>'DNSP Data Inputs 2013-15'!Q107</f>
        <v>0</v>
      </c>
    </row>
    <row r="108" spans="1:17" x14ac:dyDescent="0.2">
      <c r="A108" s="82" t="s">
        <v>32</v>
      </c>
      <c r="B108" s="91"/>
      <c r="D108" s="334"/>
      <c r="E108" s="684">
        <v>0</v>
      </c>
      <c r="F108" s="716">
        <v>0</v>
      </c>
      <c r="G108" s="716">
        <v>0</v>
      </c>
      <c r="H108" s="716">
        <v>0</v>
      </c>
      <c r="I108" s="716">
        <v>0</v>
      </c>
      <c r="J108" s="690">
        <f>'DNSP Data Inputs 2013-15'!J108</f>
        <v>0</v>
      </c>
      <c r="K108" s="119"/>
      <c r="L108" s="2"/>
      <c r="M108" s="21"/>
      <c r="N108" s="2"/>
      <c r="O108" s="686">
        <f>'DNSP Data Inputs 2013-15'!O108</f>
        <v>0</v>
      </c>
      <c r="P108" s="735">
        <f>'DNSP Data Inputs 2013-15'!P108</f>
        <v>0</v>
      </c>
      <c r="Q108" s="687">
        <f>'DNSP Data Inputs 2013-15'!Q108</f>
        <v>0</v>
      </c>
    </row>
    <row r="109" spans="1:17" x14ac:dyDescent="0.2">
      <c r="A109" s="82" t="s">
        <v>33</v>
      </c>
      <c r="B109" s="91"/>
      <c r="D109" s="334"/>
      <c r="E109" s="684">
        <v>0</v>
      </c>
      <c r="F109" s="716">
        <v>0</v>
      </c>
      <c r="G109" s="716">
        <v>0</v>
      </c>
      <c r="H109" s="716">
        <v>0</v>
      </c>
      <c r="I109" s="716">
        <v>0</v>
      </c>
      <c r="J109" s="690">
        <f>'DNSP Data Inputs 2013-15'!J109</f>
        <v>0</v>
      </c>
      <c r="K109" s="119"/>
      <c r="L109" s="2"/>
      <c r="M109" s="21"/>
      <c r="N109" s="2"/>
      <c r="O109" s="686">
        <f>'DNSP Data Inputs 2013-15'!O109</f>
        <v>0</v>
      </c>
      <c r="P109" s="735">
        <f>'DNSP Data Inputs 2013-15'!P109</f>
        <v>0</v>
      </c>
      <c r="Q109" s="687">
        <f>'DNSP Data Inputs 2013-15'!Q109</f>
        <v>0</v>
      </c>
    </row>
    <row r="110" spans="1:17" x14ac:dyDescent="0.2">
      <c r="A110" s="82" t="s">
        <v>34</v>
      </c>
      <c r="B110" s="91"/>
      <c r="D110" s="337"/>
      <c r="E110" s="684">
        <v>0</v>
      </c>
      <c r="F110" s="716">
        <v>0</v>
      </c>
      <c r="G110" s="716">
        <v>0</v>
      </c>
      <c r="H110" s="716">
        <v>0</v>
      </c>
      <c r="I110" s="716">
        <v>0</v>
      </c>
      <c r="J110" s="690">
        <f>'DNSP Data Inputs 2013-15'!J110</f>
        <v>0</v>
      </c>
      <c r="K110" s="119"/>
      <c r="L110" s="2"/>
      <c r="M110" s="21"/>
      <c r="N110" s="2"/>
      <c r="O110" s="686">
        <f>'DNSP Data Inputs 2013-15'!O110</f>
        <v>0</v>
      </c>
      <c r="P110" s="735">
        <f>'DNSP Data Inputs 2013-15'!P110</f>
        <v>0</v>
      </c>
      <c r="Q110" s="687">
        <f>'DNSP Data Inputs 2013-15'!Q110</f>
        <v>0</v>
      </c>
    </row>
    <row r="111" spans="1:17" x14ac:dyDescent="0.2">
      <c r="A111" s="82" t="s">
        <v>35</v>
      </c>
      <c r="B111" s="89"/>
      <c r="D111" s="334"/>
      <c r="E111" s="684">
        <v>0</v>
      </c>
      <c r="F111" s="716">
        <v>0</v>
      </c>
      <c r="G111" s="716">
        <v>0</v>
      </c>
      <c r="H111" s="716">
        <v>0</v>
      </c>
      <c r="I111" s="716">
        <v>0</v>
      </c>
      <c r="J111" s="690">
        <f>'DNSP Data Inputs 2013-15'!J111</f>
        <v>0</v>
      </c>
      <c r="K111" s="119"/>
      <c r="L111" s="2"/>
      <c r="M111" s="21"/>
      <c r="N111" s="2"/>
      <c r="O111" s="686">
        <f>'DNSP Data Inputs 2013-15'!O111</f>
        <v>0</v>
      </c>
      <c r="P111" s="735">
        <f>'DNSP Data Inputs 2013-15'!P111</f>
        <v>0</v>
      </c>
      <c r="Q111" s="687">
        <f>'DNSP Data Inputs 2013-15'!Q111</f>
        <v>0</v>
      </c>
    </row>
    <row r="112" spans="1:17" x14ac:dyDescent="0.2">
      <c r="A112" s="551" t="s">
        <v>375</v>
      </c>
      <c r="B112" s="89"/>
      <c r="D112" s="337"/>
      <c r="E112" s="576">
        <f t="shared" ref="E112:F114" si="21">E185</f>
        <v>96.67</v>
      </c>
      <c r="F112" s="738">
        <f t="shared" si="21"/>
        <v>95.01</v>
      </c>
      <c r="G112" s="738">
        <f t="shared" ref="G112:H112" si="22">G185</f>
        <v>102.96</v>
      </c>
      <c r="H112" s="738">
        <f t="shared" si="22"/>
        <v>127.75</v>
      </c>
      <c r="I112" s="738">
        <f t="shared" ref="I112" si="23">I185</f>
        <v>115.27</v>
      </c>
      <c r="J112" s="690">
        <f>'DNSP Data Inputs 2013-15'!J112</f>
        <v>109.4</v>
      </c>
      <c r="K112" s="119"/>
      <c r="L112" s="2"/>
      <c r="M112" s="21"/>
      <c r="N112" s="2"/>
      <c r="O112" s="686">
        <f>'DNSP Data Inputs 2013-15'!O112</f>
        <v>0</v>
      </c>
      <c r="P112" s="735">
        <f>'DNSP Data Inputs 2013-15'!P112</f>
        <v>627651.41215236764</v>
      </c>
      <c r="Q112" s="687">
        <f>'DNSP Data Inputs 2013-15'!Q112</f>
        <v>637222.32996039581</v>
      </c>
    </row>
    <row r="113" spans="1:17" x14ac:dyDescent="0.2">
      <c r="A113" s="551" t="s">
        <v>290</v>
      </c>
      <c r="B113" s="89"/>
      <c r="D113" s="337"/>
      <c r="E113" s="576">
        <f t="shared" si="21"/>
        <v>127.5</v>
      </c>
      <c r="F113" s="738">
        <f t="shared" si="21"/>
        <v>125.32</v>
      </c>
      <c r="G113" s="738">
        <f t="shared" ref="G113:H113" si="24">G186</f>
        <v>135.80000000000001</v>
      </c>
      <c r="H113" s="738">
        <f t="shared" si="24"/>
        <v>168.5</v>
      </c>
      <c r="I113" s="738">
        <f t="shared" ref="I113" si="25">I186</f>
        <v>152.04</v>
      </c>
      <c r="J113" s="690">
        <f>'DNSP Data Inputs 2013-15'!J113</f>
        <v>144.30000000000001</v>
      </c>
      <c r="K113" s="119"/>
      <c r="L113" s="2"/>
      <c r="M113" s="21"/>
      <c r="N113" s="2"/>
      <c r="O113" s="686">
        <f>'DNSP Data Inputs 2013-15'!O113</f>
        <v>0</v>
      </c>
      <c r="P113" s="735">
        <f>'DNSP Data Inputs 2013-15'!P113</f>
        <v>119645.55101336956</v>
      </c>
      <c r="Q113" s="687">
        <f>'DNSP Data Inputs 2013-15'!Q113</f>
        <v>121090.9262866326</v>
      </c>
    </row>
    <row r="114" spans="1:17" x14ac:dyDescent="0.2">
      <c r="A114" s="551" t="s">
        <v>291</v>
      </c>
      <c r="B114" s="89"/>
      <c r="D114" s="337"/>
      <c r="E114" s="576">
        <f t="shared" si="21"/>
        <v>168.94</v>
      </c>
      <c r="F114" s="738">
        <f t="shared" si="21"/>
        <v>166.05</v>
      </c>
      <c r="G114" s="738">
        <f t="shared" ref="G114:H114" si="26">G187</f>
        <v>179.94</v>
      </c>
      <c r="H114" s="738">
        <f t="shared" si="26"/>
        <v>223.27</v>
      </c>
      <c r="I114" s="738">
        <f t="shared" ref="I114" si="27">I187</f>
        <v>201.47</v>
      </c>
      <c r="J114" s="690">
        <f>'DNSP Data Inputs 2013-15'!J114</f>
        <v>191.55</v>
      </c>
      <c r="K114" s="119"/>
      <c r="L114" s="2"/>
      <c r="M114" s="21"/>
      <c r="N114" s="2"/>
      <c r="O114" s="686">
        <f>'DNSP Data Inputs 2013-15'!O114</f>
        <v>0</v>
      </c>
      <c r="P114" s="735">
        <f>'DNSP Data Inputs 2013-15'!P114</f>
        <v>4485.4476854641198</v>
      </c>
      <c r="Q114" s="687">
        <f>'DNSP Data Inputs 2013-15'!Q114</f>
        <v>4585.1865444224395</v>
      </c>
    </row>
    <row r="115" spans="1:17" x14ac:dyDescent="0.2">
      <c r="A115" s="551" t="s">
        <v>373</v>
      </c>
      <c r="D115" s="337"/>
      <c r="E115" s="684">
        <v>0</v>
      </c>
      <c r="F115" s="716">
        <v>0</v>
      </c>
      <c r="G115" s="716">
        <v>0</v>
      </c>
      <c r="H115" s="716">
        <v>0</v>
      </c>
      <c r="I115" s="716">
        <v>0</v>
      </c>
      <c r="J115" s="690">
        <f>'DNSP Data Inputs 2013-15'!J115</f>
        <v>0</v>
      </c>
      <c r="K115" s="119"/>
      <c r="L115" s="2"/>
      <c r="M115" s="21"/>
      <c r="N115" s="2"/>
      <c r="O115" s="686">
        <f>'DNSP Data Inputs 2013-15'!O115</f>
        <v>0</v>
      </c>
      <c r="P115" s="735">
        <f>'DNSP Data Inputs 2013-15'!P115</f>
        <v>0</v>
      </c>
      <c r="Q115" s="687">
        <f>'DNSP Data Inputs 2013-15'!Q115</f>
        <v>0</v>
      </c>
    </row>
    <row r="116" spans="1:17" x14ac:dyDescent="0.2">
      <c r="A116" s="551" t="s">
        <v>374</v>
      </c>
      <c r="B116" s="58"/>
      <c r="D116" s="337"/>
      <c r="E116" s="685">
        <v>0</v>
      </c>
      <c r="F116" s="717">
        <v>0</v>
      </c>
      <c r="G116" s="717">
        <v>0</v>
      </c>
      <c r="H116" s="717">
        <v>0</v>
      </c>
      <c r="I116" s="717">
        <v>0</v>
      </c>
      <c r="J116" s="691">
        <f>'DNSP Data Inputs 2013-15'!J116</f>
        <v>0</v>
      </c>
      <c r="K116" s="119"/>
      <c r="L116" s="2"/>
      <c r="M116" s="21"/>
      <c r="N116" s="2"/>
      <c r="O116" s="688">
        <f>'DNSP Data Inputs 2013-15'!O116</f>
        <v>0</v>
      </c>
      <c r="P116" s="739">
        <f>'DNSP Data Inputs 2013-15'!P116</f>
        <v>0</v>
      </c>
      <c r="Q116" s="689">
        <f>'DNSP Data Inputs 2013-15'!Q116</f>
        <v>0</v>
      </c>
    </row>
    <row r="117" spans="1:17" x14ac:dyDescent="0.2">
      <c r="B117" s="58"/>
      <c r="L117" s="2"/>
    </row>
    <row r="119" spans="1:17" ht="13.5" thickBot="1" x14ac:dyDescent="0.25">
      <c r="A119" s="68"/>
      <c r="B119" s="449"/>
      <c r="C119" s="68"/>
      <c r="D119" s="68"/>
      <c r="E119" s="68"/>
      <c r="F119" s="68"/>
      <c r="G119" s="68"/>
      <c r="H119" s="68"/>
      <c r="I119" s="68"/>
      <c r="J119" s="68"/>
      <c r="K119" s="69"/>
      <c r="L119" s="68"/>
      <c r="M119" s="68"/>
      <c r="N119" s="68"/>
      <c r="O119" s="68"/>
      <c r="P119" s="68"/>
      <c r="Q119" s="68"/>
    </row>
    <row r="122" spans="1:17" ht="15.75" x14ac:dyDescent="0.25">
      <c r="A122" s="96" t="s">
        <v>39</v>
      </c>
    </row>
    <row r="124" spans="1:17" s="1" customFormat="1" x14ac:dyDescent="0.2">
      <c r="A124" s="41" t="s">
        <v>384</v>
      </c>
      <c r="B124" s="83"/>
      <c r="C124" s="695" t="s">
        <v>382</v>
      </c>
      <c r="D124" s="19"/>
      <c r="E124" s="19"/>
      <c r="F124" s="19"/>
      <c r="G124" s="19"/>
      <c r="H124" s="19"/>
      <c r="I124" s="695" t="s">
        <v>385</v>
      </c>
      <c r="J124" s="19"/>
      <c r="K124" s="19"/>
      <c r="L124" s="2"/>
      <c r="M124" s="2"/>
      <c r="N124" s="2"/>
      <c r="O124" s="2"/>
    </row>
    <row r="125" spans="1:17" s="1" customFormat="1" x14ac:dyDescent="0.2">
      <c r="A125" s="30"/>
      <c r="B125" s="83"/>
      <c r="C125" s="696" t="s">
        <v>383</v>
      </c>
      <c r="D125" s="2"/>
      <c r="E125" s="2"/>
      <c r="F125" s="2"/>
      <c r="G125" s="2"/>
      <c r="H125" s="2"/>
      <c r="I125" s="696" t="s">
        <v>386</v>
      </c>
      <c r="J125" s="2"/>
      <c r="K125" s="2"/>
      <c r="L125" s="2"/>
      <c r="M125" s="2"/>
      <c r="N125" s="2"/>
      <c r="O125" s="2"/>
    </row>
    <row r="126" spans="1:17" x14ac:dyDescent="0.2">
      <c r="A126" s="38" t="s">
        <v>9</v>
      </c>
      <c r="C126" s="2"/>
      <c r="D126" s="15"/>
      <c r="E126" s="15"/>
      <c r="F126" s="15"/>
      <c r="G126" s="15"/>
      <c r="H126" s="15"/>
      <c r="I126" s="2"/>
      <c r="J126" s="15"/>
      <c r="K126" s="15"/>
      <c r="N126" s="2"/>
      <c r="O126" s="2"/>
    </row>
    <row r="127" spans="1:17" x14ac:dyDescent="0.2">
      <c r="A127" s="317" t="s">
        <v>10</v>
      </c>
      <c r="C127" s="111">
        <v>4.6300000000000001E-2</v>
      </c>
      <c r="D127" s="15"/>
      <c r="E127" s="15"/>
      <c r="F127" s="15"/>
      <c r="G127" s="15"/>
      <c r="H127" s="15"/>
      <c r="I127" s="111">
        <v>4.02E-2</v>
      </c>
      <c r="J127" s="15"/>
      <c r="K127" s="15"/>
      <c r="N127" s="2"/>
      <c r="O127" s="2"/>
    </row>
    <row r="128" spans="1:17" x14ac:dyDescent="0.2">
      <c r="A128" s="1" t="s">
        <v>11</v>
      </c>
      <c r="C128" s="111">
        <f>4%+0.125%</f>
        <v>4.1250000000000002E-2</v>
      </c>
      <c r="I128" s="111">
        <v>2.53E-2</v>
      </c>
      <c r="N128" s="2"/>
      <c r="O128" s="2"/>
    </row>
    <row r="129" spans="1:16" x14ac:dyDescent="0.2">
      <c r="C129" s="42"/>
      <c r="D129" s="31"/>
      <c r="E129" s="31"/>
      <c r="F129" s="31"/>
      <c r="G129" s="31"/>
      <c r="H129" s="31"/>
      <c r="I129" s="42"/>
      <c r="J129" s="31"/>
      <c r="K129" s="120"/>
      <c r="N129" s="2"/>
      <c r="O129" s="2"/>
    </row>
    <row r="130" spans="1:16" x14ac:dyDescent="0.2">
      <c r="A130" s="56" t="s">
        <v>12</v>
      </c>
      <c r="D130" s="31"/>
      <c r="E130" s="31"/>
      <c r="F130" s="31"/>
      <c r="G130" s="31"/>
      <c r="H130" s="31"/>
      <c r="J130" s="31"/>
      <c r="K130" s="120"/>
    </row>
    <row r="131" spans="1:16" x14ac:dyDescent="0.2">
      <c r="A131" s="21" t="s">
        <v>13</v>
      </c>
      <c r="C131" s="100">
        <f>'Data 2006-08'!C130</f>
        <v>0.06</v>
      </c>
      <c r="I131" s="706">
        <v>6.5000000000000002E-2</v>
      </c>
    </row>
    <row r="132" spans="1:16" x14ac:dyDescent="0.2">
      <c r="A132" s="21" t="s">
        <v>14</v>
      </c>
      <c r="C132" s="101">
        <f>'Data 2006-08'!C131</f>
        <v>1</v>
      </c>
      <c r="I132" s="707">
        <v>0.8</v>
      </c>
    </row>
    <row r="133" spans="1:16" x14ac:dyDescent="0.2">
      <c r="A133" s="21" t="s">
        <v>15</v>
      </c>
      <c r="B133" s="58"/>
      <c r="C133" s="102">
        <f>'Data 2006-08'!C133</f>
        <v>0.6</v>
      </c>
      <c r="I133" s="708">
        <v>0.6</v>
      </c>
    </row>
    <row r="134" spans="1:16" x14ac:dyDescent="0.2">
      <c r="A134" s="21" t="s">
        <v>16</v>
      </c>
      <c r="B134" s="58"/>
      <c r="C134" s="103">
        <f>'Data 2006-08'!C134</f>
        <v>2.5600000000000001E-2</v>
      </c>
      <c r="I134" s="709">
        <v>2.47E-2</v>
      </c>
    </row>
    <row r="135" spans="1:16" x14ac:dyDescent="0.2">
      <c r="A135" s="1"/>
      <c r="C135" s="52"/>
      <c r="I135" s="52"/>
    </row>
    <row r="136" spans="1:16" x14ac:dyDescent="0.2">
      <c r="A136" s="441" t="s">
        <v>19</v>
      </c>
    </row>
    <row r="137" spans="1:16" x14ac:dyDescent="0.2">
      <c r="A137" s="21" t="s">
        <v>88</v>
      </c>
      <c r="C137" s="310">
        <v>0.3</v>
      </c>
      <c r="E137" s="43"/>
      <c r="F137" s="43"/>
      <c r="G137" s="43"/>
      <c r="H137" s="43"/>
      <c r="I137" s="310">
        <v>0.3</v>
      </c>
      <c r="J137" s="43"/>
      <c r="K137" s="21"/>
      <c r="P137" s="54"/>
    </row>
    <row r="138" spans="1:16" x14ac:dyDescent="0.2">
      <c r="A138" s="1" t="s">
        <v>17</v>
      </c>
      <c r="C138" s="112">
        <v>0.65</v>
      </c>
      <c r="E138" s="1"/>
      <c r="F138" s="1"/>
      <c r="G138" s="1"/>
      <c r="H138" s="1"/>
      <c r="I138" s="707">
        <v>0.25</v>
      </c>
      <c r="J138" s="1"/>
      <c r="K138" s="21"/>
      <c r="P138" s="318"/>
    </row>
    <row r="139" spans="1:16" s="1" customFormat="1" x14ac:dyDescent="0.2">
      <c r="A139" s="21" t="s">
        <v>15</v>
      </c>
      <c r="B139" s="83"/>
      <c r="C139" s="102">
        <f>C133</f>
        <v>0.6</v>
      </c>
      <c r="I139" s="102">
        <f>I133</f>
        <v>0.6</v>
      </c>
      <c r="L139" s="2"/>
      <c r="M139" s="2"/>
      <c r="N139" s="2"/>
      <c r="O139" s="2"/>
    </row>
    <row r="140" spans="1:16" x14ac:dyDescent="0.2">
      <c r="A140" s="1"/>
      <c r="C140" s="52"/>
    </row>
    <row r="141" spans="1:16" s="1" customFormat="1" x14ac:dyDescent="0.2">
      <c r="B141" s="83"/>
      <c r="C141" s="52"/>
      <c r="L141" s="2"/>
      <c r="M141" s="2"/>
      <c r="N141" s="2"/>
      <c r="O141" s="2"/>
    </row>
    <row r="142" spans="1:16" x14ac:dyDescent="0.2">
      <c r="D142" s="878">
        <f>D$1</f>
        <v>2009</v>
      </c>
      <c r="E142" s="879">
        <f t="shared" ref="E142:J142" si="28">E$1</f>
        <v>2010</v>
      </c>
      <c r="F142" s="879">
        <f t="shared" si="28"/>
        <v>2011</v>
      </c>
      <c r="G142" s="879">
        <f t="shared" si="28"/>
        <v>2012</v>
      </c>
      <c r="H142" s="879">
        <f t="shared" si="28"/>
        <v>2013</v>
      </c>
      <c r="I142" s="879">
        <f t="shared" si="28"/>
        <v>2014</v>
      </c>
      <c r="J142" s="880">
        <f t="shared" si="28"/>
        <v>2015</v>
      </c>
      <c r="K142" s="54"/>
      <c r="L142" s="981" t="s">
        <v>36</v>
      </c>
      <c r="M142" s="966"/>
      <c r="N142" s="518" t="s">
        <v>75</v>
      </c>
    </row>
    <row r="143" spans="1:16" x14ac:dyDescent="0.2">
      <c r="A143" s="41" t="s">
        <v>86</v>
      </c>
      <c r="D143" s="704" t="s">
        <v>20</v>
      </c>
      <c r="E143" s="678" t="s">
        <v>20</v>
      </c>
      <c r="F143" s="678" t="s">
        <v>20</v>
      </c>
      <c r="G143" s="678" t="s">
        <v>20</v>
      </c>
      <c r="H143" s="678" t="s">
        <v>20</v>
      </c>
      <c r="I143" s="678" t="s">
        <v>20</v>
      </c>
      <c r="J143" s="941" t="s">
        <v>20</v>
      </c>
      <c r="K143" s="108"/>
      <c r="L143" s="312">
        <v>39355</v>
      </c>
      <c r="M143" s="679">
        <f>'Data 2006-08'!D150</f>
        <v>158.6</v>
      </c>
    </row>
    <row r="144" spans="1:16" x14ac:dyDescent="0.2">
      <c r="A144" s="21" t="s">
        <v>87</v>
      </c>
      <c r="D144" s="705">
        <f>'Data 2006-08'!F151</f>
        <v>4.9810844892812067E-2</v>
      </c>
      <c r="E144" s="705">
        <f>N145</f>
        <v>1.2612612612612484E-2</v>
      </c>
      <c r="F144" s="705">
        <f>N146</f>
        <v>2.7876631079478242E-2</v>
      </c>
      <c r="G144" s="791">
        <f>N147</f>
        <v>3.5199076745527913E-2</v>
      </c>
      <c r="H144" s="791">
        <f>N151</f>
        <v>2.0040080160320661E-2</v>
      </c>
      <c r="I144" s="791">
        <f>N152</f>
        <v>2.16110019646365E-2</v>
      </c>
      <c r="J144" s="791">
        <f>N153</f>
        <v>2.3076923076923217E-2</v>
      </c>
      <c r="K144" s="113"/>
      <c r="L144" s="313">
        <v>39721</v>
      </c>
      <c r="M144" s="680">
        <f>'Data 2006-08'!D151</f>
        <v>166.5</v>
      </c>
      <c r="N144" s="314">
        <f>M144/M143-1</f>
        <v>4.9810844892812067E-2</v>
      </c>
    </row>
    <row r="145" spans="1:15" x14ac:dyDescent="0.2">
      <c r="A145" s="21" t="s">
        <v>36</v>
      </c>
      <c r="D145" s="59">
        <f>1+D144</f>
        <v>1.0498108448928121</v>
      </c>
      <c r="E145" s="59">
        <f t="shared" ref="E145:J145" si="29">D145*(1+E144)</f>
        <v>1.0630517023959645</v>
      </c>
      <c r="F145" s="59">
        <f t="shared" si="29"/>
        <v>1.0926860025220682</v>
      </c>
      <c r="G145" s="59">
        <f t="shared" si="29"/>
        <v>1.1311475409836065</v>
      </c>
      <c r="H145" s="59">
        <f t="shared" si="29"/>
        <v>1.1538158283780675</v>
      </c>
      <c r="I145" s="59">
        <f t="shared" si="29"/>
        <v>1.1787509445119746</v>
      </c>
      <c r="J145" s="59">
        <f t="shared" si="29"/>
        <v>1.205952889385328</v>
      </c>
      <c r="K145" s="59"/>
      <c r="L145" s="701">
        <v>40086</v>
      </c>
      <c r="M145" s="681">
        <v>168.6</v>
      </c>
      <c r="N145" s="314">
        <f>M145/M144-1</f>
        <v>1.2612612612612484E-2</v>
      </c>
    </row>
    <row r="146" spans="1:15" x14ac:dyDescent="0.2">
      <c r="B146" s="98"/>
      <c r="L146" s="701">
        <v>40451</v>
      </c>
      <c r="M146" s="681">
        <v>173.3</v>
      </c>
      <c r="N146" s="314">
        <f>M146/M145-1</f>
        <v>2.7876631079478242E-2</v>
      </c>
    </row>
    <row r="147" spans="1:15" x14ac:dyDescent="0.2">
      <c r="B147" s="98"/>
      <c r="L147" s="703">
        <v>40816</v>
      </c>
      <c r="M147" s="870">
        <v>179.4</v>
      </c>
      <c r="N147" s="314">
        <f>M147/M146-1</f>
        <v>3.5199076745527913E-2</v>
      </c>
    </row>
    <row r="148" spans="1:15" x14ac:dyDescent="0.2">
      <c r="B148" s="98"/>
      <c r="N148" s="2"/>
    </row>
    <row r="149" spans="1:15" x14ac:dyDescent="0.2">
      <c r="B149" s="98"/>
      <c r="L149" s="871" t="s">
        <v>397</v>
      </c>
      <c r="M149" s="21"/>
      <c r="N149" s="2"/>
    </row>
    <row r="150" spans="1:15" x14ac:dyDescent="0.2">
      <c r="B150" s="98"/>
      <c r="L150" s="872">
        <v>40816</v>
      </c>
      <c r="M150" s="873">
        <v>99.8</v>
      </c>
    </row>
    <row r="151" spans="1:15" x14ac:dyDescent="0.2">
      <c r="B151" s="98"/>
      <c r="L151" s="701">
        <v>41182</v>
      </c>
      <c r="M151" s="702">
        <v>101.8</v>
      </c>
      <c r="N151" s="314">
        <f>M151/M150-1</f>
        <v>2.0040080160320661E-2</v>
      </c>
    </row>
    <row r="152" spans="1:15" s="1" customFormat="1" x14ac:dyDescent="0.2">
      <c r="A152" s="41" t="s">
        <v>110</v>
      </c>
      <c r="B152" s="98"/>
      <c r="C152" s="33" t="s">
        <v>7</v>
      </c>
      <c r="D152" s="19"/>
      <c r="E152" s="19"/>
      <c r="F152" s="19"/>
      <c r="G152" s="19"/>
      <c r="H152" s="19"/>
      <c r="I152" s="19"/>
      <c r="J152" s="19"/>
      <c r="K152" s="19"/>
      <c r="L152" s="701">
        <v>41547</v>
      </c>
      <c r="M152" s="681">
        <v>104</v>
      </c>
      <c r="N152" s="314">
        <f>M152/M151-1</f>
        <v>2.16110019646365E-2</v>
      </c>
      <c r="O152" s="21"/>
    </row>
    <row r="153" spans="1:15" s="1" customFormat="1" x14ac:dyDescent="0.2">
      <c r="A153" s="7"/>
      <c r="B153" s="450"/>
      <c r="C153" s="34" t="s">
        <v>8</v>
      </c>
      <c r="D153" s="19"/>
      <c r="E153" s="19"/>
      <c r="F153" s="19"/>
      <c r="G153" s="19"/>
      <c r="H153" s="19"/>
      <c r="I153" s="19"/>
      <c r="J153" s="19"/>
      <c r="K153" s="19"/>
      <c r="L153" s="703">
        <v>41912</v>
      </c>
      <c r="M153" s="682">
        <v>106.4</v>
      </c>
      <c r="N153" s="314">
        <f>M153/M152-1</f>
        <v>2.3076923076923217E-2</v>
      </c>
      <c r="O153" s="21"/>
    </row>
    <row r="154" spans="1:15" s="1" customFormat="1" x14ac:dyDescent="0.2">
      <c r="A154" s="317" t="s">
        <v>363</v>
      </c>
      <c r="B154" s="83"/>
      <c r="C154" s="109">
        <v>15</v>
      </c>
      <c r="D154" s="19"/>
      <c r="E154" s="19"/>
      <c r="F154" s="19"/>
      <c r="G154" s="19"/>
      <c r="H154" s="19"/>
      <c r="I154" s="19"/>
      <c r="J154" s="19"/>
      <c r="K154" s="19"/>
      <c r="N154" s="21"/>
      <c r="O154" s="21"/>
    </row>
    <row r="155" spans="1:15" s="1" customFormat="1" x14ac:dyDescent="0.2">
      <c r="A155" s="82" t="s">
        <v>284</v>
      </c>
      <c r="B155" s="83"/>
      <c r="C155" s="316">
        <v>7</v>
      </c>
      <c r="D155" s="19"/>
      <c r="E155" s="19"/>
      <c r="F155" s="19"/>
      <c r="G155" s="19"/>
      <c r="H155" s="19"/>
      <c r="I155" s="19"/>
      <c r="J155" s="19"/>
      <c r="K155" s="19"/>
      <c r="N155" s="21"/>
      <c r="O155" s="21"/>
    </row>
    <row r="156" spans="1:15" s="1" customFormat="1" x14ac:dyDescent="0.2">
      <c r="A156" s="82" t="s">
        <v>286</v>
      </c>
      <c r="B156" s="83"/>
      <c r="C156" s="316">
        <v>7</v>
      </c>
      <c r="D156" s="19"/>
      <c r="E156" s="19"/>
      <c r="F156" s="19"/>
      <c r="G156" s="19"/>
      <c r="H156" s="19"/>
      <c r="I156" s="19"/>
      <c r="J156" s="19"/>
      <c r="K156" s="19"/>
      <c r="N156" s="21"/>
      <c r="O156" s="21"/>
    </row>
    <row r="157" spans="1:15" s="1" customFormat="1" x14ac:dyDescent="0.2">
      <c r="A157" s="317" t="s">
        <v>285</v>
      </c>
      <c r="B157" s="53"/>
      <c r="C157" s="110">
        <v>7</v>
      </c>
      <c r="D157" s="19"/>
      <c r="E157" s="19"/>
      <c r="F157" s="19"/>
      <c r="G157" s="19"/>
      <c r="H157" s="19"/>
      <c r="I157" s="19"/>
      <c r="J157" s="19"/>
      <c r="K157" s="19"/>
      <c r="L157" s="2"/>
      <c r="M157" s="21"/>
      <c r="N157" s="21"/>
      <c r="O157" s="21"/>
    </row>
    <row r="158" spans="1:15" x14ac:dyDescent="0.2">
      <c r="B158" s="444"/>
    </row>
    <row r="160" spans="1:15" x14ac:dyDescent="0.2">
      <c r="A160" s="72" t="s">
        <v>89</v>
      </c>
      <c r="B160" s="1"/>
      <c r="C160" s="82"/>
    </row>
    <row r="161" spans="1:10" x14ac:dyDescent="0.2">
      <c r="A161" s="99" t="s">
        <v>283</v>
      </c>
      <c r="B161" s="1"/>
      <c r="C161" s="82"/>
    </row>
    <row r="162" spans="1:10" x14ac:dyDescent="0.2">
      <c r="A162" s="82" t="s">
        <v>364</v>
      </c>
      <c r="C162" s="114">
        <f>'Data 2006-08'!C176</f>
        <v>0.375</v>
      </c>
    </row>
    <row r="163" spans="1:10" x14ac:dyDescent="0.2">
      <c r="A163" s="82" t="s">
        <v>365</v>
      </c>
      <c r="C163" s="115">
        <f>'Data 2006-08'!C177</f>
        <v>0.06</v>
      </c>
    </row>
    <row r="164" spans="1:10" x14ac:dyDescent="0.2">
      <c r="A164" s="82" t="str">
        <f>'Data 2006-08'!A$178</f>
        <v>IT</v>
      </c>
      <c r="B164" s="431"/>
      <c r="C164" s="115">
        <f>'Data 2006-08'!C178</f>
        <v>0.4</v>
      </c>
    </row>
    <row r="165" spans="1:10" x14ac:dyDescent="0.2">
      <c r="A165" s="82" t="s">
        <v>286</v>
      </c>
      <c r="B165" s="450"/>
      <c r="C165" s="309">
        <f>1/7*1.5</f>
        <v>0.21428571428571427</v>
      </c>
    </row>
    <row r="166" spans="1:10" x14ac:dyDescent="0.2">
      <c r="A166" s="85" t="str">
        <f>'Data 2006-08'!A$179</f>
        <v>Other</v>
      </c>
      <c r="C166" s="116">
        <f>'Data 2006-08'!C179</f>
        <v>0.1764705882352941</v>
      </c>
    </row>
    <row r="169" spans="1:10" x14ac:dyDescent="0.2">
      <c r="A169" s="58" t="s">
        <v>387</v>
      </c>
      <c r="B169" s="106"/>
      <c r="D169" s="330">
        <f t="shared" ref="D169:J169" si="30">D$1</f>
        <v>2009</v>
      </c>
      <c r="E169" s="330">
        <f t="shared" si="30"/>
        <v>2010</v>
      </c>
      <c r="F169" s="330">
        <f t="shared" si="30"/>
        <v>2011</v>
      </c>
      <c r="G169" s="330">
        <f t="shared" si="30"/>
        <v>2012</v>
      </c>
      <c r="H169" s="330">
        <f t="shared" si="30"/>
        <v>2013</v>
      </c>
      <c r="I169" s="330">
        <f t="shared" si="30"/>
        <v>2014</v>
      </c>
      <c r="J169" s="330">
        <f t="shared" si="30"/>
        <v>2015</v>
      </c>
    </row>
    <row r="170" spans="1:10" x14ac:dyDescent="0.2">
      <c r="A170" s="30"/>
      <c r="D170" s="712" t="s">
        <v>20</v>
      </c>
      <c r="E170" s="712" t="s">
        <v>20</v>
      </c>
      <c r="F170" s="712" t="s">
        <v>20</v>
      </c>
      <c r="G170" s="712" t="s">
        <v>20</v>
      </c>
      <c r="H170" s="712" t="s">
        <v>20</v>
      </c>
      <c r="I170" s="712" t="s">
        <v>20</v>
      </c>
      <c r="J170" s="712" t="s">
        <v>20</v>
      </c>
    </row>
    <row r="171" spans="1:10" x14ac:dyDescent="0.2">
      <c r="A171" s="30"/>
      <c r="D171" s="713" t="s">
        <v>22</v>
      </c>
      <c r="E171" s="713" t="s">
        <v>22</v>
      </c>
      <c r="F171" s="713" t="s">
        <v>22</v>
      </c>
      <c r="G171" s="713" t="s">
        <v>22</v>
      </c>
      <c r="H171" s="713" t="s">
        <v>22</v>
      </c>
      <c r="I171" s="713" t="s">
        <v>22</v>
      </c>
      <c r="J171" s="713" t="s">
        <v>22</v>
      </c>
    </row>
    <row r="172" spans="1:10" x14ac:dyDescent="0.2">
      <c r="A172" s="30"/>
      <c r="B172" s="53"/>
      <c r="D172" s="331"/>
      <c r="E172" s="714"/>
      <c r="F172" s="714"/>
      <c r="G172" s="714"/>
      <c r="H172" s="714"/>
      <c r="I172" s="714"/>
      <c r="J172" s="733"/>
    </row>
    <row r="173" spans="1:10" x14ac:dyDescent="0.2">
      <c r="A173" s="88" t="s">
        <v>24</v>
      </c>
      <c r="D173" s="710" t="s">
        <v>28</v>
      </c>
      <c r="E173" s="714"/>
      <c r="F173" s="714"/>
      <c r="G173" s="714"/>
      <c r="H173" s="714"/>
      <c r="I173" s="714"/>
      <c r="J173" s="721"/>
    </row>
    <row r="174" spans="1:10" x14ac:dyDescent="0.2">
      <c r="A174" s="82" t="s">
        <v>26</v>
      </c>
      <c r="D174" s="548">
        <v>74.754999999999995</v>
      </c>
      <c r="E174" s="714"/>
      <c r="F174" s="714"/>
      <c r="G174" s="714"/>
      <c r="H174" s="714"/>
      <c r="I174" s="714"/>
      <c r="J174" s="721"/>
    </row>
    <row r="175" spans="1:10" x14ac:dyDescent="0.2">
      <c r="A175" s="82" t="s">
        <v>27</v>
      </c>
      <c r="D175" s="548">
        <v>26.5</v>
      </c>
      <c r="E175" s="714"/>
      <c r="F175" s="714"/>
      <c r="G175" s="714"/>
      <c r="H175" s="714"/>
      <c r="I175" s="714"/>
      <c r="J175" s="721"/>
    </row>
    <row r="176" spans="1:10" x14ac:dyDescent="0.2">
      <c r="A176" s="30"/>
      <c r="D176" s="549"/>
      <c r="E176" s="714"/>
      <c r="F176" s="714"/>
      <c r="G176" s="714"/>
      <c r="H176" s="714"/>
      <c r="I176" s="714"/>
      <c r="J176" s="721"/>
    </row>
    <row r="177" spans="1:17" x14ac:dyDescent="0.2">
      <c r="A177" s="88" t="s">
        <v>29</v>
      </c>
      <c r="B177" s="446"/>
      <c r="D177" s="711" t="s">
        <v>28</v>
      </c>
      <c r="E177" s="714"/>
      <c r="F177" s="714"/>
      <c r="G177" s="714"/>
      <c r="H177" s="714"/>
      <c r="I177" s="714"/>
      <c r="J177" s="721"/>
    </row>
    <row r="178" spans="1:17" x14ac:dyDescent="0.2">
      <c r="A178" s="55" t="s">
        <v>288</v>
      </c>
      <c r="B178" s="442"/>
      <c r="D178" s="548">
        <v>8.4499999999999993</v>
      </c>
      <c r="E178" s="714"/>
      <c r="F178" s="714"/>
      <c r="G178" s="714"/>
      <c r="H178" s="714"/>
      <c r="I178" s="714"/>
      <c r="J178" s="721"/>
    </row>
    <row r="179" spans="1:17" x14ac:dyDescent="0.2">
      <c r="A179" s="55" t="s">
        <v>289</v>
      </c>
      <c r="B179" s="443"/>
      <c r="D179" s="548">
        <v>21.736000000000001</v>
      </c>
      <c r="E179" s="714"/>
      <c r="F179" s="714"/>
      <c r="G179" s="714"/>
      <c r="H179" s="714"/>
      <c r="I179" s="714"/>
      <c r="J179" s="721"/>
    </row>
    <row r="180" spans="1:17" x14ac:dyDescent="0.2">
      <c r="A180" s="55" t="s">
        <v>290</v>
      </c>
      <c r="B180" s="86"/>
      <c r="D180" s="548">
        <v>64.293999999999997</v>
      </c>
      <c r="E180" s="714"/>
      <c r="F180" s="714"/>
      <c r="G180" s="714"/>
      <c r="H180" s="714"/>
      <c r="I180" s="714"/>
      <c r="J180" s="721"/>
    </row>
    <row r="181" spans="1:17" x14ac:dyDescent="0.2">
      <c r="A181" s="55" t="s">
        <v>291</v>
      </c>
      <c r="B181" s="86"/>
      <c r="D181" s="550">
        <v>102.741</v>
      </c>
      <c r="E181" s="714"/>
      <c r="F181" s="714"/>
      <c r="G181" s="714"/>
      <c r="H181" s="714"/>
      <c r="I181" s="714"/>
      <c r="J181" s="721"/>
    </row>
    <row r="182" spans="1:17" x14ac:dyDescent="0.2">
      <c r="E182" s="714"/>
      <c r="F182" s="714"/>
      <c r="G182" s="714"/>
      <c r="H182" s="714"/>
      <c r="I182" s="714"/>
      <c r="J182" s="721"/>
    </row>
    <row r="183" spans="1:17" x14ac:dyDescent="0.2">
      <c r="E183" s="714"/>
      <c r="F183" s="714"/>
      <c r="G183" s="714"/>
      <c r="H183" s="714"/>
      <c r="I183" s="714"/>
      <c r="J183" s="721"/>
    </row>
    <row r="184" spans="1:17" x14ac:dyDescent="0.2">
      <c r="A184" s="88" t="s">
        <v>29</v>
      </c>
      <c r="E184" s="715" t="s">
        <v>28</v>
      </c>
      <c r="F184" s="714"/>
      <c r="G184" s="714"/>
      <c r="H184" s="714"/>
      <c r="I184" s="714"/>
      <c r="J184" s="721"/>
    </row>
    <row r="185" spans="1:17" x14ac:dyDescent="0.2">
      <c r="A185" s="83" t="s">
        <v>375</v>
      </c>
      <c r="E185" s="716">
        <v>96.67</v>
      </c>
      <c r="F185" s="716">
        <v>95.01</v>
      </c>
      <c r="G185" s="716">
        <v>102.96</v>
      </c>
      <c r="H185" s="716">
        <v>127.75</v>
      </c>
      <c r="I185" s="716">
        <v>115.27</v>
      </c>
      <c r="J185" s="721"/>
    </row>
    <row r="186" spans="1:17" x14ac:dyDescent="0.2">
      <c r="A186" s="83" t="s">
        <v>290</v>
      </c>
      <c r="E186" s="716">
        <v>127.5</v>
      </c>
      <c r="F186" s="716">
        <v>125.32</v>
      </c>
      <c r="G186" s="716">
        <v>135.80000000000001</v>
      </c>
      <c r="H186" s="716">
        <v>168.5</v>
      </c>
      <c r="I186" s="716">
        <v>152.04</v>
      </c>
      <c r="J186" s="721"/>
    </row>
    <row r="187" spans="1:17" x14ac:dyDescent="0.2">
      <c r="A187" s="83" t="s">
        <v>291</v>
      </c>
      <c r="E187" s="717">
        <v>168.94</v>
      </c>
      <c r="F187" s="717">
        <v>166.05</v>
      </c>
      <c r="G187" s="717">
        <v>179.94</v>
      </c>
      <c r="H187" s="717">
        <v>223.27</v>
      </c>
      <c r="I187" s="717">
        <v>201.47</v>
      </c>
      <c r="J187" s="731"/>
    </row>
    <row r="188" spans="1:17" x14ac:dyDescent="0.2">
      <c r="B188" s="86"/>
    </row>
    <row r="189" spans="1:17" x14ac:dyDescent="0.2">
      <c r="B189" s="86"/>
    </row>
    <row r="190" spans="1:17" ht="13.5" thickBot="1" x14ac:dyDescent="0.25">
      <c r="A190" s="68"/>
      <c r="B190" s="452"/>
      <c r="C190" s="68"/>
      <c r="D190" s="68"/>
      <c r="E190" s="68"/>
      <c r="F190" s="68"/>
      <c r="G190" s="68"/>
      <c r="H190" s="68"/>
      <c r="I190" s="68"/>
      <c r="J190" s="68"/>
      <c r="K190" s="69"/>
      <c r="L190" s="68"/>
      <c r="M190" s="68"/>
      <c r="N190" s="68"/>
      <c r="O190" s="68"/>
      <c r="P190" s="68"/>
      <c r="Q190" s="68"/>
    </row>
    <row r="191" spans="1:17" x14ac:dyDescent="0.2">
      <c r="B191" s="443"/>
    </row>
    <row r="193" spans="2:2" x14ac:dyDescent="0.2">
      <c r="B193" s="86"/>
    </row>
    <row r="194" spans="2:2" x14ac:dyDescent="0.2">
      <c r="B194" s="86"/>
    </row>
    <row r="195" spans="2:2" x14ac:dyDescent="0.2">
      <c r="B195" s="86"/>
    </row>
    <row r="196" spans="2:2" x14ac:dyDescent="0.2">
      <c r="B196" s="86"/>
    </row>
    <row r="197" spans="2:2" x14ac:dyDescent="0.2">
      <c r="B197" s="451"/>
    </row>
    <row r="198" spans="2:2" x14ac:dyDescent="0.2">
      <c r="B198" s="86"/>
    </row>
    <row r="199" spans="2:2" x14ac:dyDescent="0.2">
      <c r="B199" s="86"/>
    </row>
    <row r="200" spans="2:2" x14ac:dyDescent="0.2">
      <c r="B200" s="431"/>
    </row>
    <row r="201" spans="2:2" x14ac:dyDescent="0.2">
      <c r="B201" s="86"/>
    </row>
    <row r="202" spans="2:2" x14ac:dyDescent="0.2">
      <c r="B202" s="86"/>
    </row>
    <row r="203" spans="2:2" x14ac:dyDescent="0.2">
      <c r="B203" s="443"/>
    </row>
    <row r="204" spans="2:2" x14ac:dyDescent="0.2">
      <c r="B204" s="86"/>
    </row>
    <row r="205" spans="2:2" x14ac:dyDescent="0.2">
      <c r="B205" s="86"/>
    </row>
    <row r="206" spans="2:2" x14ac:dyDescent="0.2">
      <c r="B206" s="86"/>
    </row>
    <row r="207" spans="2:2" x14ac:dyDescent="0.2">
      <c r="B207" s="86"/>
    </row>
    <row r="208" spans="2:2" x14ac:dyDescent="0.2">
      <c r="B208" s="86"/>
    </row>
    <row r="209" spans="2:2" x14ac:dyDescent="0.2">
      <c r="B209" s="86"/>
    </row>
    <row r="212" spans="2:2" x14ac:dyDescent="0.2">
      <c r="B212" s="442"/>
    </row>
    <row r="213" spans="2:2" x14ac:dyDescent="0.2">
      <c r="B213" s="443"/>
    </row>
    <row r="214" spans="2:2" x14ac:dyDescent="0.2">
      <c r="B214" s="86"/>
    </row>
    <row r="215" spans="2:2" x14ac:dyDescent="0.2">
      <c r="B215" s="442"/>
    </row>
    <row r="216" spans="2:2" x14ac:dyDescent="0.2">
      <c r="B216" s="443"/>
    </row>
    <row r="217" spans="2:2" x14ac:dyDescent="0.2">
      <c r="B217" s="86"/>
    </row>
    <row r="218" spans="2:2" x14ac:dyDescent="0.2">
      <c r="B218" s="86"/>
    </row>
    <row r="219" spans="2:2" x14ac:dyDescent="0.2">
      <c r="B219" s="86"/>
    </row>
    <row r="220" spans="2:2" x14ac:dyDescent="0.2">
      <c r="B220" s="86"/>
    </row>
    <row r="221" spans="2:2" x14ac:dyDescent="0.2">
      <c r="B221" s="86"/>
    </row>
    <row r="223" spans="2:2" x14ac:dyDescent="0.2">
      <c r="B223" s="443"/>
    </row>
    <row r="224" spans="2:2" x14ac:dyDescent="0.2">
      <c r="B224" s="86"/>
    </row>
    <row r="227" spans="2:2" ht="13.5" thickBot="1" x14ac:dyDescent="0.25">
      <c r="B227" s="449"/>
    </row>
  </sheetData>
  <mergeCells count="3">
    <mergeCell ref="L142:M142"/>
    <mergeCell ref="E65:J65"/>
    <mergeCell ref="O65:Q65"/>
  </mergeCells>
  <phoneticPr fontId="0" type="noConversion"/>
  <printOptions gridLines="1"/>
  <pageMargins left="0.75" right="0.75" top="0.3" bottom="0.34" header="0.18" footer="0.2"/>
  <pageSetup paperSize="8" scale="49" orientation="portrait" r:id="rId1"/>
  <headerFooter alignWithMargins="0">
    <oddFooter>&amp;L&amp;D&amp;R&amp;A \ 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zoomScale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65" sqref="J65"/>
    </sheetView>
  </sheetViews>
  <sheetFormatPr defaultRowHeight="12.75" x14ac:dyDescent="0.2"/>
  <cols>
    <col min="1" max="1" width="33.5703125" style="55" customWidth="1"/>
    <col min="2" max="3" width="9.140625" style="55"/>
    <col min="4" max="7" width="15" style="55" customWidth="1"/>
    <col min="8" max="8" width="16.5703125" style="55" customWidth="1"/>
    <col min="9" max="10" width="15" style="55" customWidth="1"/>
    <col min="11" max="11" width="9.140625" style="55"/>
    <col min="12" max="12" width="9.140625" style="55" customWidth="1"/>
    <col min="13" max="16384" width="9.140625" style="55"/>
  </cols>
  <sheetData>
    <row r="1" spans="1:10" x14ac:dyDescent="0.2">
      <c r="A1" s="542" t="str">
        <f>'Data 2006-08'!$A$1</f>
        <v>Powercor</v>
      </c>
      <c r="E1" s="488" t="s">
        <v>391</v>
      </c>
      <c r="F1" s="489" t="str">
        <f>IF(SUM('AMI RAB 2009-15'!C2,'AMI Tax Depn 2009-15'!C2,'AMI Building Blocks 2009-15'!D1,'Data 2006-08'!D1)&lt;0.001,"Ok","Error")</f>
        <v>Ok</v>
      </c>
    </row>
    <row r="3" spans="1:10" x14ac:dyDescent="0.2">
      <c r="A3" s="407" t="s">
        <v>304</v>
      </c>
      <c r="D3" s="389">
        <v>2009</v>
      </c>
      <c r="E3" s="389">
        <v>2010</v>
      </c>
      <c r="F3" s="389">
        <v>2011</v>
      </c>
      <c r="G3" s="389">
        <v>2012</v>
      </c>
      <c r="H3" s="389">
        <v>2013</v>
      </c>
      <c r="I3" s="389">
        <v>2014</v>
      </c>
      <c r="J3" s="389">
        <v>2015</v>
      </c>
    </row>
    <row r="4" spans="1:10" x14ac:dyDescent="0.2">
      <c r="A4" s="55" t="s">
        <v>343</v>
      </c>
      <c r="D4" s="345">
        <f>'AMI Building Blocks 2009-15'!D34</f>
        <v>37356.030648187101</v>
      </c>
      <c r="E4" s="345">
        <f>'AMI Building Blocks 2009-15'!E34</f>
        <v>44509.027735760465</v>
      </c>
      <c r="F4" s="345">
        <f>'AMI Building Blocks 2009-15'!F34</f>
        <v>69054.078150580201</v>
      </c>
      <c r="G4" s="345">
        <f>'AMI Building Blocks 2009-15'!G34</f>
        <v>83067.050283840756</v>
      </c>
      <c r="H4" s="345">
        <f>'AMI Building Blocks 2009-15'!H34</f>
        <v>96111.580553610838</v>
      </c>
      <c r="I4" s="345">
        <f>'AMI Building Blocks 2009-15'!I34</f>
        <v>85563.873060184633</v>
      </c>
      <c r="J4" s="345">
        <f>'AMI Building Blocks 2009-15'!J34</f>
        <v>85668.83948839987</v>
      </c>
    </row>
    <row r="5" spans="1:10" x14ac:dyDescent="0.2">
      <c r="A5" s="55" t="s">
        <v>351</v>
      </c>
      <c r="D5" s="345">
        <f>'Offset of Costs and Rev 2006-08'!G20</f>
        <v>27871.184186465216</v>
      </c>
      <c r="E5" s="512"/>
      <c r="F5" s="512"/>
      <c r="G5" s="512"/>
      <c r="H5" s="512"/>
      <c r="I5" s="512"/>
      <c r="J5" s="512"/>
    </row>
    <row r="6" spans="1:10" x14ac:dyDescent="0.2">
      <c r="A6" s="55" t="s">
        <v>349</v>
      </c>
      <c r="D6" s="387">
        <f t="shared" ref="D6:J6" si="0">SUM(D4:D5)</f>
        <v>65227.214834652317</v>
      </c>
      <c r="E6" s="387">
        <f t="shared" si="0"/>
        <v>44509.027735760465</v>
      </c>
      <c r="F6" s="387">
        <f t="shared" si="0"/>
        <v>69054.078150580201</v>
      </c>
      <c r="G6" s="387">
        <f t="shared" si="0"/>
        <v>83067.050283840756</v>
      </c>
      <c r="H6" s="387">
        <f t="shared" si="0"/>
        <v>96111.580553610838</v>
      </c>
      <c r="I6" s="387">
        <f t="shared" si="0"/>
        <v>85563.873060184633</v>
      </c>
      <c r="J6" s="387">
        <f t="shared" si="0"/>
        <v>85668.83948839987</v>
      </c>
    </row>
    <row r="8" spans="1:10" x14ac:dyDescent="0.2">
      <c r="A8" s="55" t="s">
        <v>300</v>
      </c>
      <c r="D8" s="345">
        <f>'Data 2009-15 (Real $2008)'!D60/10^3</f>
        <v>33138.971770000004</v>
      </c>
      <c r="E8" s="345">
        <f>'Data 2009-15 (Real $2008)'!E60/10^3</f>
        <v>71092.652630000011</v>
      </c>
      <c r="F8" s="345">
        <f>'Data 2009-15 (Real $2008)'!F60/10^3</f>
        <v>72026.21027412331</v>
      </c>
      <c r="G8" s="345">
        <f>'Data 2009-15 (Real $2008)'!G60/10^3</f>
        <v>79301.450791750016</v>
      </c>
      <c r="H8" s="345">
        <f>'Data 2009-15 (Real $2008)'!H60/10^3</f>
        <v>99912.045450000005</v>
      </c>
      <c r="I8" s="345">
        <f>S76</f>
        <v>91443.971000066595</v>
      </c>
      <c r="J8" s="345">
        <f>T76</f>
        <v>88063.836043412506</v>
      </c>
    </row>
    <row r="10" spans="1:10" x14ac:dyDescent="0.2">
      <c r="A10" s="55" t="str">
        <f>'AMI Building Blocks 2009-15'!A19</f>
        <v>Vanilla' after tax WACC (nominal)</v>
      </c>
      <c r="D10" s="513">
        <f>'AMI Building Blocks 2009-15'!D24</f>
        <v>0.1209003175700798</v>
      </c>
      <c r="E10" s="513">
        <f>'AMI Building Blocks 2009-15'!E24</f>
        <v>8.1183152731514552E-2</v>
      </c>
      <c r="F10" s="513">
        <f>'AMI Building Blocks 2009-15'!F24</f>
        <v>9.7480796473851994E-2</v>
      </c>
      <c r="G10" s="513">
        <f>'AMI Building Blocks 2009-15'!G24</f>
        <v>0.10529909222912481</v>
      </c>
      <c r="H10" s="513">
        <f>'AMI Building Blocks 2009-15'!H24</f>
        <v>8.9113582078353293E-2</v>
      </c>
      <c r="I10" s="513">
        <f>'AMI Building Blocks 2009-15'!I24</f>
        <v>7.2935813500832225E-2</v>
      </c>
      <c r="J10" s="513">
        <f>'AMI Building Blocks 2009-15'!J24</f>
        <v>7.4475381162216747E-2</v>
      </c>
    </row>
    <row r="11" spans="1:10" x14ac:dyDescent="0.2">
      <c r="A11" s="55" t="s">
        <v>346</v>
      </c>
      <c r="C11" s="514"/>
      <c r="D11" s="514">
        <f>1/(1+D10)*(1+D10)^(0.5)</f>
        <v>0.94453162556261583</v>
      </c>
      <c r="E11" s="514">
        <f t="shared" ref="E11:J11" si="1">D11/(1+E10)</f>
        <v>0.87360927071083139</v>
      </c>
      <c r="F11" s="514">
        <f t="shared" si="1"/>
        <v>0.79601326375613313</v>
      </c>
      <c r="G11" s="514">
        <f t="shared" si="1"/>
        <v>0.72017906225794881</v>
      </c>
      <c r="H11" s="514">
        <f t="shared" si="1"/>
        <v>0.66125248468909237</v>
      </c>
      <c r="I11" s="514">
        <f t="shared" si="1"/>
        <v>0.61630199716376555</v>
      </c>
      <c r="J11" s="514">
        <f t="shared" si="1"/>
        <v>0.57358410250138681</v>
      </c>
    </row>
    <row r="13" spans="1:10" x14ac:dyDescent="0.2">
      <c r="A13" s="55" t="s">
        <v>347</v>
      </c>
      <c r="D13" s="345">
        <f t="shared" ref="D13:J13" si="2">D6*D$11</f>
        <v>61609.167258696121</v>
      </c>
      <c r="E13" s="345">
        <f t="shared" si="2"/>
        <v>38883.499260285869</v>
      </c>
      <c r="F13" s="345">
        <f t="shared" si="2"/>
        <v>54967.962124314428</v>
      </c>
      <c r="G13" s="345">
        <f t="shared" si="2"/>
        <v>59823.150377950318</v>
      </c>
      <c r="H13" s="345">
        <f t="shared" si="2"/>
        <v>63554.021448471016</v>
      </c>
      <c r="I13" s="345">
        <f t="shared" si="2"/>
        <v>52733.185852058705</v>
      </c>
      <c r="J13" s="345">
        <f t="shared" si="2"/>
        <v>49138.284410289205</v>
      </c>
    </row>
    <row r="15" spans="1:10" x14ac:dyDescent="0.2">
      <c r="A15" s="55" t="s">
        <v>348</v>
      </c>
      <c r="D15" s="345">
        <f t="shared" ref="D15:J15" si="3">D8*D$11</f>
        <v>31300.80687539174</v>
      </c>
      <c r="E15" s="345">
        <f t="shared" si="3"/>
        <v>62107.200416992782</v>
      </c>
      <c r="F15" s="345">
        <f t="shared" si="3"/>
        <v>57333.818716290421</v>
      </c>
      <c r="G15" s="345">
        <f t="shared" si="3"/>
        <v>57111.244466897399</v>
      </c>
      <c r="H15" s="345">
        <f t="shared" si="3"/>
        <v>66067.088304182034</v>
      </c>
      <c r="I15" s="345">
        <f t="shared" si="3"/>
        <v>56357.101955926504</v>
      </c>
      <c r="J15" s="345">
        <f t="shared" si="3"/>
        <v>50512.016359790039</v>
      </c>
    </row>
    <row r="17" spans="1:20" x14ac:dyDescent="0.2">
      <c r="A17" s="266" t="s">
        <v>350</v>
      </c>
      <c r="D17" s="345"/>
      <c r="E17" s="516">
        <f>SUM($D15:E15)-SUM($D13:E13)</f>
        <v>-7084.6592265974759</v>
      </c>
      <c r="F17" s="516">
        <f>SUM($D15:F15)-SUM($D13:F13)</f>
        <v>-4718.8026346215047</v>
      </c>
      <c r="G17" s="516">
        <f>SUM($D15:G15)-SUM($D13:G13)</f>
        <v>-7430.7085456744244</v>
      </c>
      <c r="H17" s="516">
        <f>SUM($D15:H15)-SUM($D13:H13)</f>
        <v>-4917.641689963406</v>
      </c>
      <c r="I17" s="516">
        <f>SUM($D15:I15)-SUM($D13:I13)</f>
        <v>-1293.725586095592</v>
      </c>
      <c r="J17" s="516">
        <f>SUM($D15:J15)-SUM($D13:J13)</f>
        <v>80.006363405263983</v>
      </c>
      <c r="L17" s="889"/>
    </row>
    <row r="19" spans="1:20" x14ac:dyDescent="0.2">
      <c r="A19" s="515" t="s">
        <v>292</v>
      </c>
      <c r="E19" s="517" t="str">
        <f t="shared" ref="E19:J19" si="4">IF(E17&gt;0,"Non Compliant","Compliant")</f>
        <v>Compliant</v>
      </c>
      <c r="F19" s="517" t="str">
        <f t="shared" si="4"/>
        <v>Compliant</v>
      </c>
      <c r="G19" s="517" t="str">
        <f t="shared" si="4"/>
        <v>Compliant</v>
      </c>
      <c r="H19" s="517" t="str">
        <f t="shared" si="4"/>
        <v>Compliant</v>
      </c>
      <c r="I19" s="517" t="str">
        <f t="shared" si="4"/>
        <v>Compliant</v>
      </c>
      <c r="J19" s="517" t="str">
        <f t="shared" si="4"/>
        <v>Non Compliant</v>
      </c>
    </row>
    <row r="21" spans="1:20" x14ac:dyDescent="0.2">
      <c r="A21" s="806"/>
      <c r="E21" s="772"/>
      <c r="F21" s="772"/>
    </row>
    <row r="22" spans="1:20" ht="13.5" thickBot="1" x14ac:dyDescent="0.25">
      <c r="A22" s="522"/>
      <c r="B22" s="522"/>
      <c r="C22" s="522"/>
      <c r="D22" s="522"/>
      <c r="E22" s="522"/>
      <c r="F22" s="522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</row>
    <row r="24" spans="1:20" s="358" customFormat="1" x14ac:dyDescent="0.2">
      <c r="A24" s="692"/>
      <c r="B24" s="393"/>
      <c r="C24" s="393"/>
      <c r="D24" s="693"/>
      <c r="E24" s="510"/>
      <c r="G24" s="510"/>
      <c r="J24" s="510"/>
    </row>
    <row r="25" spans="1:20" s="358" customFormat="1" x14ac:dyDescent="0.2">
      <c r="A25" s="86"/>
      <c r="B25" s="393"/>
      <c r="C25" s="393"/>
      <c r="D25" s="773"/>
    </row>
    <row r="26" spans="1:20" s="887" customFormat="1" x14ac:dyDescent="0.2">
      <c r="A26" s="885" t="s">
        <v>390</v>
      </c>
      <c r="B26" s="886"/>
      <c r="C26" s="886"/>
      <c r="G26" s="876" t="s">
        <v>387</v>
      </c>
      <c r="H26" s="888" t="s">
        <v>292</v>
      </c>
      <c r="M26" s="984" t="s">
        <v>23</v>
      </c>
      <c r="N26" s="967"/>
      <c r="S26" s="984" t="s">
        <v>341</v>
      </c>
      <c r="T26" s="967"/>
    </row>
    <row r="27" spans="1:20" s="358" customFormat="1" x14ac:dyDescent="0.2">
      <c r="A27" s="407" t="s">
        <v>304</v>
      </c>
      <c r="B27" s="363"/>
      <c r="C27" s="363"/>
      <c r="G27" s="774">
        <v>2014</v>
      </c>
      <c r="H27" s="774">
        <v>2015</v>
      </c>
      <c r="M27" s="774">
        <f>G27</f>
        <v>2014</v>
      </c>
      <c r="N27" s="774">
        <f>H27</f>
        <v>2015</v>
      </c>
      <c r="S27" s="774">
        <f>M27</f>
        <v>2014</v>
      </c>
      <c r="T27" s="774">
        <f>N27</f>
        <v>2015</v>
      </c>
    </row>
    <row r="28" spans="1:20" s="358" customFormat="1" x14ac:dyDescent="0.2">
      <c r="A28" s="493"/>
      <c r="B28" s="363"/>
      <c r="C28" s="363"/>
    </row>
    <row r="29" spans="1:20" s="358" customFormat="1" x14ac:dyDescent="0.2">
      <c r="A29" s="506" t="str">
        <f>'Data 2009-15 (Real $2008)'!A71</f>
        <v>Metering data services</v>
      </c>
      <c r="B29" s="363"/>
      <c r="C29" s="363"/>
      <c r="G29" s="506" t="str">
        <f>'Data 2009-15 (Real $2008)'!E71</f>
        <v>Charge per meter ($ p.a.)</v>
      </c>
    </row>
    <row r="30" spans="1:20" s="358" customFormat="1" x14ac:dyDescent="0.2">
      <c r="A30" s="358" t="str">
        <f>'Data 2009-15 (Real $2008)'!A72</f>
        <v>metering data services - monthly read meter</v>
      </c>
      <c r="B30" s="363"/>
      <c r="C30" s="363"/>
      <c r="G30" s="508">
        <f>'Data 2009-15 (Real $2008)'!I72</f>
        <v>0</v>
      </c>
      <c r="H30" s="508">
        <f>'Data 2009-15 (Real $2008)'!J72</f>
        <v>0</v>
      </c>
      <c r="M30" s="507">
        <f>'Data 2009-15 (Real $2008)'!P72</f>
        <v>0</v>
      </c>
      <c r="N30" s="507">
        <f>'Data 2009-15 (Real $2008)'!Q72</f>
        <v>0</v>
      </c>
      <c r="S30" s="80">
        <f t="shared" ref="S30:T36" si="5">G30*M30/10^3</f>
        <v>0</v>
      </c>
      <c r="T30" s="80">
        <f t="shared" si="5"/>
        <v>0</v>
      </c>
    </row>
    <row r="31" spans="1:20" s="358" customFormat="1" x14ac:dyDescent="0.2">
      <c r="A31" s="358" t="str">
        <f>'Data 2009-15 (Real $2008)'!A73</f>
        <v>metering data services - quarterly read meter</v>
      </c>
      <c r="B31" s="363"/>
      <c r="C31" s="363"/>
      <c r="G31" s="508">
        <f>'Data 2009-15 (Real $2008)'!I73</f>
        <v>0</v>
      </c>
      <c r="H31" s="508">
        <f>'Data 2009-15 (Real $2008)'!J73</f>
        <v>0</v>
      </c>
      <c r="M31" s="507">
        <f>'Data 2009-15 (Real $2008)'!P73</f>
        <v>0</v>
      </c>
      <c r="N31" s="507">
        <f>'Data 2009-15 (Real $2008)'!Q73</f>
        <v>0</v>
      </c>
      <c r="S31" s="80">
        <f t="shared" si="5"/>
        <v>0</v>
      </c>
      <c r="T31" s="80">
        <f t="shared" si="5"/>
        <v>0</v>
      </c>
    </row>
    <row r="32" spans="1:20" s="358" customFormat="1" x14ac:dyDescent="0.2">
      <c r="A32" s="358" t="str">
        <f>'Data 2009-15 (Real $2008)'!A74</f>
        <v>Other Category 1 : Describe………………..</v>
      </c>
      <c r="B32" s="363"/>
      <c r="C32" s="363"/>
      <c r="G32" s="508">
        <f>'Data 2009-15 (Real $2008)'!I74</f>
        <v>0</v>
      </c>
      <c r="H32" s="508">
        <f>'Data 2009-15 (Real $2008)'!J74</f>
        <v>0</v>
      </c>
      <c r="M32" s="507">
        <f>'Data 2009-15 (Real $2008)'!P74</f>
        <v>0</v>
      </c>
      <c r="N32" s="507">
        <f>'Data 2009-15 (Real $2008)'!Q74</f>
        <v>0</v>
      </c>
      <c r="S32" s="80">
        <f t="shared" si="5"/>
        <v>0</v>
      </c>
      <c r="T32" s="80">
        <f t="shared" si="5"/>
        <v>0</v>
      </c>
    </row>
    <row r="33" spans="1:20" s="358" customFormat="1" x14ac:dyDescent="0.2">
      <c r="A33" s="358" t="str">
        <f>'Data 2009-15 (Real $2008)'!A75</f>
        <v>Other Category 2 : Describe………………..</v>
      </c>
      <c r="B33" s="363"/>
      <c r="C33" s="363"/>
      <c r="G33" s="508">
        <f>'Data 2009-15 (Real $2008)'!I75</f>
        <v>0</v>
      </c>
      <c r="H33" s="508">
        <f>'Data 2009-15 (Real $2008)'!J75</f>
        <v>0</v>
      </c>
      <c r="M33" s="507">
        <f>'Data 2009-15 (Real $2008)'!P75</f>
        <v>0</v>
      </c>
      <c r="N33" s="507">
        <f>'Data 2009-15 (Real $2008)'!Q75</f>
        <v>0</v>
      </c>
      <c r="S33" s="80">
        <f t="shared" si="5"/>
        <v>0</v>
      </c>
      <c r="T33" s="80">
        <f t="shared" si="5"/>
        <v>0</v>
      </c>
    </row>
    <row r="34" spans="1:20" s="358" customFormat="1" x14ac:dyDescent="0.2">
      <c r="A34" s="358" t="str">
        <f>'Data 2009-15 (Real $2008)'!A76</f>
        <v>Other Category 3 : Describe………………..</v>
      </c>
      <c r="B34" s="363"/>
      <c r="C34" s="363"/>
      <c r="G34" s="508">
        <f>'Data 2009-15 (Real $2008)'!I76</f>
        <v>0</v>
      </c>
      <c r="H34" s="508">
        <f>'Data 2009-15 (Real $2008)'!J76</f>
        <v>0</v>
      </c>
      <c r="M34" s="507">
        <f>'Data 2009-15 (Real $2008)'!P76</f>
        <v>0</v>
      </c>
      <c r="N34" s="507">
        <f>'Data 2009-15 (Real $2008)'!Q76</f>
        <v>0</v>
      </c>
      <c r="S34" s="80">
        <f t="shared" si="5"/>
        <v>0</v>
      </c>
      <c r="T34" s="80">
        <f t="shared" si="5"/>
        <v>0</v>
      </c>
    </row>
    <row r="35" spans="1:20" s="358" customFormat="1" x14ac:dyDescent="0.2">
      <c r="A35" s="358" t="str">
        <f>'Data 2009-15 (Real $2008)'!A77</f>
        <v>Other Category 4 : Describe………………..</v>
      </c>
      <c r="B35" s="363"/>
      <c r="C35" s="363"/>
      <c r="G35" s="508">
        <f>'Data 2009-15 (Real $2008)'!I77</f>
        <v>0</v>
      </c>
      <c r="H35" s="508">
        <f>'Data 2009-15 (Real $2008)'!J77</f>
        <v>0</v>
      </c>
      <c r="M35" s="507">
        <f>'Data 2009-15 (Real $2008)'!P77</f>
        <v>0</v>
      </c>
      <c r="N35" s="507">
        <f>'Data 2009-15 (Real $2008)'!Q77</f>
        <v>0</v>
      </c>
      <c r="S35" s="80">
        <f t="shared" si="5"/>
        <v>0</v>
      </c>
      <c r="T35" s="80">
        <f t="shared" si="5"/>
        <v>0</v>
      </c>
    </row>
    <row r="36" spans="1:20" s="358" customFormat="1" x14ac:dyDescent="0.2">
      <c r="A36" s="358" t="str">
        <f>'Data 2009-15 (Real $2008)'!A78</f>
        <v>Other Category 5 : Describe………………..</v>
      </c>
      <c r="B36" s="363"/>
      <c r="C36" s="363"/>
      <c r="G36" s="508">
        <f>'Data 2009-15 (Real $2008)'!I78</f>
        <v>0</v>
      </c>
      <c r="H36" s="508">
        <f>'Data 2009-15 (Real $2008)'!J78</f>
        <v>0</v>
      </c>
      <c r="M36" s="507">
        <f>'Data 2009-15 (Real $2008)'!P78</f>
        <v>0</v>
      </c>
      <c r="N36" s="507">
        <f>'Data 2009-15 (Real $2008)'!Q78</f>
        <v>0</v>
      </c>
      <c r="S36" s="80">
        <f t="shared" si="5"/>
        <v>0</v>
      </c>
      <c r="T36" s="80">
        <f t="shared" si="5"/>
        <v>0</v>
      </c>
    </row>
    <row r="37" spans="1:20" s="358" customFormat="1" x14ac:dyDescent="0.2">
      <c r="B37" s="363"/>
      <c r="C37" s="363"/>
    </row>
    <row r="38" spans="1:20" s="358" customFormat="1" x14ac:dyDescent="0.2">
      <c r="B38" s="363"/>
      <c r="C38" s="363"/>
    </row>
    <row r="39" spans="1:20" s="358" customFormat="1" x14ac:dyDescent="0.2">
      <c r="A39" s="506" t="str">
        <f>'Data 2009-15 (Real $2008)'!A81</f>
        <v>Metering data services</v>
      </c>
      <c r="B39" s="363"/>
      <c r="C39" s="363"/>
      <c r="G39" s="506" t="str">
        <f>'Data 2009-15 (Real $2008)'!E81</f>
        <v>Charge per NMIs ($ p.a.)</v>
      </c>
    </row>
    <row r="40" spans="1:20" s="358" customFormat="1" x14ac:dyDescent="0.2">
      <c r="A40" s="358" t="str">
        <f>'Data 2009-15 (Real $2008)'!A82</f>
        <v>metering data services - monthly read meter</v>
      </c>
      <c r="B40" s="363"/>
      <c r="C40" s="363"/>
      <c r="G40" s="508">
        <f>'Data 2009-15 (Real $2008)'!I82</f>
        <v>0</v>
      </c>
      <c r="H40" s="508">
        <f>'Data 2009-15 (Real $2008)'!J82</f>
        <v>0</v>
      </c>
      <c r="M40" s="507">
        <f>'Data 2009-15 (Real $2008)'!P82</f>
        <v>0</v>
      </c>
      <c r="N40" s="507">
        <f>'Data 2009-15 (Real $2008)'!Q82</f>
        <v>0</v>
      </c>
      <c r="S40" s="80">
        <f t="shared" ref="S40:T46" si="6">G40*M40/10^3</f>
        <v>0</v>
      </c>
      <c r="T40" s="80">
        <f t="shared" si="6"/>
        <v>0</v>
      </c>
    </row>
    <row r="41" spans="1:20" s="358" customFormat="1" x14ac:dyDescent="0.2">
      <c r="A41" s="358" t="str">
        <f>'Data 2009-15 (Real $2008)'!A83</f>
        <v>metering data services - quarterly read meter</v>
      </c>
      <c r="B41" s="363"/>
      <c r="C41" s="363"/>
      <c r="G41" s="508">
        <f>'Data 2009-15 (Real $2008)'!I83</f>
        <v>0</v>
      </c>
      <c r="H41" s="508">
        <f>'Data 2009-15 (Real $2008)'!J83</f>
        <v>0</v>
      </c>
      <c r="M41" s="507">
        <f>'Data 2009-15 (Real $2008)'!P83</f>
        <v>0</v>
      </c>
      <c r="N41" s="507">
        <f>'Data 2009-15 (Real $2008)'!Q83</f>
        <v>0</v>
      </c>
      <c r="S41" s="80">
        <f t="shared" si="6"/>
        <v>0</v>
      </c>
      <c r="T41" s="80">
        <f t="shared" si="6"/>
        <v>0</v>
      </c>
    </row>
    <row r="42" spans="1:20" s="358" customFormat="1" x14ac:dyDescent="0.2">
      <c r="A42" s="358" t="str">
        <f>'Data 2009-15 (Real $2008)'!A84</f>
        <v>Other Category 1 : Describe………………..</v>
      </c>
      <c r="B42" s="363"/>
      <c r="C42" s="363"/>
      <c r="G42" s="508">
        <f>'Data 2009-15 (Real $2008)'!I84</f>
        <v>0</v>
      </c>
      <c r="H42" s="508">
        <f>'Data 2009-15 (Real $2008)'!J84</f>
        <v>0</v>
      </c>
      <c r="M42" s="507">
        <f>'Data 2009-15 (Real $2008)'!P84</f>
        <v>0</v>
      </c>
      <c r="N42" s="507">
        <f>'Data 2009-15 (Real $2008)'!Q84</f>
        <v>0</v>
      </c>
      <c r="S42" s="80">
        <f t="shared" si="6"/>
        <v>0</v>
      </c>
      <c r="T42" s="80">
        <f t="shared" si="6"/>
        <v>0</v>
      </c>
    </row>
    <row r="43" spans="1:20" s="358" customFormat="1" x14ac:dyDescent="0.2">
      <c r="A43" s="358" t="str">
        <f>'Data 2009-15 (Real $2008)'!A85</f>
        <v>Other Category 2 : Describe………………..</v>
      </c>
      <c r="B43" s="363"/>
      <c r="C43" s="363"/>
      <c r="G43" s="508">
        <f>'Data 2009-15 (Real $2008)'!I85</f>
        <v>0</v>
      </c>
      <c r="H43" s="508">
        <f>'Data 2009-15 (Real $2008)'!J85</f>
        <v>0</v>
      </c>
      <c r="M43" s="507">
        <f>'Data 2009-15 (Real $2008)'!P85</f>
        <v>0</v>
      </c>
      <c r="N43" s="507">
        <f>'Data 2009-15 (Real $2008)'!Q85</f>
        <v>0</v>
      </c>
      <c r="S43" s="80">
        <f t="shared" si="6"/>
        <v>0</v>
      </c>
      <c r="T43" s="80">
        <f t="shared" si="6"/>
        <v>0</v>
      </c>
    </row>
    <row r="44" spans="1:20" s="358" customFormat="1" x14ac:dyDescent="0.2">
      <c r="A44" s="358" t="str">
        <f>'Data 2009-15 (Real $2008)'!A86</f>
        <v>Other Category 3 : Describe………………..</v>
      </c>
      <c r="B44" s="363"/>
      <c r="C44" s="363"/>
      <c r="G44" s="508">
        <f>'Data 2009-15 (Real $2008)'!I86</f>
        <v>0</v>
      </c>
      <c r="H44" s="508">
        <f>'Data 2009-15 (Real $2008)'!J86</f>
        <v>0</v>
      </c>
      <c r="M44" s="507">
        <f>'Data 2009-15 (Real $2008)'!P86</f>
        <v>0</v>
      </c>
      <c r="N44" s="507">
        <f>'Data 2009-15 (Real $2008)'!Q86</f>
        <v>0</v>
      </c>
      <c r="S44" s="80">
        <f t="shared" si="6"/>
        <v>0</v>
      </c>
      <c r="T44" s="80">
        <f t="shared" si="6"/>
        <v>0</v>
      </c>
    </row>
    <row r="45" spans="1:20" s="358" customFormat="1" x14ac:dyDescent="0.2">
      <c r="A45" s="358" t="str">
        <f>'Data 2009-15 (Real $2008)'!A87</f>
        <v>Other Category 4 : Describe………………..</v>
      </c>
      <c r="B45" s="363"/>
      <c r="C45" s="363"/>
      <c r="G45" s="508">
        <f>'Data 2009-15 (Real $2008)'!I87</f>
        <v>0</v>
      </c>
      <c r="H45" s="508">
        <f>'Data 2009-15 (Real $2008)'!J87</f>
        <v>0</v>
      </c>
      <c r="M45" s="507">
        <f>'Data 2009-15 (Real $2008)'!P87</f>
        <v>0</v>
      </c>
      <c r="N45" s="507">
        <f>'Data 2009-15 (Real $2008)'!Q87</f>
        <v>0</v>
      </c>
      <c r="S45" s="80">
        <f t="shared" si="6"/>
        <v>0</v>
      </c>
      <c r="T45" s="80">
        <f t="shared" si="6"/>
        <v>0</v>
      </c>
    </row>
    <row r="46" spans="1:20" s="358" customFormat="1" x14ac:dyDescent="0.2">
      <c r="A46" s="358" t="str">
        <f>'Data 2009-15 (Real $2008)'!A88</f>
        <v>Other Category 5 : Describe………………..</v>
      </c>
      <c r="B46" s="363"/>
      <c r="C46" s="363"/>
      <c r="G46" s="508">
        <f>'Data 2009-15 (Real $2008)'!I88</f>
        <v>0</v>
      </c>
      <c r="H46" s="508">
        <f>'Data 2009-15 (Real $2008)'!J88</f>
        <v>0</v>
      </c>
      <c r="M46" s="507">
        <f>'Data 2009-15 (Real $2008)'!P88</f>
        <v>0</v>
      </c>
      <c r="N46" s="507">
        <f>'Data 2009-15 (Real $2008)'!Q88</f>
        <v>0</v>
      </c>
      <c r="S46" s="80">
        <f t="shared" si="6"/>
        <v>0</v>
      </c>
      <c r="T46" s="80">
        <f t="shared" si="6"/>
        <v>0</v>
      </c>
    </row>
    <row r="47" spans="1:20" s="358" customFormat="1" x14ac:dyDescent="0.2">
      <c r="B47" s="363"/>
      <c r="C47" s="363"/>
    </row>
    <row r="48" spans="1:20" s="358" customFormat="1" x14ac:dyDescent="0.2">
      <c r="B48" s="363"/>
      <c r="C48" s="363"/>
    </row>
    <row r="49" spans="1:20" s="358" customFormat="1" x14ac:dyDescent="0.2">
      <c r="A49" s="506" t="str">
        <f>'Data 2009-15 (Real $2008)'!A91</f>
        <v>Meter provision Charge</v>
      </c>
      <c r="B49" s="363"/>
      <c r="C49" s="363"/>
      <c r="G49" s="506" t="str">
        <f>'Data 2009-15 (Real $2008)'!E91</f>
        <v>Charge per meter ($ p.a.)</v>
      </c>
    </row>
    <row r="50" spans="1:20" s="358" customFormat="1" x14ac:dyDescent="0.2">
      <c r="A50" s="358" t="str">
        <f>'Data 2009-15 (Real $2008)'!A92</f>
        <v>single phase single element meter</v>
      </c>
      <c r="B50" s="363"/>
      <c r="C50" s="363"/>
      <c r="G50" s="508">
        <f>'Data 2009-15 (Real $2008)'!I92</f>
        <v>0</v>
      </c>
      <c r="H50" s="508">
        <f>'Data 2009-15 (Real $2008)'!J92</f>
        <v>0</v>
      </c>
      <c r="M50" s="507">
        <f>'Data 2009-15 (Real $2008)'!P92</f>
        <v>0</v>
      </c>
      <c r="N50" s="507">
        <f>'Data 2009-15 (Real $2008)'!Q92</f>
        <v>0</v>
      </c>
      <c r="S50" s="80">
        <f t="shared" ref="S50:T60" si="7">G50*M50/10^3</f>
        <v>0</v>
      </c>
      <c r="T50" s="80">
        <f t="shared" si="7"/>
        <v>0</v>
      </c>
    </row>
    <row r="51" spans="1:20" s="358" customFormat="1" x14ac:dyDescent="0.2">
      <c r="A51" s="358" t="str">
        <f>'Data 2009-15 (Real $2008)'!A93</f>
        <v>single phase single element meter with contactor</v>
      </c>
      <c r="B51" s="363"/>
      <c r="C51" s="363"/>
      <c r="G51" s="508">
        <f>'Data 2009-15 (Real $2008)'!I93</f>
        <v>0</v>
      </c>
      <c r="H51" s="508">
        <f>'Data 2009-15 (Real $2008)'!J93</f>
        <v>0</v>
      </c>
      <c r="M51" s="507">
        <f>'Data 2009-15 (Real $2008)'!P93</f>
        <v>0</v>
      </c>
      <c r="N51" s="507">
        <f>'Data 2009-15 (Real $2008)'!Q93</f>
        <v>0</v>
      </c>
      <c r="S51" s="80">
        <f t="shared" si="7"/>
        <v>0</v>
      </c>
      <c r="T51" s="80">
        <f t="shared" si="7"/>
        <v>0</v>
      </c>
    </row>
    <row r="52" spans="1:20" s="358" customFormat="1" x14ac:dyDescent="0.2">
      <c r="A52" s="358" t="str">
        <f>'Data 2009-15 (Real $2008)'!A94</f>
        <v>single phase two element meter with contactor</v>
      </c>
      <c r="B52" s="363"/>
      <c r="C52" s="363"/>
      <c r="G52" s="508">
        <f>'Data 2009-15 (Real $2008)'!I94</f>
        <v>0</v>
      </c>
      <c r="H52" s="508">
        <f>'Data 2009-15 (Real $2008)'!J94</f>
        <v>0</v>
      </c>
      <c r="M52" s="507">
        <f>'Data 2009-15 (Real $2008)'!P94</f>
        <v>0</v>
      </c>
      <c r="N52" s="507">
        <f>'Data 2009-15 (Real $2008)'!Q94</f>
        <v>0</v>
      </c>
      <c r="S52" s="80">
        <f t="shared" si="7"/>
        <v>0</v>
      </c>
      <c r="T52" s="80">
        <f t="shared" si="7"/>
        <v>0</v>
      </c>
    </row>
    <row r="53" spans="1:20" s="358" customFormat="1" x14ac:dyDescent="0.2">
      <c r="A53" s="358" t="str">
        <f>'Data 2009-15 (Real $2008)'!A95</f>
        <v>three phase direct connected meter</v>
      </c>
      <c r="B53" s="363"/>
      <c r="C53" s="363"/>
      <c r="G53" s="508">
        <f>'Data 2009-15 (Real $2008)'!I95</f>
        <v>0</v>
      </c>
      <c r="H53" s="508">
        <f>'Data 2009-15 (Real $2008)'!J95</f>
        <v>0</v>
      </c>
      <c r="M53" s="507">
        <f>'Data 2009-15 (Real $2008)'!P95</f>
        <v>0</v>
      </c>
      <c r="N53" s="507">
        <f>'Data 2009-15 (Real $2008)'!Q95</f>
        <v>0</v>
      </c>
      <c r="S53" s="80">
        <f t="shared" si="7"/>
        <v>0</v>
      </c>
      <c r="T53" s="80">
        <f t="shared" si="7"/>
        <v>0</v>
      </c>
    </row>
    <row r="54" spans="1:20" s="358" customFormat="1" x14ac:dyDescent="0.2">
      <c r="A54" s="358" t="str">
        <f>'Data 2009-15 (Real $2008)'!A96</f>
        <v>three phase direct connected meter with contactor</v>
      </c>
      <c r="B54" s="363"/>
      <c r="C54" s="363"/>
      <c r="G54" s="508">
        <f>'Data 2009-15 (Real $2008)'!I96</f>
        <v>0</v>
      </c>
      <c r="H54" s="508">
        <f>'Data 2009-15 (Real $2008)'!J96</f>
        <v>0</v>
      </c>
      <c r="M54" s="507">
        <f>'Data 2009-15 (Real $2008)'!P96</f>
        <v>0</v>
      </c>
      <c r="N54" s="507">
        <f>'Data 2009-15 (Real $2008)'!Q96</f>
        <v>0</v>
      </c>
      <c r="S54" s="80">
        <f t="shared" si="7"/>
        <v>0</v>
      </c>
      <c r="T54" s="80">
        <f t="shared" si="7"/>
        <v>0</v>
      </c>
    </row>
    <row r="55" spans="1:20" s="358" customFormat="1" x14ac:dyDescent="0.2">
      <c r="A55" s="358" t="str">
        <f>'Data 2009-15 (Real $2008)'!A97</f>
        <v>three phase Current transformer connected meter</v>
      </c>
      <c r="B55" s="363"/>
      <c r="C55" s="363"/>
      <c r="G55" s="508">
        <f>'Data 2009-15 (Real $2008)'!I97</f>
        <v>0</v>
      </c>
      <c r="H55" s="508">
        <f>'Data 2009-15 (Real $2008)'!J97</f>
        <v>0</v>
      </c>
      <c r="M55" s="507">
        <f>'Data 2009-15 (Real $2008)'!P97</f>
        <v>0</v>
      </c>
      <c r="N55" s="507">
        <f>'Data 2009-15 (Real $2008)'!Q97</f>
        <v>0</v>
      </c>
      <c r="S55" s="80">
        <f t="shared" si="7"/>
        <v>0</v>
      </c>
      <c r="T55" s="80">
        <f t="shared" si="7"/>
        <v>0</v>
      </c>
    </row>
    <row r="56" spans="1:20" s="358" customFormat="1" x14ac:dyDescent="0.2">
      <c r="A56" s="358" t="str">
        <f>'Data 2009-15 (Real $2008)'!A98</f>
        <v>Other Category 1 : Describe………………..</v>
      </c>
      <c r="B56" s="363"/>
      <c r="C56" s="363"/>
      <c r="G56" s="508">
        <f>'Data 2009-15 (Real $2008)'!I98</f>
        <v>0</v>
      </c>
      <c r="H56" s="508">
        <f>'Data 2009-15 (Real $2008)'!J98</f>
        <v>0</v>
      </c>
      <c r="M56" s="507">
        <f>'Data 2009-15 (Real $2008)'!P98</f>
        <v>0</v>
      </c>
      <c r="N56" s="507">
        <f>'Data 2009-15 (Real $2008)'!Q98</f>
        <v>0</v>
      </c>
      <c r="S56" s="80">
        <f t="shared" si="7"/>
        <v>0</v>
      </c>
      <c r="T56" s="80">
        <f t="shared" si="7"/>
        <v>0</v>
      </c>
    </row>
    <row r="57" spans="1:20" s="358" customFormat="1" x14ac:dyDescent="0.2">
      <c r="A57" s="358" t="str">
        <f>'Data 2009-15 (Real $2008)'!A99</f>
        <v>Other Category 2 : Describe………………..</v>
      </c>
      <c r="B57" s="363"/>
      <c r="C57" s="363"/>
      <c r="G57" s="508">
        <f>'Data 2009-15 (Real $2008)'!I99</f>
        <v>0</v>
      </c>
      <c r="H57" s="508">
        <f>'Data 2009-15 (Real $2008)'!J99</f>
        <v>0</v>
      </c>
      <c r="M57" s="507">
        <f>'Data 2009-15 (Real $2008)'!P99</f>
        <v>0</v>
      </c>
      <c r="N57" s="507">
        <f>'Data 2009-15 (Real $2008)'!Q99</f>
        <v>0</v>
      </c>
      <c r="S57" s="80">
        <f t="shared" si="7"/>
        <v>0</v>
      </c>
      <c r="T57" s="80">
        <f t="shared" si="7"/>
        <v>0</v>
      </c>
    </row>
    <row r="58" spans="1:20" s="358" customFormat="1" x14ac:dyDescent="0.2">
      <c r="A58" s="358" t="str">
        <f>'Data 2009-15 (Real $2008)'!A100</f>
        <v>Other Category 3 : Describe………………..</v>
      </c>
      <c r="B58" s="363"/>
      <c r="C58" s="363"/>
      <c r="G58" s="508">
        <f>'Data 2009-15 (Real $2008)'!I100</f>
        <v>0</v>
      </c>
      <c r="H58" s="508">
        <f>'Data 2009-15 (Real $2008)'!J100</f>
        <v>0</v>
      </c>
      <c r="M58" s="507">
        <f>'Data 2009-15 (Real $2008)'!P100</f>
        <v>0</v>
      </c>
      <c r="N58" s="507">
        <f>'Data 2009-15 (Real $2008)'!Q100</f>
        <v>0</v>
      </c>
      <c r="S58" s="80">
        <f t="shared" si="7"/>
        <v>0</v>
      </c>
      <c r="T58" s="80">
        <f t="shared" si="7"/>
        <v>0</v>
      </c>
    </row>
    <row r="59" spans="1:20" s="358" customFormat="1" x14ac:dyDescent="0.2">
      <c r="A59" s="358" t="str">
        <f>'Data 2009-15 (Real $2008)'!A101</f>
        <v>Other Category 4 : Describe………………..</v>
      </c>
      <c r="B59" s="363"/>
      <c r="C59" s="363"/>
      <c r="G59" s="508">
        <f>'Data 2009-15 (Real $2008)'!I101</f>
        <v>0</v>
      </c>
      <c r="H59" s="508">
        <f>'Data 2009-15 (Real $2008)'!J101</f>
        <v>0</v>
      </c>
      <c r="M59" s="507">
        <f>'Data 2009-15 (Real $2008)'!P101</f>
        <v>0</v>
      </c>
      <c r="N59" s="507">
        <f>'Data 2009-15 (Real $2008)'!Q101</f>
        <v>0</v>
      </c>
      <c r="S59" s="80">
        <f t="shared" si="7"/>
        <v>0</v>
      </c>
      <c r="T59" s="80">
        <f t="shared" si="7"/>
        <v>0</v>
      </c>
    </row>
    <row r="60" spans="1:20" s="358" customFormat="1" x14ac:dyDescent="0.2">
      <c r="A60" s="358" t="str">
        <f>'Data 2009-15 (Real $2008)'!A102</f>
        <v>Other Category 5 : Describe………………..</v>
      </c>
      <c r="B60" s="363"/>
      <c r="C60" s="363"/>
      <c r="G60" s="508">
        <f>'Data 2009-15 (Real $2008)'!I102</f>
        <v>0</v>
      </c>
      <c r="H60" s="508">
        <f>'Data 2009-15 (Real $2008)'!J102</f>
        <v>0</v>
      </c>
      <c r="M60" s="507">
        <f>'Data 2009-15 (Real $2008)'!P102</f>
        <v>0</v>
      </c>
      <c r="N60" s="507">
        <f>'Data 2009-15 (Real $2008)'!Q102</f>
        <v>0</v>
      </c>
      <c r="S60" s="80">
        <f t="shared" si="7"/>
        <v>0</v>
      </c>
      <c r="T60" s="80">
        <f t="shared" si="7"/>
        <v>0</v>
      </c>
    </row>
    <row r="61" spans="1:20" s="358" customFormat="1" x14ac:dyDescent="0.2">
      <c r="B61" s="363"/>
      <c r="C61" s="363"/>
    </row>
    <row r="62" spans="1:20" s="358" customFormat="1" x14ac:dyDescent="0.2">
      <c r="B62" s="363"/>
      <c r="C62" s="363"/>
    </row>
    <row r="63" spans="1:20" s="358" customFormat="1" x14ac:dyDescent="0.2">
      <c r="A63" s="506" t="str">
        <f>'Data 2009-15 (Real $2008)'!A105</f>
        <v>Meter provision Charge</v>
      </c>
      <c r="B63" s="363"/>
      <c r="C63" s="363"/>
      <c r="G63" s="506" t="str">
        <f>'Data 2009-15 (Real $2008)'!E105</f>
        <v>Charge per NMIs ($ p.a.)</v>
      </c>
    </row>
    <row r="64" spans="1:20" s="358" customFormat="1" x14ac:dyDescent="0.2">
      <c r="A64" s="358" t="str">
        <f>'Data 2009-15 (Real $2008)'!A106</f>
        <v>single phase single element meter</v>
      </c>
      <c r="B64" s="363"/>
      <c r="C64" s="363"/>
      <c r="G64" s="508">
        <f>'Data 2009-15 (Real $2008)'!I106</f>
        <v>0</v>
      </c>
      <c r="H64" s="508">
        <f>'Data 2009-15 (Real $2008)'!J106</f>
        <v>0</v>
      </c>
      <c r="M64" s="507">
        <f>'Data 2009-15 (Real $2008)'!P106</f>
        <v>0</v>
      </c>
      <c r="N64" s="507">
        <f>'Data 2009-15 (Real $2008)'!Q106</f>
        <v>0</v>
      </c>
      <c r="S64" s="80">
        <f t="shared" ref="S64:T74" si="8">G64*M64/10^3</f>
        <v>0</v>
      </c>
      <c r="T64" s="80">
        <f t="shared" si="8"/>
        <v>0</v>
      </c>
    </row>
    <row r="65" spans="1:20" s="358" customFormat="1" x14ac:dyDescent="0.2">
      <c r="A65" s="358" t="str">
        <f>'Data 2009-15 (Real $2008)'!A107</f>
        <v>single phase single element meter with contactor</v>
      </c>
      <c r="B65" s="363"/>
      <c r="C65" s="363"/>
      <c r="G65" s="508">
        <f>'Data 2009-15 (Real $2008)'!I107</f>
        <v>0</v>
      </c>
      <c r="H65" s="508">
        <f>'Data 2009-15 (Real $2008)'!J107</f>
        <v>0</v>
      </c>
      <c r="M65" s="507">
        <f>'Data 2009-15 (Real $2008)'!P107</f>
        <v>0</v>
      </c>
      <c r="N65" s="507">
        <f>'Data 2009-15 (Real $2008)'!Q107</f>
        <v>0</v>
      </c>
      <c r="S65" s="80">
        <f t="shared" si="8"/>
        <v>0</v>
      </c>
      <c r="T65" s="80">
        <f t="shared" si="8"/>
        <v>0</v>
      </c>
    </row>
    <row r="66" spans="1:20" s="358" customFormat="1" x14ac:dyDescent="0.2">
      <c r="A66" s="358" t="str">
        <f>'Data 2009-15 (Real $2008)'!A108</f>
        <v>single phase two element meter with contactor</v>
      </c>
      <c r="B66" s="363"/>
      <c r="C66" s="363"/>
      <c r="G66" s="508">
        <f>'Data 2009-15 (Real $2008)'!I108</f>
        <v>0</v>
      </c>
      <c r="H66" s="508">
        <f>'Data 2009-15 (Real $2008)'!J108</f>
        <v>0</v>
      </c>
      <c r="M66" s="507">
        <f>'Data 2009-15 (Real $2008)'!P108</f>
        <v>0</v>
      </c>
      <c r="N66" s="507">
        <f>'Data 2009-15 (Real $2008)'!Q108</f>
        <v>0</v>
      </c>
      <c r="S66" s="80">
        <f t="shared" si="8"/>
        <v>0</v>
      </c>
      <c r="T66" s="80">
        <f t="shared" si="8"/>
        <v>0</v>
      </c>
    </row>
    <row r="67" spans="1:20" s="358" customFormat="1" x14ac:dyDescent="0.2">
      <c r="A67" s="358" t="str">
        <f>'Data 2009-15 (Real $2008)'!A109</f>
        <v>three phase direct connected meter</v>
      </c>
      <c r="B67" s="363"/>
      <c r="C67" s="363"/>
      <c r="G67" s="508">
        <f>'Data 2009-15 (Real $2008)'!I109</f>
        <v>0</v>
      </c>
      <c r="H67" s="508">
        <f>'Data 2009-15 (Real $2008)'!J109</f>
        <v>0</v>
      </c>
      <c r="M67" s="507">
        <f>'Data 2009-15 (Real $2008)'!P109</f>
        <v>0</v>
      </c>
      <c r="N67" s="507">
        <f>'Data 2009-15 (Real $2008)'!Q109</f>
        <v>0</v>
      </c>
      <c r="S67" s="80">
        <f t="shared" si="8"/>
        <v>0</v>
      </c>
      <c r="T67" s="80">
        <f t="shared" si="8"/>
        <v>0</v>
      </c>
    </row>
    <row r="68" spans="1:20" s="358" customFormat="1" x14ac:dyDescent="0.2">
      <c r="A68" s="358" t="str">
        <f>'Data 2009-15 (Real $2008)'!A110</f>
        <v>three phase direct connected meter with contactor</v>
      </c>
      <c r="B68" s="363"/>
      <c r="C68" s="363"/>
      <c r="G68" s="508">
        <f>'Data 2009-15 (Real $2008)'!I110</f>
        <v>0</v>
      </c>
      <c r="H68" s="508">
        <f>'Data 2009-15 (Real $2008)'!J110</f>
        <v>0</v>
      </c>
      <c r="M68" s="507">
        <f>'Data 2009-15 (Real $2008)'!P110</f>
        <v>0</v>
      </c>
      <c r="N68" s="507">
        <f>'Data 2009-15 (Real $2008)'!Q110</f>
        <v>0</v>
      </c>
      <c r="S68" s="80">
        <f t="shared" si="8"/>
        <v>0</v>
      </c>
      <c r="T68" s="80">
        <f t="shared" si="8"/>
        <v>0</v>
      </c>
    </row>
    <row r="69" spans="1:20" s="358" customFormat="1" x14ac:dyDescent="0.2">
      <c r="A69" s="358" t="str">
        <f>'Data 2009-15 (Real $2008)'!A111</f>
        <v>three phase Current transformer connected meter</v>
      </c>
      <c r="B69" s="363"/>
      <c r="C69" s="363"/>
      <c r="G69" s="508">
        <f>'Data 2009-15 (Real $2008)'!I111</f>
        <v>0</v>
      </c>
      <c r="H69" s="508">
        <f>'Data 2009-15 (Real $2008)'!J111</f>
        <v>0</v>
      </c>
      <c r="M69" s="507">
        <f>'Data 2009-15 (Real $2008)'!P111</f>
        <v>0</v>
      </c>
      <c r="N69" s="507">
        <f>'Data 2009-15 (Real $2008)'!Q111</f>
        <v>0</v>
      </c>
      <c r="S69" s="80">
        <f t="shared" si="8"/>
        <v>0</v>
      </c>
      <c r="T69" s="80">
        <f t="shared" si="8"/>
        <v>0</v>
      </c>
    </row>
    <row r="70" spans="1:20" s="358" customFormat="1" x14ac:dyDescent="0.2">
      <c r="A70" s="358" t="str">
        <f>'Data 2009-15 (Real $2008)'!A112</f>
        <v>Single phase</v>
      </c>
      <c r="B70" s="363"/>
      <c r="C70" s="363"/>
      <c r="G70" s="508">
        <f>'Data 2009-15 (Real $2008)'!I112</f>
        <v>115.27</v>
      </c>
      <c r="H70" s="508">
        <f>'Data 2009-15 (Real $2008)'!J112</f>
        <v>109.4</v>
      </c>
      <c r="J70" s="942"/>
      <c r="M70" s="507">
        <f>'Data 2009-15 (Real $2008)'!P112</f>
        <v>627651.41215236764</v>
      </c>
      <c r="N70" s="507">
        <f>'Data 2009-15 (Real $2008)'!Q112</f>
        <v>637222.32996039581</v>
      </c>
      <c r="S70" s="80">
        <f t="shared" si="8"/>
        <v>72349.37827880343</v>
      </c>
      <c r="T70" s="80">
        <f t="shared" si="8"/>
        <v>69712.122897667301</v>
      </c>
    </row>
    <row r="71" spans="1:20" s="358" customFormat="1" x14ac:dyDescent="0.2">
      <c r="A71" s="358" t="str">
        <f>'Data 2009-15 (Real $2008)'!A113</f>
        <v>Three phase direct connected meter</v>
      </c>
      <c r="B71" s="363"/>
      <c r="C71" s="363"/>
      <c r="G71" s="508">
        <f>'Data 2009-15 (Real $2008)'!I113</f>
        <v>152.04</v>
      </c>
      <c r="H71" s="508">
        <f>'Data 2009-15 (Real $2008)'!J113</f>
        <v>144.30000000000001</v>
      </c>
      <c r="J71" s="942"/>
      <c r="M71" s="507">
        <f>'Data 2009-15 (Real $2008)'!P113</f>
        <v>119645.55101336956</v>
      </c>
      <c r="N71" s="507">
        <f>'Data 2009-15 (Real $2008)'!Q113</f>
        <v>121090.9262866326</v>
      </c>
      <c r="S71" s="80">
        <f t="shared" si="8"/>
        <v>18190.909576072707</v>
      </c>
      <c r="T71" s="80">
        <f t="shared" si="8"/>
        <v>17473.420663161087</v>
      </c>
    </row>
    <row r="72" spans="1:20" s="358" customFormat="1" x14ac:dyDescent="0.2">
      <c r="A72" s="358" t="str">
        <f>'Data 2009-15 (Real $2008)'!A114</f>
        <v>Three phase CT connected meter</v>
      </c>
      <c r="B72" s="363"/>
      <c r="C72" s="363"/>
      <c r="G72" s="508">
        <f>'Data 2009-15 (Real $2008)'!I114</f>
        <v>201.47</v>
      </c>
      <c r="H72" s="508">
        <f>'Data 2009-15 (Real $2008)'!J114</f>
        <v>191.55</v>
      </c>
      <c r="J72" s="942"/>
      <c r="M72" s="507">
        <f>'Data 2009-15 (Real $2008)'!P114</f>
        <v>4485.4476854641198</v>
      </c>
      <c r="N72" s="507">
        <f>'Data 2009-15 (Real $2008)'!Q114</f>
        <v>4585.1865444224395</v>
      </c>
      <c r="S72" s="80">
        <f t="shared" si="8"/>
        <v>903.68314519045623</v>
      </c>
      <c r="T72" s="80">
        <f t="shared" si="8"/>
        <v>878.29248258411837</v>
      </c>
    </row>
    <row r="73" spans="1:20" s="358" customFormat="1" x14ac:dyDescent="0.2">
      <c r="A73" s="358" t="str">
        <f>'Data 2009-15 (Real $2008)'!A115</f>
        <v>Other Category 4 : Describe………………..</v>
      </c>
      <c r="B73" s="363"/>
      <c r="C73" s="363"/>
      <c r="G73" s="508">
        <f>'Data 2009-15 (Real $2008)'!I115</f>
        <v>0</v>
      </c>
      <c r="H73" s="508">
        <f>'Data 2009-15 (Real $2008)'!J115</f>
        <v>0</v>
      </c>
      <c r="M73" s="507">
        <f>'Data 2009-15 (Real $2008)'!P115</f>
        <v>0</v>
      </c>
      <c r="N73" s="507">
        <f>'Data 2009-15 (Real $2008)'!Q115</f>
        <v>0</v>
      </c>
      <c r="S73" s="80">
        <f t="shared" si="8"/>
        <v>0</v>
      </c>
      <c r="T73" s="80">
        <f t="shared" si="8"/>
        <v>0</v>
      </c>
    </row>
    <row r="74" spans="1:20" s="358" customFormat="1" x14ac:dyDescent="0.2">
      <c r="A74" s="358" t="str">
        <f>'Data 2009-15 (Real $2008)'!A116</f>
        <v>Other Category 5 : Describe………………..</v>
      </c>
      <c r="B74" s="363"/>
      <c r="C74" s="363"/>
      <c r="G74" s="508">
        <f>'Data 2009-15 (Real $2008)'!I116</f>
        <v>0</v>
      </c>
      <c r="H74" s="508">
        <f>'Data 2009-15 (Real $2008)'!J116</f>
        <v>0</v>
      </c>
      <c r="M74" s="507">
        <f>'Data 2009-15 (Real $2008)'!P116</f>
        <v>0</v>
      </c>
      <c r="N74" s="507">
        <f>'Data 2009-15 (Real $2008)'!Q116</f>
        <v>0</v>
      </c>
      <c r="S74" s="80">
        <f t="shared" si="8"/>
        <v>0</v>
      </c>
      <c r="T74" s="80">
        <f t="shared" si="8"/>
        <v>0</v>
      </c>
    </row>
    <row r="75" spans="1:20" s="358" customFormat="1" x14ac:dyDescent="0.2">
      <c r="B75" s="363"/>
      <c r="C75" s="363"/>
    </row>
    <row r="76" spans="1:20" s="358" customFormat="1" ht="13.5" thickBot="1" x14ac:dyDescent="0.25">
      <c r="A76" s="358" t="s">
        <v>342</v>
      </c>
      <c r="B76" s="363"/>
      <c r="C76" s="363"/>
      <c r="S76" s="509">
        <f>SUM(S30:S74)</f>
        <v>91443.971000066595</v>
      </c>
      <c r="T76" s="509">
        <f>SUM(T30:T74)</f>
        <v>88063.836043412506</v>
      </c>
    </row>
    <row r="77" spans="1:20" s="358" customFormat="1" ht="13.5" thickTop="1" x14ac:dyDescent="0.2">
      <c r="B77" s="363"/>
      <c r="C77" s="363"/>
    </row>
    <row r="78" spans="1:20" s="358" customFormat="1" x14ac:dyDescent="0.2">
      <c r="B78" s="363"/>
      <c r="C78" s="363"/>
    </row>
    <row r="79" spans="1:20" s="358" customFormat="1" x14ac:dyDescent="0.2">
      <c r="B79" s="363"/>
      <c r="C79" s="363"/>
    </row>
    <row r="80" spans="1:20" x14ac:dyDescent="0.2">
      <c r="Q80" s="358"/>
    </row>
  </sheetData>
  <mergeCells count="2">
    <mergeCell ref="M26:N26"/>
    <mergeCell ref="S26:T26"/>
  </mergeCells>
  <phoneticPr fontId="3" type="noConversion"/>
  <conditionalFormatting sqref="E17:J17">
    <cfRule type="cellIs" dxfId="0" priority="1" stopIfTrue="1" operator="greaterThan">
      <formula>0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zoomScale="85" workbookViewId="0">
      <pane ySplit="1" topLeftCell="A2" activePane="bottomLeft" state="frozen"/>
      <selection pane="bottomLeft" activeCell="E1" sqref="E1"/>
    </sheetView>
  </sheetViews>
  <sheetFormatPr defaultRowHeight="12.75" x14ac:dyDescent="0.2"/>
  <cols>
    <col min="1" max="1" width="53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2" x14ac:dyDescent="0.2">
      <c r="A1" s="542" t="str">
        <f>'Data 2006-08'!$A$1</f>
        <v>Powercor</v>
      </c>
      <c r="B1" s="488" t="s">
        <v>0</v>
      </c>
      <c r="C1" s="489" t="str">
        <f>IF(SUM(C35)&lt;0.001,"Ok","Error")</f>
        <v>Ok</v>
      </c>
      <c r="D1" s="775">
        <f>C35</f>
        <v>0</v>
      </c>
    </row>
    <row r="2" spans="1:22" x14ac:dyDescent="0.2">
      <c r="A2" s="266"/>
      <c r="B2" s="276"/>
      <c r="C2" s="276"/>
      <c r="D2" s="490"/>
      <c r="E2" s="420"/>
      <c r="F2" s="420"/>
      <c r="G2" s="420"/>
      <c r="H2" s="420"/>
      <c r="I2" s="420"/>
      <c r="J2" s="420"/>
      <c r="K2" s="357"/>
      <c r="L2" s="357"/>
      <c r="M2" s="357"/>
      <c r="N2" s="357"/>
      <c r="O2" s="491"/>
      <c r="P2" s="491"/>
      <c r="Q2" s="491"/>
      <c r="R2" s="491"/>
      <c r="S2" s="491"/>
      <c r="T2" s="491"/>
      <c r="U2" s="491"/>
      <c r="V2" s="491"/>
    </row>
    <row r="3" spans="1:22" s="82" customFormat="1" x14ac:dyDescent="0.2">
      <c r="C3" s="765" t="s">
        <v>389</v>
      </c>
      <c r="I3" s="765" t="s">
        <v>385</v>
      </c>
    </row>
    <row r="4" spans="1:22" s="82" customFormat="1" x14ac:dyDescent="0.2">
      <c r="A4" s="431" t="s">
        <v>315</v>
      </c>
      <c r="C4" s="765" t="s">
        <v>383</v>
      </c>
      <c r="I4" s="765" t="s">
        <v>386</v>
      </c>
    </row>
    <row r="5" spans="1:22" s="82" customFormat="1" x14ac:dyDescent="0.2"/>
    <row r="6" spans="1:22" s="82" customFormat="1" x14ac:dyDescent="0.2">
      <c r="A6" s="82" t="s">
        <v>316</v>
      </c>
      <c r="C6" s="432">
        <f>'Data 2009-15 (Real $2008)'!C127</f>
        <v>4.6300000000000001E-2</v>
      </c>
      <c r="I6" s="432">
        <f>'Data 2009-15 (Real $2008)'!I127</f>
        <v>4.02E-2</v>
      </c>
    </row>
    <row r="7" spans="1:22" s="82" customFormat="1" x14ac:dyDescent="0.2">
      <c r="A7" s="1" t="s">
        <v>11</v>
      </c>
      <c r="C7" s="433">
        <f>'Data 2009-15 (Real $2008)'!C128</f>
        <v>4.1250000000000002E-2</v>
      </c>
      <c r="I7" s="433">
        <f>'Data 2009-15 (Real $2008)'!I128</f>
        <v>2.53E-2</v>
      </c>
    </row>
    <row r="8" spans="1:22" s="82" customFormat="1" x14ac:dyDescent="0.2">
      <c r="A8" s="82" t="s">
        <v>13</v>
      </c>
      <c r="C8" s="433">
        <f>'Data 2009-15 (Real $2008)'!C131</f>
        <v>0.06</v>
      </c>
      <c r="I8" s="433">
        <f>'Data 2009-15 (Real $2008)'!I131</f>
        <v>6.5000000000000002E-2</v>
      </c>
    </row>
    <row r="9" spans="1:22" s="82" customFormat="1" x14ac:dyDescent="0.2">
      <c r="A9" s="82" t="s">
        <v>14</v>
      </c>
      <c r="C9" s="434">
        <f>'Data 2009-15 (Real $2008)'!C132</f>
        <v>1</v>
      </c>
      <c r="I9" s="434">
        <f>'Data 2009-15 (Real $2008)'!I132</f>
        <v>0.8</v>
      </c>
    </row>
    <row r="10" spans="1:22" s="82" customFormat="1" x14ac:dyDescent="0.2">
      <c r="A10" s="82" t="s">
        <v>15</v>
      </c>
      <c r="C10" s="435">
        <f>'Data 2009-15 (Real $2008)'!C133</f>
        <v>0.6</v>
      </c>
      <c r="I10" s="435">
        <f>'Data 2009-15 (Real $2008)'!I133</f>
        <v>0.6</v>
      </c>
    </row>
    <row r="11" spans="1:22" s="82" customFormat="1" x14ac:dyDescent="0.2">
      <c r="A11" s="82" t="s">
        <v>16</v>
      </c>
      <c r="C11" s="436">
        <f>'Data 2009-15 (Real $2008)'!C134</f>
        <v>2.5600000000000001E-2</v>
      </c>
      <c r="I11" s="436">
        <f>'Data 2009-15 (Real $2008)'!I134</f>
        <v>2.47E-2</v>
      </c>
    </row>
    <row r="12" spans="1:22" s="82" customFormat="1" x14ac:dyDescent="0.2"/>
    <row r="13" spans="1:22" s="82" customFormat="1" x14ac:dyDescent="0.2">
      <c r="A13" s="82" t="s">
        <v>81</v>
      </c>
      <c r="C13" s="437">
        <f>(C14+1)/(1+C11)-1</f>
        <v>7.868564742589701E-2</v>
      </c>
      <c r="D13" s="419"/>
      <c r="I13" s="437">
        <f>(I14+1)/(1+I11)-1</f>
        <v>6.5872938421001281E-2</v>
      </c>
    </row>
    <row r="14" spans="1:22" s="82" customFormat="1" x14ac:dyDescent="0.2">
      <c r="A14" s="82" t="s">
        <v>82</v>
      </c>
      <c r="C14" s="438">
        <f>C6+C9*C8</f>
        <v>0.10630000000000001</v>
      </c>
      <c r="D14" s="419"/>
      <c r="I14" s="438">
        <f>I6+I9*I8</f>
        <v>9.2200000000000004E-2</v>
      </c>
    </row>
    <row r="15" spans="1:22" s="82" customFormat="1" x14ac:dyDescent="0.2">
      <c r="A15" s="82" t="s">
        <v>83</v>
      </c>
      <c r="C15" s="439">
        <f>(C16+1)/(1+C11)-1</f>
        <v>6.0403666146645829E-2</v>
      </c>
      <c r="D15" s="426"/>
      <c r="E15" s="83"/>
      <c r="F15" s="83"/>
      <c r="G15" s="83"/>
      <c r="H15" s="83"/>
      <c r="I15" s="439">
        <f>(I16+1)/(1+I11)-1</f>
        <v>3.981653166780541E-2</v>
      </c>
      <c r="J15" s="83"/>
      <c r="K15" s="83"/>
      <c r="L15" s="83"/>
    </row>
    <row r="16" spans="1:22" s="82" customFormat="1" x14ac:dyDescent="0.2">
      <c r="A16" s="82" t="s">
        <v>84</v>
      </c>
      <c r="C16" s="440">
        <f>C6+C7</f>
        <v>8.7550000000000003E-2</v>
      </c>
      <c r="D16" s="766"/>
      <c r="E16" s="767"/>
      <c r="F16" s="768"/>
      <c r="G16" s="768"/>
      <c r="H16" s="768"/>
      <c r="I16" s="440">
        <f>I6+I7</f>
        <v>6.5500000000000003E-2</v>
      </c>
      <c r="J16" s="768"/>
      <c r="K16" s="83"/>
      <c r="L16" s="83"/>
    </row>
    <row r="17" spans="1:33" s="82" customFormat="1" x14ac:dyDescent="0.2"/>
    <row r="18" spans="1:33" s="82" customFormat="1" x14ac:dyDescent="0.2">
      <c r="A18" s="82" t="s">
        <v>344</v>
      </c>
      <c r="C18" s="437">
        <f>(C13*(1-C10))+(C15*C10)</f>
        <v>6.7716458658346301E-2</v>
      </c>
      <c r="D18" s="766"/>
      <c r="E18" s="767"/>
      <c r="F18" s="769"/>
      <c r="G18" s="769"/>
      <c r="H18" s="769"/>
      <c r="I18" s="437">
        <f>(I13*(1-I10))+(I15*I10)</f>
        <v>5.0239094369083762E-2</v>
      </c>
      <c r="J18" s="769"/>
      <c r="K18" s="83"/>
      <c r="L18" s="83"/>
    </row>
    <row r="19" spans="1:33" s="82" customFormat="1" x14ac:dyDescent="0.2">
      <c r="A19" s="82" t="s">
        <v>345</v>
      </c>
      <c r="C19" s="440">
        <f>(C14*(1-C10))+(C16*C10)</f>
        <v>9.5049999999999996E-2</v>
      </c>
      <c r="D19" s="770"/>
      <c r="E19" s="771"/>
      <c r="F19" s="83"/>
      <c r="G19" s="83"/>
      <c r="H19" s="83"/>
      <c r="I19" s="440">
        <f>(I14*(1-I10))+(I16*I10)</f>
        <v>7.6179999999999998E-2</v>
      </c>
      <c r="J19" s="83"/>
      <c r="K19" s="83"/>
      <c r="L19" s="83"/>
    </row>
    <row r="20" spans="1:33" x14ac:dyDescent="0.2">
      <c r="A20" s="266"/>
      <c r="B20" s="276"/>
      <c r="C20" s="276"/>
      <c r="D20" s="490"/>
      <c r="E20" s="420"/>
      <c r="F20" s="420"/>
      <c r="G20" s="420"/>
      <c r="H20" s="420"/>
      <c r="I20" s="420"/>
      <c r="J20" s="420"/>
      <c r="K20" s="357"/>
      <c r="L20" s="357"/>
      <c r="M20" s="357"/>
      <c r="N20" s="357"/>
      <c r="O20" s="491"/>
      <c r="P20" s="491"/>
      <c r="Q20" s="491"/>
      <c r="R20" s="491"/>
      <c r="S20" s="491"/>
      <c r="T20" s="491"/>
      <c r="U20" s="491"/>
      <c r="V20" s="491"/>
    </row>
    <row r="21" spans="1:33" x14ac:dyDescent="0.2">
      <c r="A21" s="266"/>
      <c r="B21" s="276"/>
      <c r="C21" s="276"/>
      <c r="D21" s="389">
        <v>2009</v>
      </c>
      <c r="E21" s="389">
        <v>2010</v>
      </c>
      <c r="F21" s="389">
        <v>2011</v>
      </c>
      <c r="G21" s="389">
        <v>2012</v>
      </c>
      <c r="H21" s="389">
        <v>2013</v>
      </c>
      <c r="I21" s="389">
        <v>2014</v>
      </c>
      <c r="J21" s="389">
        <v>2015</v>
      </c>
      <c r="K21" s="357"/>
      <c r="L21" s="357"/>
      <c r="M21" s="357"/>
      <c r="N21" s="357"/>
      <c r="O21" s="491"/>
      <c r="P21" s="491"/>
      <c r="Q21" s="491"/>
      <c r="R21" s="491"/>
      <c r="S21" s="491"/>
      <c r="T21" s="491"/>
      <c r="U21" s="491"/>
      <c r="V21" s="491"/>
    </row>
    <row r="22" spans="1:33" x14ac:dyDescent="0.2">
      <c r="A22" s="420" t="s">
        <v>86</v>
      </c>
      <c r="B22" s="276"/>
      <c r="C22" s="276"/>
      <c r="D22" s="541">
        <f>'Data 2009-15 (Real $2008)'!D144</f>
        <v>4.9810844892812067E-2</v>
      </c>
      <c r="E22" s="541">
        <f>'Data 2009-15 (Real $2008)'!E144</f>
        <v>1.2612612612612484E-2</v>
      </c>
      <c r="F22" s="541">
        <f>'Data 2009-15 (Real $2008)'!F144</f>
        <v>2.7876631079478242E-2</v>
      </c>
      <c r="G22" s="541">
        <f>'Data 2009-15 (Real $2008)'!G144</f>
        <v>3.5199076745527913E-2</v>
      </c>
      <c r="H22" s="541">
        <f>'Data 2009-15 (Real $2008)'!H144</f>
        <v>2.0040080160320661E-2</v>
      </c>
      <c r="I22" s="541">
        <f>'Data 2009-15 (Real $2008)'!I144</f>
        <v>2.16110019646365E-2</v>
      </c>
      <c r="J22" s="541">
        <f>'Data 2009-15 (Real $2008)'!J144</f>
        <v>2.3076923076923217E-2</v>
      </c>
      <c r="K22" s="357"/>
      <c r="L22" s="357"/>
      <c r="M22" s="357"/>
      <c r="N22" s="357"/>
      <c r="O22" s="491"/>
      <c r="P22" s="491"/>
      <c r="Q22" s="491"/>
      <c r="R22" s="491"/>
      <c r="S22" s="491"/>
      <c r="T22" s="491"/>
      <c r="U22" s="491"/>
      <c r="V22" s="491"/>
    </row>
    <row r="23" spans="1:33" x14ac:dyDescent="0.2">
      <c r="A23" s="277" t="str">
        <f>A18</f>
        <v>Vanilla' after tax WACC (real)</v>
      </c>
      <c r="B23" s="276"/>
      <c r="C23" s="276"/>
      <c r="D23" s="503">
        <f>$C$18</f>
        <v>6.7716458658346301E-2</v>
      </c>
      <c r="E23" s="503">
        <f>$C$18</f>
        <v>6.7716458658346301E-2</v>
      </c>
      <c r="F23" s="503">
        <f>$C$18</f>
        <v>6.7716458658346301E-2</v>
      </c>
      <c r="G23" s="503">
        <f>$C$18</f>
        <v>6.7716458658346301E-2</v>
      </c>
      <c r="H23" s="503">
        <f>$C$18</f>
        <v>6.7716458658346301E-2</v>
      </c>
      <c r="I23" s="503">
        <f>$I$18</f>
        <v>5.0239094369083762E-2</v>
      </c>
      <c r="J23" s="503">
        <f>$I$18</f>
        <v>5.0239094369083762E-2</v>
      </c>
      <c r="K23" s="357"/>
      <c r="L23" s="357"/>
      <c r="M23" s="357"/>
      <c r="N23" s="357"/>
      <c r="O23" s="491"/>
      <c r="P23" s="491"/>
      <c r="Q23" s="491"/>
      <c r="R23" s="491"/>
      <c r="S23" s="491"/>
      <c r="T23" s="491"/>
      <c r="U23" s="491"/>
      <c r="V23" s="491"/>
    </row>
    <row r="24" spans="1:33" x14ac:dyDescent="0.2">
      <c r="A24" s="421" t="str">
        <f>A19</f>
        <v>Vanilla' after tax WACC (nominal)</v>
      </c>
      <c r="B24" s="276"/>
      <c r="C24" s="276"/>
      <c r="D24" s="503">
        <f t="shared" ref="D24:J24" si="0">(1+D23)*(1+D22)-1</f>
        <v>0.1209003175700798</v>
      </c>
      <c r="E24" s="503">
        <f t="shared" si="0"/>
        <v>8.1183152731514552E-2</v>
      </c>
      <c r="F24" s="503">
        <f t="shared" si="0"/>
        <v>9.7480796473851994E-2</v>
      </c>
      <c r="G24" s="503">
        <f t="shared" si="0"/>
        <v>0.10529909222912481</v>
      </c>
      <c r="H24" s="503">
        <f t="shared" si="0"/>
        <v>8.9113582078353293E-2</v>
      </c>
      <c r="I24" s="503">
        <f t="shared" si="0"/>
        <v>7.2935813500832225E-2</v>
      </c>
      <c r="J24" s="503">
        <f t="shared" si="0"/>
        <v>7.4475381162216747E-2</v>
      </c>
      <c r="K24" s="357"/>
      <c r="L24" s="357"/>
      <c r="M24" s="357"/>
      <c r="N24" s="357"/>
      <c r="O24" s="491"/>
      <c r="P24" s="491"/>
      <c r="Q24" s="491"/>
      <c r="R24" s="491"/>
      <c r="S24" s="491"/>
      <c r="T24" s="491"/>
      <c r="U24" s="491"/>
      <c r="V24" s="491"/>
    </row>
    <row r="25" spans="1:33" x14ac:dyDescent="0.2">
      <c r="A25" s="421"/>
      <c r="B25" s="276"/>
      <c r="C25" s="276"/>
      <c r="D25" s="490"/>
      <c r="E25" s="420"/>
      <c r="F25" s="420"/>
      <c r="G25" s="420"/>
      <c r="H25" s="420"/>
      <c r="I25" s="420"/>
      <c r="J25" s="420"/>
      <c r="K25" s="357"/>
      <c r="L25" s="357"/>
      <c r="M25" s="357"/>
      <c r="N25" s="357"/>
      <c r="O25" s="491"/>
      <c r="P25" s="491"/>
      <c r="Q25" s="491"/>
      <c r="R25" s="491"/>
      <c r="S25" s="491"/>
      <c r="T25" s="491"/>
      <c r="U25" s="491"/>
      <c r="V25" s="491"/>
    </row>
    <row r="26" spans="1:33" x14ac:dyDescent="0.2">
      <c r="A26" s="266"/>
      <c r="B26" s="276"/>
      <c r="C26" s="276"/>
      <c r="D26" s="490"/>
      <c r="E26" s="420"/>
      <c r="F26" s="420"/>
      <c r="G26" s="420"/>
      <c r="H26" s="420"/>
      <c r="I26" s="420"/>
      <c r="J26" s="420"/>
      <c r="K26" s="357"/>
      <c r="L26" s="357"/>
      <c r="M26" s="357"/>
      <c r="N26" s="357"/>
      <c r="O26" s="491"/>
      <c r="P26" s="491"/>
      <c r="Q26" s="491"/>
      <c r="R26" s="491"/>
      <c r="S26" s="491"/>
      <c r="T26" s="491"/>
      <c r="U26" s="491"/>
      <c r="V26" s="491"/>
    </row>
    <row r="27" spans="1:33" x14ac:dyDescent="0.2">
      <c r="A27" s="493" t="s">
        <v>339</v>
      </c>
      <c r="B27" s="498"/>
      <c r="C27" s="498"/>
      <c r="D27" s="491"/>
      <c r="E27" s="552" t="s">
        <v>366</v>
      </c>
      <c r="F27" s="491"/>
      <c r="G27" s="491"/>
      <c r="H27" s="491"/>
      <c r="I27" s="491"/>
      <c r="J27" s="491"/>
      <c r="K27" s="357"/>
      <c r="L27" s="357"/>
      <c r="M27" s="357"/>
      <c r="N27" s="357"/>
      <c r="O27" s="491"/>
      <c r="Q27" s="552" t="s">
        <v>367</v>
      </c>
      <c r="R27" s="492"/>
      <c r="S27" s="492"/>
      <c r="T27" s="492"/>
      <c r="U27" s="492"/>
      <c r="V27" s="492"/>
      <c r="X27" s="357"/>
      <c r="Y27" s="357"/>
      <c r="Z27" s="491"/>
      <c r="AB27" s="552" t="s">
        <v>367</v>
      </c>
      <c r="AC27" s="492"/>
    </row>
    <row r="28" spans="1:33" x14ac:dyDescent="0.2">
      <c r="A28" s="493"/>
      <c r="B28" s="499"/>
      <c r="C28" s="499"/>
      <c r="D28" s="491"/>
      <c r="E28" s="491"/>
      <c r="F28" s="491"/>
      <c r="G28" s="491"/>
      <c r="H28" s="491"/>
      <c r="I28" s="491"/>
      <c r="J28" s="491"/>
      <c r="K28" s="357"/>
      <c r="L28" s="357"/>
      <c r="N28" s="357"/>
      <c r="O28" s="491"/>
      <c r="P28" s="553"/>
      <c r="Q28" s="554"/>
      <c r="R28" s="554"/>
      <c r="S28" s="554"/>
      <c r="T28" s="554"/>
      <c r="U28" s="492"/>
      <c r="V28" s="492"/>
      <c r="Y28" s="357"/>
      <c r="Z28" s="491"/>
      <c r="AA28" s="553"/>
      <c r="AB28" s="554"/>
      <c r="AC28" s="554"/>
      <c r="AD28" s="554"/>
      <c r="AE28" s="554"/>
    </row>
    <row r="29" spans="1:33" x14ac:dyDescent="0.2">
      <c r="A29" s="407" t="s">
        <v>304</v>
      </c>
      <c r="B29" s="500"/>
      <c r="C29" s="500"/>
      <c r="D29" s="389">
        <f>$D$21</f>
        <v>2009</v>
      </c>
      <c r="E29" s="389">
        <f>$E$21</f>
        <v>2010</v>
      </c>
      <c r="F29" s="389">
        <f>$F$21</f>
        <v>2011</v>
      </c>
      <c r="G29" s="389">
        <f>$G$21</f>
        <v>2012</v>
      </c>
      <c r="H29" s="389">
        <f>$H$21</f>
        <v>2013</v>
      </c>
      <c r="I29" s="389">
        <f>$I$21</f>
        <v>2014</v>
      </c>
      <c r="J29" s="389">
        <f>$J$21</f>
        <v>2015</v>
      </c>
      <c r="K29" s="494"/>
      <c r="L29" s="494"/>
      <c r="M29" s="407" t="s">
        <v>304</v>
      </c>
      <c r="P29" s="389">
        <f>$D$21</f>
        <v>2009</v>
      </c>
      <c r="Q29" s="389">
        <f>$E$21</f>
        <v>2010</v>
      </c>
      <c r="R29" s="389">
        <f>$F$21</f>
        <v>2011</v>
      </c>
      <c r="S29" s="389">
        <f>$G$21</f>
        <v>2012</v>
      </c>
      <c r="T29" s="389">
        <f>$H$21</f>
        <v>2013</v>
      </c>
      <c r="U29" s="389">
        <f>$I$21</f>
        <v>2014</v>
      </c>
      <c r="V29" s="389">
        <f>$J$21</f>
        <v>2015</v>
      </c>
      <c r="X29" s="407" t="s">
        <v>296</v>
      </c>
      <c r="AA29" s="389">
        <f>$D$21</f>
        <v>2009</v>
      </c>
      <c r="AB29" s="389">
        <f>$E$21</f>
        <v>2010</v>
      </c>
      <c r="AC29" s="389">
        <f>$F$21</f>
        <v>2011</v>
      </c>
      <c r="AD29" s="389">
        <f>$G$21</f>
        <v>2012</v>
      </c>
      <c r="AE29" s="389">
        <f>$H$21</f>
        <v>2013</v>
      </c>
      <c r="AF29" s="389">
        <f>$I$21</f>
        <v>2014</v>
      </c>
      <c r="AG29" s="389">
        <f>$J$21</f>
        <v>2015</v>
      </c>
    </row>
    <row r="30" spans="1:33" x14ac:dyDescent="0.2">
      <c r="A30" s="358" t="s">
        <v>137</v>
      </c>
      <c r="D30" s="80">
        <f>D24*('AMI RAB 2009-15'!D12*'Data 2009-15 (Real $2008)'!D145-D38)</f>
        <v>5598.680942957807</v>
      </c>
      <c r="E30" s="80">
        <f>E24*('AMI RAB 2009-15'!E12*'Data 2009-15 (Real $2008)'!E145-E38)</f>
        <v>8350.4343002176538</v>
      </c>
      <c r="F30" s="80">
        <f>F24*('AMI RAB 2009-15'!F12*'Data 2009-15 (Real $2008)'!F145-F38)</f>
        <v>18630.510946483046</v>
      </c>
      <c r="G30" s="80">
        <f>G24*('AMI RAB 2009-15'!G12*'Data 2009-15 (Real $2008)'!G145-G38)</f>
        <v>29645.260705295266</v>
      </c>
      <c r="H30" s="80">
        <f>H24*('AMI RAB 2009-15'!H12*'Data 2009-15 (Real $2008)'!H145-H38)</f>
        <v>30937.071039756462</v>
      </c>
      <c r="I30" s="80">
        <f>I24*('AMI RAB 2009-15'!I12*'Data 2009-15 (Real $2008)'!I145-I38)</f>
        <v>26089.73404182864</v>
      </c>
      <c r="J30" s="80">
        <f>J24*('AMI RAB 2009-15'!J12*'Data 2009-15 (Real $2008)'!J145-J38)</f>
        <v>25097.016265066086</v>
      </c>
      <c r="K30" s="495"/>
      <c r="L30" s="495"/>
      <c r="M30" s="358" t="s">
        <v>137</v>
      </c>
      <c r="N30" s="495"/>
      <c r="O30" s="357"/>
      <c r="P30" s="80">
        <f>D23*'AMI RAB 2009-15'!D12*'Data 2009-15 (Real $2008)'!D145</f>
        <v>3292.0283744700155</v>
      </c>
      <c r="Q30" s="80">
        <f>E23*'AMI RAB 2009-15'!E12*'Data 2009-15 (Real $2008)'!E145</f>
        <v>7053.111032617664</v>
      </c>
      <c r="R30" s="80">
        <f>F23*'AMI RAB 2009-15'!F12*'Data 2009-15 (Real $2008)'!F145</f>
        <v>13302.734612437609</v>
      </c>
      <c r="S30" s="80">
        <f>G23*'AMI RAB 2009-15'!G12*'Data 2009-15 (Real $2008)'!G145</f>
        <v>19735.528488076256</v>
      </c>
      <c r="T30" s="80">
        <f>H23*'AMI RAB 2009-15'!H12*'Data 2009-15 (Real $2008)'!H145</f>
        <v>23979.866884085379</v>
      </c>
      <c r="U30" s="80">
        <f>I23*'AMI RAB 2009-15'!I12*'Data 2009-15 (Real $2008)'!I145</f>
        <v>18359.302768468362</v>
      </c>
      <c r="V30" s="80">
        <f>J23*'AMI RAB 2009-15'!J12*'Data 2009-15 (Real $2008)'!J145</f>
        <v>17320.461049487709</v>
      </c>
      <c r="X30" s="358" t="s">
        <v>137</v>
      </c>
      <c r="Y30" s="495"/>
      <c r="Z30" s="357"/>
      <c r="AA30" s="80">
        <f>D23*'AMI RAB 2009-15'!D12</f>
        <v>3135.8300311768435</v>
      </c>
      <c r="AB30" s="80">
        <f>E23*'AMI RAB 2009-15'!E12</f>
        <v>6634.7770449179225</v>
      </c>
      <c r="AC30" s="80">
        <f>F23*'AMI RAB 2009-15'!F12</f>
        <v>12174.343390263155</v>
      </c>
      <c r="AD30" s="80">
        <f>G23*'AMI RAB 2009-15'!G12</f>
        <v>17447.351272067415</v>
      </c>
      <c r="AE30" s="80">
        <f>H23*'AMI RAB 2009-15'!H12</f>
        <v>20783.097522413227</v>
      </c>
      <c r="AF30" s="80">
        <f>I23*'AMI RAB 2009-15'!I12</f>
        <v>15575.217864253305</v>
      </c>
      <c r="AG30" s="80">
        <f>J23*'AMI RAB 2009-15'!J12</f>
        <v>14362.469049944328</v>
      </c>
    </row>
    <row r="31" spans="1:33" x14ac:dyDescent="0.2">
      <c r="A31" s="358" t="s">
        <v>138</v>
      </c>
      <c r="D31" s="80">
        <f t="shared" ref="D31:J31" si="1">D39</f>
        <v>6943.2808609939821</v>
      </c>
      <c r="E31" s="80">
        <f t="shared" si="1"/>
        <v>16205.133180424409</v>
      </c>
      <c r="F31" s="80">
        <f t="shared" si="1"/>
        <v>23601.049562591292</v>
      </c>
      <c r="G31" s="80">
        <f t="shared" si="1"/>
        <v>30902.531031408791</v>
      </c>
      <c r="H31" s="80">
        <f t="shared" si="1"/>
        <v>43233.09594911863</v>
      </c>
      <c r="I31" s="80">
        <f t="shared" si="1"/>
        <v>36147.701799096671</v>
      </c>
      <c r="J31" s="80">
        <f t="shared" si="1"/>
        <v>37378.472156513497</v>
      </c>
      <c r="K31" s="495"/>
      <c r="L31" s="495"/>
      <c r="M31" s="358" t="s">
        <v>138</v>
      </c>
      <c r="N31" s="495"/>
      <c r="O31" s="357"/>
      <c r="P31" s="80">
        <f>'AMI RAB 2009-15'!D9*'Data 2009-15 (Real $2008)'!D145</f>
        <v>9249.9334294817727</v>
      </c>
      <c r="Q31" s="80">
        <f>'AMI RAB 2009-15'!E9*'Data 2009-15 (Real $2008)'!E145</f>
        <v>17502.456448024393</v>
      </c>
      <c r="R31" s="80">
        <f>'AMI RAB 2009-15'!F9*'Data 2009-15 (Real $2008)'!F145</f>
        <v>28928.825896636732</v>
      </c>
      <c r="S31" s="80">
        <f>'AMI RAB 2009-15'!G9*'Data 2009-15 (Real $2008)'!G145</f>
        <v>40812.263248627773</v>
      </c>
      <c r="T31" s="80">
        <f>'AMI RAB 2009-15'!H9*'Data 2009-15 (Real $2008)'!H145</f>
        <v>50190.300104789698</v>
      </c>
      <c r="U31" s="80">
        <f>'AMI RAB 2009-15'!I9*'Data 2009-15 (Real $2008)'!I145</f>
        <v>43878.133072456898</v>
      </c>
      <c r="V31" s="80">
        <f>'AMI RAB 2009-15'!J9*'Data 2009-15 (Real $2008)'!J145</f>
        <v>45155.027372091827</v>
      </c>
      <c r="X31" s="358" t="s">
        <v>138</v>
      </c>
      <c r="Y31" s="495"/>
      <c r="Z31" s="357"/>
      <c r="AA31" s="80">
        <f>'AMI RAB 2009-15'!D9</f>
        <v>8811.0476991940486</v>
      </c>
      <c r="AB31" s="80">
        <f>'AMI RAB 2009-15'!E9</f>
        <v>16464.351083372891</v>
      </c>
      <c r="AC31" s="80">
        <f>'AMI RAB 2009-15'!F9</f>
        <v>26474.967035237078</v>
      </c>
      <c r="AD31" s="80">
        <f>'AMI RAB 2009-15'!G9</f>
        <v>36080.40664009122</v>
      </c>
      <c r="AE31" s="80">
        <f>'AMI RAB 2009-15'!H9</f>
        <v>43499.403345283274</v>
      </c>
      <c r="AF31" s="80">
        <f>'AMI RAB 2009-15'!I9</f>
        <v>37224.261220527194</v>
      </c>
      <c r="AG31" s="80">
        <f>'AMI RAB 2009-15'!J9</f>
        <v>37443.442251800785</v>
      </c>
    </row>
    <row r="32" spans="1:33" x14ac:dyDescent="0.2">
      <c r="A32" s="358" t="s">
        <v>139</v>
      </c>
      <c r="D32" s="80">
        <f>'Data 2009-15 (Real $2008)'!D55*'Data 2009-15 (Real $2008)'!D145/10^3</f>
        <v>24814.068844235313</v>
      </c>
      <c r="E32" s="80">
        <f>'Data 2009-15 (Real $2008)'!E55*'Data 2009-15 (Real $2008)'!E145/10^3</f>
        <v>19953.4602551184</v>
      </c>
      <c r="F32" s="80">
        <f>'Data 2009-15 (Real $2008)'!F55*'Data 2009-15 (Real $2008)'!F145/10^3</f>
        <v>26822.51764150586</v>
      </c>
      <c r="G32" s="80">
        <f>'Data 2009-15 (Real $2008)'!G55*'Data 2009-15 (Real $2008)'!G145/10^3</f>
        <v>22519.258547136702</v>
      </c>
      <c r="H32" s="80">
        <f>'Data 2009-15 (Real $2008)'!H55*'Data 2009-15 (Real $2008)'!H145/10^3</f>
        <v>21941.413564735751</v>
      </c>
      <c r="I32" s="80">
        <f>'Data 2009-15 (Real $2008)'!I55*'Data 2009-15 (Real $2008)'!I145/10^3</f>
        <v>23326.437219259322</v>
      </c>
      <c r="J32" s="80">
        <f>'Data 2009-15 (Real $2008)'!J55*'Data 2009-15 (Real $2008)'!J145/10^3</f>
        <v>23193.351066820287</v>
      </c>
      <c r="K32" s="495"/>
      <c r="L32" s="495"/>
      <c r="M32" s="358" t="s">
        <v>139</v>
      </c>
      <c r="N32" s="495"/>
      <c r="O32" s="555"/>
      <c r="P32" s="80">
        <f>'Data 2009-15 (Real $2008)'!D55*'Data 2009-15 (Real $2008)'!D145/10^3</f>
        <v>24814.068844235313</v>
      </c>
      <c r="Q32" s="80">
        <f>'Data 2009-15 (Real $2008)'!E55*'Data 2009-15 (Real $2008)'!E145/10^3</f>
        <v>19953.4602551184</v>
      </c>
      <c r="R32" s="80">
        <f>'Data 2009-15 (Real $2008)'!F55*'Data 2009-15 (Real $2008)'!F145/10^3</f>
        <v>26822.51764150586</v>
      </c>
      <c r="S32" s="80">
        <f>'Data 2009-15 (Real $2008)'!G55*'Data 2009-15 (Real $2008)'!G145/10^3</f>
        <v>22519.258547136702</v>
      </c>
      <c r="T32" s="80">
        <f>'Data 2009-15 (Real $2008)'!H55*'Data 2009-15 (Real $2008)'!H145/10^3</f>
        <v>21941.413564735751</v>
      </c>
      <c r="U32" s="80">
        <f>'Data 2009-15 (Real $2008)'!I55*'Data 2009-15 (Real $2008)'!I145/10^3</f>
        <v>23326.437219259322</v>
      </c>
      <c r="V32" s="80">
        <f>'Data 2009-15 (Real $2008)'!J55*'Data 2009-15 (Real $2008)'!J145/10^3</f>
        <v>23193.351066820287</v>
      </c>
      <c r="X32" s="358" t="s">
        <v>139</v>
      </c>
      <c r="Y32" s="495"/>
      <c r="Z32" s="555"/>
      <c r="AA32" s="80">
        <f>'Data 2009-15 (Real $2008)'!D55/10^3</f>
        <v>23636.704616791114</v>
      </c>
      <c r="AB32" s="80">
        <f>'Data 2009-15 (Real $2008)'!E55/10^3</f>
        <v>18769.980999180181</v>
      </c>
      <c r="AC32" s="80">
        <f>'Data 2009-15 (Real $2008)'!F55/10^3</f>
        <v>24547.324281262718</v>
      </c>
      <c r="AD32" s="80">
        <f>'Data 2009-15 (Real $2008)'!G55/10^3</f>
        <v>19908.330019932448</v>
      </c>
      <c r="AE32" s="80">
        <f>'Data 2009-15 (Real $2008)'!H55/10^3</f>
        <v>19016.391546282612</v>
      </c>
      <c r="AF32" s="80">
        <f>'Data 2009-15 (Real $2008)'!I55/10^3</f>
        <v>19789.11433993965</v>
      </c>
      <c r="AG32" s="80">
        <f>'Data 2009-15 (Real $2008)'!J55/10^3</f>
        <v>19232.385668599291</v>
      </c>
    </row>
    <row r="33" spans="1:33" x14ac:dyDescent="0.2">
      <c r="A33" s="358" t="s">
        <v>301</v>
      </c>
      <c r="D33" s="80">
        <f t="shared" ref="D33:J33" si="2">D60</f>
        <v>0</v>
      </c>
      <c r="E33" s="80">
        <f t="shared" si="2"/>
        <v>0</v>
      </c>
      <c r="F33" s="80">
        <f t="shared" si="2"/>
        <v>0</v>
      </c>
      <c r="G33" s="80">
        <f t="shared" si="2"/>
        <v>0</v>
      </c>
      <c r="H33" s="80">
        <f t="shared" si="2"/>
        <v>0</v>
      </c>
      <c r="I33" s="80">
        <f t="shared" si="2"/>
        <v>0</v>
      </c>
      <c r="J33" s="80">
        <f t="shared" si="2"/>
        <v>0</v>
      </c>
      <c r="K33" s="495"/>
      <c r="L33" s="495"/>
      <c r="M33" s="358" t="s">
        <v>301</v>
      </c>
      <c r="N33" s="495"/>
      <c r="O33" s="393"/>
      <c r="P33" s="80">
        <f t="shared" ref="P33:V33" si="3">D60</f>
        <v>0</v>
      </c>
      <c r="Q33" s="80">
        <f t="shared" si="3"/>
        <v>0</v>
      </c>
      <c r="R33" s="80">
        <f t="shared" si="3"/>
        <v>0</v>
      </c>
      <c r="S33" s="80">
        <f t="shared" si="3"/>
        <v>0</v>
      </c>
      <c r="T33" s="80">
        <f t="shared" si="3"/>
        <v>0</v>
      </c>
      <c r="U33" s="80">
        <f t="shared" si="3"/>
        <v>0</v>
      </c>
      <c r="V33" s="80">
        <f t="shared" si="3"/>
        <v>0</v>
      </c>
      <c r="X33" s="358" t="s">
        <v>301</v>
      </c>
      <c r="Y33" s="495"/>
      <c r="Z33" s="393"/>
      <c r="AA33" s="80">
        <f t="shared" ref="AA33:AG33" si="4">D64</f>
        <v>0</v>
      </c>
      <c r="AB33" s="80">
        <f t="shared" si="4"/>
        <v>0</v>
      </c>
      <c r="AC33" s="80">
        <f t="shared" si="4"/>
        <v>0</v>
      </c>
      <c r="AD33" s="80">
        <f t="shared" si="4"/>
        <v>0</v>
      </c>
      <c r="AE33" s="80">
        <f t="shared" si="4"/>
        <v>0</v>
      </c>
      <c r="AF33" s="80">
        <f t="shared" si="4"/>
        <v>0</v>
      </c>
      <c r="AG33" s="80">
        <f t="shared" si="4"/>
        <v>0</v>
      </c>
    </row>
    <row r="34" spans="1:33" x14ac:dyDescent="0.2">
      <c r="A34" s="355" t="s">
        <v>353</v>
      </c>
      <c r="B34" s="497"/>
      <c r="C34" s="497"/>
      <c r="D34" s="107">
        <f t="shared" ref="D34:J34" si="5">SUM(D30:D33)</f>
        <v>37356.030648187101</v>
      </c>
      <c r="E34" s="107">
        <f t="shared" si="5"/>
        <v>44509.027735760465</v>
      </c>
      <c r="F34" s="107">
        <f t="shared" si="5"/>
        <v>69054.078150580201</v>
      </c>
      <c r="G34" s="107">
        <f t="shared" si="5"/>
        <v>83067.050283840756</v>
      </c>
      <c r="H34" s="107">
        <f t="shared" si="5"/>
        <v>96111.580553610838</v>
      </c>
      <c r="I34" s="107">
        <f t="shared" si="5"/>
        <v>85563.873060184633</v>
      </c>
      <c r="J34" s="107">
        <f t="shared" si="5"/>
        <v>85668.83948839987</v>
      </c>
      <c r="K34" s="495"/>
      <c r="L34" s="495"/>
      <c r="M34" s="355" t="s">
        <v>353</v>
      </c>
      <c r="N34" s="495"/>
      <c r="O34" s="393"/>
      <c r="P34" s="107">
        <f t="shared" ref="P34:V34" si="6">SUM(P30:P33)</f>
        <v>37356.030648187101</v>
      </c>
      <c r="Q34" s="107">
        <f t="shared" si="6"/>
        <v>44509.027735760457</v>
      </c>
      <c r="R34" s="107">
        <f t="shared" si="6"/>
        <v>69054.078150580201</v>
      </c>
      <c r="S34" s="107">
        <f t="shared" si="6"/>
        <v>83067.050283840726</v>
      </c>
      <c r="T34" s="107">
        <f t="shared" si="6"/>
        <v>96111.580553610824</v>
      </c>
      <c r="U34" s="107">
        <f t="shared" si="6"/>
        <v>85563.873060184589</v>
      </c>
      <c r="V34" s="107">
        <f t="shared" si="6"/>
        <v>85668.839488399826</v>
      </c>
      <c r="X34" s="355" t="s">
        <v>353</v>
      </c>
      <c r="Y34" s="495"/>
      <c r="Z34" s="393"/>
      <c r="AA34" s="107">
        <f t="shared" ref="AA34:AG34" si="7">SUM(AA30:AA33)</f>
        <v>35583.58234716201</v>
      </c>
      <c r="AB34" s="107">
        <f t="shared" si="7"/>
        <v>41869.109127470991</v>
      </c>
      <c r="AC34" s="107">
        <f t="shared" si="7"/>
        <v>63196.634706762954</v>
      </c>
      <c r="AD34" s="107">
        <f t="shared" si="7"/>
        <v>73436.087932091075</v>
      </c>
      <c r="AE34" s="107">
        <f t="shared" si="7"/>
        <v>83298.892413979105</v>
      </c>
      <c r="AF34" s="107">
        <f t="shared" si="7"/>
        <v>72588.593424720151</v>
      </c>
      <c r="AG34" s="107">
        <f t="shared" si="7"/>
        <v>71038.296970344411</v>
      </c>
    </row>
    <row r="35" spans="1:33" x14ac:dyDescent="0.2">
      <c r="A35" s="556" t="s">
        <v>0</v>
      </c>
      <c r="B35" s="557"/>
      <c r="C35" s="545">
        <f>SUM(D35:J35,P35:V35)</f>
        <v>0</v>
      </c>
      <c r="D35" s="547">
        <f t="shared" ref="D35:J35" si="8">IF(ABS(P34-D34)&lt;0.001,0,ABS(P34-D34))</f>
        <v>0</v>
      </c>
      <c r="E35" s="547">
        <f t="shared" si="8"/>
        <v>0</v>
      </c>
      <c r="F35" s="547">
        <f t="shared" si="8"/>
        <v>0</v>
      </c>
      <c r="G35" s="547">
        <f t="shared" si="8"/>
        <v>0</v>
      </c>
      <c r="H35" s="547">
        <f t="shared" si="8"/>
        <v>0</v>
      </c>
      <c r="I35" s="547">
        <f t="shared" si="8"/>
        <v>0</v>
      </c>
      <c r="J35" s="547">
        <f t="shared" si="8"/>
        <v>0</v>
      </c>
      <c r="K35" s="560"/>
      <c r="L35" s="560"/>
      <c r="M35" s="560"/>
      <c r="N35" s="560"/>
      <c r="O35" s="560"/>
      <c r="P35" s="547">
        <f>IF(ABS(AA34*'Data 2009-15 (Real $2008)'!D145-P34)&lt;0.001,0,ABS(AA34*'Data 2009-15 (Real $2008)'!D145-P34))</f>
        <v>0</v>
      </c>
      <c r="Q35" s="547">
        <f>IF(ABS(AB34*'Data 2009-15 (Real $2008)'!E145-Q34)&lt;0.001,0,ABS(AB34*'Data 2009-15 (Real $2008)'!E145-Q34))</f>
        <v>0</v>
      </c>
      <c r="R35" s="547">
        <f>IF(ABS(AC34*'Data 2009-15 (Real $2008)'!F145-R34)&lt;0.001,0,ABS(AC34*'Data 2009-15 (Real $2008)'!F145-R34))</f>
        <v>0</v>
      </c>
      <c r="S35" s="547">
        <f>IF(ABS(AD34*'Data 2009-15 (Real $2008)'!G145-S34)&lt;0.001,0,ABS(AD34*'Data 2009-15 (Real $2008)'!G145-S34))</f>
        <v>0</v>
      </c>
      <c r="T35" s="547">
        <f>IF(ABS(AE34*'Data 2009-15 (Real $2008)'!H145-T34)&lt;0.001,0,ABS(AE34*'Data 2009-15 (Real $2008)'!H145-T34))</f>
        <v>0</v>
      </c>
      <c r="U35" s="547">
        <f>IF(ABS(AF34*'Data 2009-15 (Real $2008)'!I145-U34)&lt;0.001,0,ABS(AF34*'Data 2009-15 (Real $2008)'!I145-U34))</f>
        <v>0</v>
      </c>
      <c r="V35" s="547">
        <f>IF(ABS(AG34*'Data 2009-15 (Real $2008)'!J145-V34)&lt;0.001,0,ABS(AG34*'Data 2009-15 (Real $2008)'!J145-V34))</f>
        <v>0</v>
      </c>
    </row>
    <row r="36" spans="1:33" x14ac:dyDescent="0.2">
      <c r="A36" s="393"/>
      <c r="B36" s="393"/>
      <c r="C36" s="393"/>
      <c r="D36" s="496"/>
      <c r="E36" s="393"/>
      <c r="F36" s="393"/>
      <c r="G36" s="393"/>
      <c r="H36" s="393"/>
      <c r="I36" s="393"/>
      <c r="J36" s="393"/>
    </row>
    <row r="37" spans="1:33" x14ac:dyDescent="0.2">
      <c r="A37" s="55" t="s">
        <v>368</v>
      </c>
      <c r="B37" s="55"/>
      <c r="C37" s="358"/>
      <c r="D37" s="507">
        <f>'AMI RAB 2009-15'!D9*'Data 2009-15 (Real $2008)'!D145</f>
        <v>9249.9334294817727</v>
      </c>
      <c r="E37" s="507">
        <f>'AMI RAB 2009-15'!E9*'Data 2009-15 (Real $2008)'!E145</f>
        <v>17502.456448024393</v>
      </c>
      <c r="F37" s="507">
        <f>'AMI RAB 2009-15'!F9*'Data 2009-15 (Real $2008)'!F145</f>
        <v>28928.825896636732</v>
      </c>
      <c r="G37" s="507">
        <f>'AMI RAB 2009-15'!G9*'Data 2009-15 (Real $2008)'!G145</f>
        <v>40812.263248627773</v>
      </c>
      <c r="H37" s="507">
        <f>'AMI RAB 2009-15'!H9*'Data 2009-15 (Real $2008)'!H145</f>
        <v>50190.300104789698</v>
      </c>
      <c r="I37" s="507">
        <f>'AMI RAB 2009-15'!I9*'Data 2009-15 (Real $2008)'!I145</f>
        <v>43878.133072456898</v>
      </c>
      <c r="J37" s="507">
        <f>'AMI RAB 2009-15'!J9*'Data 2009-15 (Real $2008)'!J145</f>
        <v>45155.027372091827</v>
      </c>
    </row>
    <row r="38" spans="1:33" x14ac:dyDescent="0.2">
      <c r="A38" s="55" t="s">
        <v>369</v>
      </c>
      <c r="B38" s="55"/>
      <c r="C38" s="358"/>
      <c r="D38" s="507">
        <f>'AMI RAB 2009-15'!D12*'Data 2009-15 (Real $2008)'!D144</f>
        <v>2306.6525684877906</v>
      </c>
      <c r="E38" s="507">
        <f>'AMI RAB 2009-15'!E12*'Data 2009-15 (Real $2008)'!D145*'Data 2009-15 (Real $2008)'!E144</f>
        <v>1297.3232675999848</v>
      </c>
      <c r="F38" s="507">
        <f>'AMI RAB 2009-15'!F12*'Data 2009-15 (Real $2008)'!E145*'Data 2009-15 (Real $2008)'!F144</f>
        <v>5327.7763340454412</v>
      </c>
      <c r="G38" s="507">
        <f>'AMI RAB 2009-15'!G12*'Data 2009-15 (Real $2008)'!F145*'Data 2009-15 (Real $2008)'!G144</f>
        <v>9909.7322172189815</v>
      </c>
      <c r="H38" s="507">
        <f>'AMI RAB 2009-15'!H12*'Data 2009-15 (Real $2008)'!G145*'Data 2009-15 (Real $2008)'!H144</f>
        <v>6957.2041556710683</v>
      </c>
      <c r="I38" s="507">
        <f>'AMI RAB 2009-15'!I12*'Data 2009-15 (Real $2008)'!H145*'Data 2009-15 (Real $2008)'!I144</f>
        <v>7730.4312733602274</v>
      </c>
      <c r="J38" s="507">
        <f>'AMI RAB 2009-15'!J12*'Data 2009-15 (Real $2008)'!I145*'Data 2009-15 (Real $2008)'!J144</f>
        <v>7776.5552155783316</v>
      </c>
    </row>
    <row r="39" spans="1:33" x14ac:dyDescent="0.2">
      <c r="A39" s="55" t="s">
        <v>138</v>
      </c>
      <c r="B39" s="55"/>
      <c r="C39" s="358"/>
      <c r="D39" s="558">
        <f t="shared" ref="D39:J39" si="9">D37-D38</f>
        <v>6943.2808609939821</v>
      </c>
      <c r="E39" s="558">
        <f t="shared" si="9"/>
        <v>16205.133180424409</v>
      </c>
      <c r="F39" s="558">
        <f t="shared" si="9"/>
        <v>23601.049562591292</v>
      </c>
      <c r="G39" s="558">
        <f t="shared" si="9"/>
        <v>30902.531031408791</v>
      </c>
      <c r="H39" s="558">
        <f t="shared" si="9"/>
        <v>43233.09594911863</v>
      </c>
      <c r="I39" s="558">
        <f t="shared" si="9"/>
        <v>36147.701799096671</v>
      </c>
      <c r="J39" s="558">
        <f t="shared" si="9"/>
        <v>37378.472156513497</v>
      </c>
    </row>
    <row r="40" spans="1:33" x14ac:dyDescent="0.2">
      <c r="A40" s="393"/>
      <c r="B40" s="393"/>
      <c r="C40" s="393"/>
      <c r="D40" s="496"/>
      <c r="E40" s="393"/>
      <c r="F40" s="393"/>
      <c r="G40" s="393"/>
      <c r="H40" s="393"/>
      <c r="I40" s="393"/>
      <c r="J40" s="393"/>
    </row>
    <row r="41" spans="1:33" x14ac:dyDescent="0.2">
      <c r="A41" s="393"/>
      <c r="B41" s="393"/>
      <c r="C41" s="393"/>
      <c r="D41" s="496"/>
      <c r="E41" s="393"/>
      <c r="F41" s="393"/>
      <c r="G41" s="393"/>
      <c r="H41" s="393"/>
      <c r="I41" s="393"/>
      <c r="J41" s="393"/>
    </row>
    <row r="42" spans="1:33" x14ac:dyDescent="0.2">
      <c r="A42" s="393"/>
      <c r="B42" s="393"/>
      <c r="C42" s="393"/>
      <c r="D42" s="496"/>
      <c r="E42" s="393"/>
      <c r="F42" s="393"/>
      <c r="G42" s="393"/>
      <c r="H42" s="393"/>
      <c r="I42" s="393"/>
      <c r="J42" s="393"/>
    </row>
    <row r="43" spans="1:33" x14ac:dyDescent="0.2">
      <c r="A43" s="493" t="s">
        <v>340</v>
      </c>
      <c r="D43" s="389">
        <f>$D$21</f>
        <v>2009</v>
      </c>
      <c r="E43" s="389">
        <f>$E$21</f>
        <v>2010</v>
      </c>
      <c r="F43" s="389">
        <f>$F$21</f>
        <v>2011</v>
      </c>
      <c r="G43" s="389">
        <f>$G$21</f>
        <v>2012</v>
      </c>
      <c r="H43" s="389">
        <f>$H$21</f>
        <v>2013</v>
      </c>
      <c r="I43" s="389">
        <f>$I$21</f>
        <v>2014</v>
      </c>
      <c r="J43" s="389">
        <f>$J$21</f>
        <v>2015</v>
      </c>
    </row>
    <row r="45" spans="1:33" x14ac:dyDescent="0.2">
      <c r="A45" s="354" t="s">
        <v>142</v>
      </c>
      <c r="D45" s="501">
        <f>'Data 2009-15 (Real $2008)'!$C$139</f>
        <v>0.6</v>
      </c>
      <c r="E45" s="501">
        <f>'Data 2009-15 (Real $2008)'!$C$139</f>
        <v>0.6</v>
      </c>
      <c r="F45" s="501">
        <f>'Data 2009-15 (Real $2008)'!$C$139</f>
        <v>0.6</v>
      </c>
      <c r="G45" s="501">
        <f>'Data 2009-15 (Real $2008)'!$C$139</f>
        <v>0.6</v>
      </c>
      <c r="H45" s="501">
        <f>'Data 2009-15 (Real $2008)'!$C$139</f>
        <v>0.6</v>
      </c>
      <c r="I45" s="501">
        <f>'Data 2009-15 (Real $2008)'!$I$139</f>
        <v>0.6</v>
      </c>
      <c r="J45" s="501">
        <f>'Data 2009-15 (Real $2008)'!$I$139</f>
        <v>0.6</v>
      </c>
      <c r="N45" s="55"/>
    </row>
    <row r="46" spans="1:33" x14ac:dyDescent="0.2">
      <c r="A46" s="55" t="s">
        <v>84</v>
      </c>
      <c r="D46" s="503">
        <f>(1+$C$15)*(1+'Data 2009-15 (Real $2008)'!D144)-1</f>
        <v>0.11322326868484578</v>
      </c>
      <c r="E46" s="503">
        <f>(1+$C$15)*(1+'Data 2009-15 (Real $2008)'!E144)-1</f>
        <v>7.3778126800747579E-2</v>
      </c>
      <c r="F46" s="503">
        <f>(1+$C$15)*(1+'Data 2009-15 (Real $2008)'!F144)-1</f>
        <v>8.9964147943142114E-2</v>
      </c>
      <c r="G46" s="503">
        <f>(1+$C$15)*(1+'Data 2009-15 (Real $2008)'!G144)-1</f>
        <v>9.7728896172580848E-2</v>
      </c>
      <c r="H46" s="503">
        <f>(1+$C$15)*(1+'Data 2009-15 (Real $2008)'!H144)-1</f>
        <v>8.1654240618522556E-2</v>
      </c>
      <c r="I46" s="503">
        <f>(1+$I$15)*(1+'Data 2009-15 (Real $2008)'!I144)-1</f>
        <v>6.2288008776539838E-2</v>
      </c>
      <c r="J46" s="503">
        <f>(1+$I$15)*(1+'Data 2009-15 (Real $2008)'!J144)-1</f>
        <v>6.3812297783216509E-2</v>
      </c>
    </row>
    <row r="47" spans="1:33" x14ac:dyDescent="0.2">
      <c r="A47" s="354" t="s">
        <v>143</v>
      </c>
      <c r="D47" s="505">
        <f>'Data 2009-15 (Real $2008)'!$C$137</f>
        <v>0.3</v>
      </c>
      <c r="E47" s="505">
        <f>'Data 2009-15 (Real $2008)'!$C$137</f>
        <v>0.3</v>
      </c>
      <c r="F47" s="505">
        <f>'Data 2009-15 (Real $2008)'!$C$137</f>
        <v>0.3</v>
      </c>
      <c r="G47" s="505">
        <f>'Data 2009-15 (Real $2008)'!$C$137</f>
        <v>0.3</v>
      </c>
      <c r="H47" s="505">
        <f>'Data 2009-15 (Real $2008)'!$C$137</f>
        <v>0.3</v>
      </c>
      <c r="I47" s="505">
        <f>'Data 2009-15 (Real $2008)'!$I$137</f>
        <v>0.3</v>
      </c>
      <c r="J47" s="505">
        <f>'Data 2009-15 (Real $2008)'!$I$137</f>
        <v>0.3</v>
      </c>
    </row>
    <row r="48" spans="1:33" x14ac:dyDescent="0.2">
      <c r="A48" s="55" t="s">
        <v>17</v>
      </c>
      <c r="D48" s="504">
        <f>'Data 2009-15 (Real $2008)'!$C$138</f>
        <v>0.65</v>
      </c>
      <c r="E48" s="504">
        <f>'Data 2009-15 (Real $2008)'!$C$138</f>
        <v>0.65</v>
      </c>
      <c r="F48" s="504">
        <f>'Data 2009-15 (Real $2008)'!$C$138</f>
        <v>0.65</v>
      </c>
      <c r="G48" s="504">
        <f>'Data 2009-15 (Real $2008)'!$C$138</f>
        <v>0.65</v>
      </c>
      <c r="H48" s="504">
        <f>'Data 2009-15 (Real $2008)'!$C$138</f>
        <v>0.65</v>
      </c>
      <c r="I48" s="504">
        <f>'Data 2009-15 (Real $2008)'!$I$138</f>
        <v>0.25</v>
      </c>
      <c r="J48" s="504">
        <f>'Data 2009-15 (Real $2008)'!$I$138</f>
        <v>0.25</v>
      </c>
    </row>
    <row r="49" spans="1:10" x14ac:dyDescent="0.2">
      <c r="A49" s="55"/>
      <c r="D49" s="55"/>
      <c r="E49" s="55"/>
      <c r="F49" s="55"/>
      <c r="G49" s="55"/>
      <c r="H49" s="55"/>
      <c r="I49" s="55"/>
      <c r="J49" s="55"/>
    </row>
    <row r="50" spans="1:10" x14ac:dyDescent="0.2">
      <c r="A50" s="407" t="s">
        <v>304</v>
      </c>
      <c r="D50" s="389">
        <f>$D$21</f>
        <v>2009</v>
      </c>
      <c r="E50" s="389">
        <f>$E$21</f>
        <v>2010</v>
      </c>
      <c r="F50" s="389">
        <f>$F$21</f>
        <v>2011</v>
      </c>
      <c r="G50" s="389">
        <f>$G$21</f>
        <v>2012</v>
      </c>
      <c r="H50" s="389">
        <f>$H$21</f>
        <v>2013</v>
      </c>
      <c r="I50" s="389">
        <f>$I$21</f>
        <v>2014</v>
      </c>
      <c r="J50" s="389">
        <f>$J$21</f>
        <v>2015</v>
      </c>
    </row>
    <row r="51" spans="1:10" x14ac:dyDescent="0.2">
      <c r="A51" s="55" t="s">
        <v>300</v>
      </c>
      <c r="D51" s="81">
        <f>'Tariff Compliance'!D8</f>
        <v>33138.971770000004</v>
      </c>
      <c r="E51" s="81">
        <f>'Tariff Compliance'!E8</f>
        <v>71092.652630000011</v>
      </c>
      <c r="F51" s="81">
        <f>'Tariff Compliance'!F8</f>
        <v>72026.21027412331</v>
      </c>
      <c r="G51" s="81">
        <f>'Tariff Compliance'!G8</f>
        <v>79301.450791750016</v>
      </c>
      <c r="H51" s="81">
        <f>'Tariff Compliance'!H8</f>
        <v>99912.045450000005</v>
      </c>
      <c r="I51" s="81">
        <f>'Tariff Compliance'!I8</f>
        <v>91443.971000066595</v>
      </c>
      <c r="J51" s="81">
        <f>'Tariff Compliance'!J8</f>
        <v>88063.836043412506</v>
      </c>
    </row>
    <row r="52" spans="1:10" x14ac:dyDescent="0.2">
      <c r="A52" s="55" t="s">
        <v>4</v>
      </c>
      <c r="D52" s="80">
        <f>'AMI RAB 2009-15'!D7*'Data 2009-15 (Real $2008)'!D145</f>
        <v>0</v>
      </c>
      <c r="E52" s="80">
        <f>'AMI RAB 2009-15'!E7*'Data 2009-15 (Real $2008)'!E145</f>
        <v>0</v>
      </c>
      <c r="F52" s="80">
        <f>'AMI RAB 2009-15'!F7*'Data 2009-15 (Real $2008)'!F145</f>
        <v>0</v>
      </c>
      <c r="G52" s="80">
        <f>'AMI RAB 2009-15'!G7*'Data 2009-15 (Real $2008)'!G145</f>
        <v>0</v>
      </c>
      <c r="H52" s="80">
        <f>'AMI RAB 2009-15'!H7*'Data 2009-15 (Real $2008)'!H145</f>
        <v>0</v>
      </c>
      <c r="I52" s="80">
        <f>'AMI RAB 2009-15'!I7*'Data 2009-15 (Real $2008)'!I145</f>
        <v>0</v>
      </c>
      <c r="J52" s="80">
        <f>'AMI RAB 2009-15'!J7*'Data 2009-15 (Real $2008)'!J145</f>
        <v>0</v>
      </c>
    </row>
    <row r="53" spans="1:10" x14ac:dyDescent="0.2">
      <c r="A53" s="55" t="s">
        <v>127</v>
      </c>
      <c r="D53" s="80">
        <f>'Data 2009-15 (Real $2008)'!D55/10^3*'Data 2009-15 (Real $2008)'!D145</f>
        <v>24814.068844235309</v>
      </c>
      <c r="E53" s="80">
        <f>'Data 2009-15 (Real $2008)'!E55/10^3*'Data 2009-15 (Real $2008)'!E145</f>
        <v>19953.460255118396</v>
      </c>
      <c r="F53" s="80">
        <f>'Data 2009-15 (Real $2008)'!F55/10^3*'Data 2009-15 (Real $2008)'!F145</f>
        <v>26822.51764150586</v>
      </c>
      <c r="G53" s="80">
        <f>'Data 2009-15 (Real $2008)'!G55/10^3*'Data 2009-15 (Real $2008)'!G145</f>
        <v>22519.258547136702</v>
      </c>
      <c r="H53" s="80">
        <f>'Data 2009-15 (Real $2008)'!H55/10^3*'Data 2009-15 (Real $2008)'!H145</f>
        <v>21941.413564735751</v>
      </c>
      <c r="I53" s="80">
        <f>'Data 2009-15 (Real $2008)'!I55/10^3*'Data 2009-15 (Real $2008)'!I145</f>
        <v>23326.437219259322</v>
      </c>
      <c r="J53" s="80">
        <f>'Data 2009-15 (Real $2008)'!J55/10^3*'Data 2009-15 (Real $2008)'!J145</f>
        <v>23193.351066820287</v>
      </c>
    </row>
    <row r="54" spans="1:10" x14ac:dyDescent="0.2">
      <c r="A54" s="55" t="s">
        <v>128</v>
      </c>
      <c r="D54" s="80">
        <f>'AMI Tax Depn 2009-15'!D56</f>
        <v>16705.384238195707</v>
      </c>
      <c r="E54" s="80">
        <f>'AMI Tax Depn 2009-15'!E56</f>
        <v>35884.472940893851</v>
      </c>
      <c r="F54" s="80">
        <f>'AMI Tax Depn 2009-15'!F56</f>
        <v>62714.932656050114</v>
      </c>
      <c r="G54" s="80">
        <f>'AMI Tax Depn 2009-15'!G56</f>
        <v>82727.96228560718</v>
      </c>
      <c r="H54" s="80">
        <f>'AMI Tax Depn 2009-15'!H56</f>
        <v>89213.181807262052</v>
      </c>
      <c r="I54" s="80">
        <f>'AMI Tax Depn 2009-15'!I56</f>
        <v>74929.547425323195</v>
      </c>
      <c r="J54" s="80">
        <f>'AMI Tax Depn 2009-15'!J56</f>
        <v>53195.733686547865</v>
      </c>
    </row>
    <row r="55" spans="1:10" x14ac:dyDescent="0.2">
      <c r="A55" s="55" t="s">
        <v>129</v>
      </c>
      <c r="D55" s="80">
        <f>'AMI RAB 2009-15'!D12*D45*'Data 2009-15 (Real $2008)'!D145*D46</f>
        <v>3302.6022377336512</v>
      </c>
      <c r="E55" s="80">
        <f>'AMI RAB 2009-15'!E12*E45*'Data 2009-15 (Real $2008)'!E145*E46</f>
        <v>4610.6839939428583</v>
      </c>
      <c r="F55" s="80">
        <f>'AMI RAB 2009-15'!F12*F45*'Data 2009-15 (Real $2008)'!F145*F46</f>
        <v>10603.943635858059</v>
      </c>
      <c r="G55" s="80">
        <f>'AMI RAB 2009-15'!G12*G45*'Data 2009-15 (Real $2008)'!G145*G46</f>
        <v>17089.476792518231</v>
      </c>
      <c r="H55" s="80">
        <f>'AMI RAB 2009-15'!H12*H45*'Data 2009-15 (Real $2008)'!H145*H46</f>
        <v>17349.322684746545</v>
      </c>
      <c r="I55" s="80">
        <f>'AMI RAB 2009-15'!I12*I45*'Data 2009-15 (Real $2008)'!I145*I46</f>
        <v>13657.464486588022</v>
      </c>
      <c r="J55" s="80">
        <f>'AMI RAB 2009-15'!J12*J45*'Data 2009-15 (Real $2008)'!J145*J46</f>
        <v>13199.980200033246</v>
      </c>
    </row>
    <row r="56" spans="1:10" x14ac:dyDescent="0.2">
      <c r="A56" s="354" t="s">
        <v>130</v>
      </c>
      <c r="D56" s="80">
        <f>IF('Offset of Costs and Rev 2006-08'!F106&lt;0,-'Offset of Costs and Rev 2006-08'!F106,0)</f>
        <v>0</v>
      </c>
      <c r="E56" s="80">
        <f t="shared" ref="E56:J56" si="10">IF(D57&lt;0,-D57,0)</f>
        <v>11683.083550164665</v>
      </c>
      <c r="F56" s="80">
        <f t="shared" si="10"/>
        <v>1039.0481101197656</v>
      </c>
      <c r="G56" s="80">
        <f t="shared" si="10"/>
        <v>29154.231769410486</v>
      </c>
      <c r="H56" s="80">
        <f t="shared" si="10"/>
        <v>72189.47860292258</v>
      </c>
      <c r="I56" s="80">
        <f t="shared" si="10"/>
        <v>100781.3512096669</v>
      </c>
      <c r="J56" s="80">
        <f t="shared" si="10"/>
        <v>121250.82934077086</v>
      </c>
    </row>
    <row r="57" spans="1:10" x14ac:dyDescent="0.2">
      <c r="A57" s="55" t="s">
        <v>152</v>
      </c>
      <c r="D57" s="80">
        <f t="shared" ref="D57:J57" si="11">SUM(D51:D52)-SUM(D53:D56)</f>
        <v>-11683.083550164665</v>
      </c>
      <c r="E57" s="80">
        <f t="shared" si="11"/>
        <v>-1039.0481101197656</v>
      </c>
      <c r="F57" s="80">
        <f t="shared" si="11"/>
        <v>-29154.231769410486</v>
      </c>
      <c r="G57" s="80">
        <f t="shared" si="11"/>
        <v>-72189.47860292258</v>
      </c>
      <c r="H57" s="80">
        <f t="shared" si="11"/>
        <v>-100781.3512096669</v>
      </c>
      <c r="I57" s="80">
        <f t="shared" si="11"/>
        <v>-121250.82934077086</v>
      </c>
      <c r="J57" s="80">
        <f t="shared" si="11"/>
        <v>-122776.05825075973</v>
      </c>
    </row>
    <row r="58" spans="1:10" x14ac:dyDescent="0.2">
      <c r="A58" s="55" t="s">
        <v>153</v>
      </c>
      <c r="D58" s="80">
        <f t="shared" ref="D58:J58" si="12">IF(D57&lt;0,0,D57*D47)</f>
        <v>0</v>
      </c>
      <c r="E58" s="80">
        <f t="shared" si="12"/>
        <v>0</v>
      </c>
      <c r="F58" s="80">
        <f t="shared" si="12"/>
        <v>0</v>
      </c>
      <c r="G58" s="80">
        <f t="shared" si="12"/>
        <v>0</v>
      </c>
      <c r="H58" s="80">
        <f t="shared" si="12"/>
        <v>0</v>
      </c>
      <c r="I58" s="80">
        <f t="shared" si="12"/>
        <v>0</v>
      </c>
      <c r="J58" s="80">
        <f t="shared" si="12"/>
        <v>0</v>
      </c>
    </row>
    <row r="59" spans="1:10" x14ac:dyDescent="0.2">
      <c r="A59" s="55" t="s">
        <v>133</v>
      </c>
      <c r="D59" s="80">
        <f t="shared" ref="D59:J59" si="13">D58*D48</f>
        <v>0</v>
      </c>
      <c r="E59" s="80">
        <f t="shared" si="13"/>
        <v>0</v>
      </c>
      <c r="F59" s="80">
        <f t="shared" si="13"/>
        <v>0</v>
      </c>
      <c r="G59" s="80">
        <f t="shared" si="13"/>
        <v>0</v>
      </c>
      <c r="H59" s="80">
        <f t="shared" si="13"/>
        <v>0</v>
      </c>
      <c r="I59" s="80">
        <f t="shared" si="13"/>
        <v>0</v>
      </c>
      <c r="J59" s="80">
        <f t="shared" si="13"/>
        <v>0</v>
      </c>
    </row>
    <row r="60" spans="1:10" x14ac:dyDescent="0.2">
      <c r="A60" s="55" t="s">
        <v>355</v>
      </c>
      <c r="D60" s="502">
        <f t="shared" ref="D60:J60" si="14">D58-D59</f>
        <v>0</v>
      </c>
      <c r="E60" s="502">
        <f t="shared" si="14"/>
        <v>0</v>
      </c>
      <c r="F60" s="502">
        <f t="shared" si="14"/>
        <v>0</v>
      </c>
      <c r="G60" s="502">
        <f t="shared" si="14"/>
        <v>0</v>
      </c>
      <c r="H60" s="502">
        <f t="shared" si="14"/>
        <v>0</v>
      </c>
      <c r="I60" s="502">
        <f t="shared" si="14"/>
        <v>0</v>
      </c>
      <c r="J60" s="502">
        <f t="shared" si="14"/>
        <v>0</v>
      </c>
    </row>
    <row r="61" spans="1:10" x14ac:dyDescent="0.2">
      <c r="A61" s="55"/>
      <c r="D61" s="55"/>
      <c r="E61" s="55"/>
      <c r="F61" s="55"/>
      <c r="G61" s="55"/>
      <c r="H61" s="55"/>
      <c r="I61" s="55"/>
      <c r="J61" s="55"/>
    </row>
    <row r="62" spans="1:10" x14ac:dyDescent="0.2">
      <c r="D62" s="389">
        <f>$D$21</f>
        <v>2009</v>
      </c>
      <c r="E62" s="389">
        <f>$E$21</f>
        <v>2010</v>
      </c>
      <c r="F62" s="389">
        <f>$F$21</f>
        <v>2011</v>
      </c>
      <c r="G62" s="389">
        <f>$G$21</f>
        <v>2012</v>
      </c>
      <c r="H62" s="389">
        <f>$H$21</f>
        <v>2013</v>
      </c>
      <c r="I62" s="389">
        <f>$I$21</f>
        <v>2014</v>
      </c>
      <c r="J62" s="389">
        <f>$J$21</f>
        <v>2015</v>
      </c>
    </row>
    <row r="63" spans="1:10" x14ac:dyDescent="0.2">
      <c r="A63" s="407" t="s">
        <v>296</v>
      </c>
    </row>
    <row r="64" spans="1:10" ht="13.5" thickBot="1" x14ac:dyDescent="0.25">
      <c r="A64" s="55" t="s">
        <v>301</v>
      </c>
      <c r="D64" s="559">
        <f>D60/'Data 2009-15 (Real $2008)'!D145</f>
        <v>0</v>
      </c>
      <c r="E64" s="559">
        <f>E60/'Data 2009-15 (Real $2008)'!E145</f>
        <v>0</v>
      </c>
      <c r="F64" s="559">
        <f>F60/'Data 2009-15 (Real $2008)'!F145</f>
        <v>0</v>
      </c>
      <c r="G64" s="559">
        <f>G60/'Data 2009-15 (Real $2008)'!G145</f>
        <v>0</v>
      </c>
      <c r="H64" s="559">
        <f>H60/'Data 2009-15 (Real $2008)'!H145</f>
        <v>0</v>
      </c>
      <c r="I64" s="559">
        <f>I60/'Data 2009-15 (Real $2008)'!I145</f>
        <v>0</v>
      </c>
      <c r="J64" s="559">
        <f>J60/'Data 2009-15 (Real $2008)'!J145</f>
        <v>0</v>
      </c>
    </row>
    <row r="65" spans="2:3" ht="13.5" thickTop="1" x14ac:dyDescent="0.2">
      <c r="B65" s="358"/>
      <c r="C65" s="358"/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x14ac:dyDescent="0.2"/>
  <cols>
    <col min="1" max="1" width="52.85546875" style="358" customWidth="1"/>
    <col min="2" max="2" width="9.5703125" style="363" customWidth="1"/>
    <col min="3" max="3" width="8.42578125" style="363" customWidth="1"/>
    <col min="4" max="4" width="10.28515625" style="358" bestFit="1" customWidth="1"/>
    <col min="5" max="16384" width="9.140625" style="358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IF(SUM(C59)&lt;0.001,"Ok","Error")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A2" s="266"/>
      <c r="B2" s="276"/>
      <c r="C2" s="775">
        <f>C59</f>
        <v>1.5154455468291417E-10</v>
      </c>
      <c r="D2" s="490"/>
      <c r="E2" s="420"/>
      <c r="F2" s="420"/>
      <c r="G2" s="357"/>
      <c r="H2" s="357"/>
      <c r="I2" s="357"/>
      <c r="J2" s="357"/>
      <c r="K2" s="491"/>
      <c r="L2" s="491"/>
      <c r="M2" s="491"/>
      <c r="N2" s="491"/>
    </row>
    <row r="3" spans="1:27" s="82" customFormat="1" x14ac:dyDescent="0.2">
      <c r="A3" s="72" t="s">
        <v>337</v>
      </c>
      <c r="B3" s="431"/>
      <c r="C3" s="431"/>
    </row>
    <row r="4" spans="1:27" s="82" customFormat="1" x14ac:dyDescent="0.2">
      <c r="B4" s="83"/>
      <c r="C4" s="83"/>
    </row>
    <row r="5" spans="1:27" s="82" customFormat="1" x14ac:dyDescent="0.2">
      <c r="A5" s="72" t="s">
        <v>338</v>
      </c>
      <c r="B5" s="431"/>
      <c r="C5" s="431"/>
      <c r="D5" s="483" t="s">
        <v>188</v>
      </c>
      <c r="E5" s="479"/>
      <c r="F5" s="479"/>
    </row>
    <row r="6" spans="1:27" s="82" customFormat="1" x14ac:dyDescent="0.2">
      <c r="A6" s="82" t="str">
        <f>'Data 2009-15 (Real $2008)'!A$162</f>
        <v>Meters and transformers (Group 1) (Unit cost &lt; $1,000)</v>
      </c>
      <c r="B6" s="83"/>
      <c r="C6" s="83"/>
      <c r="D6" s="480">
        <f>'Data 2009-15 (Real $2008)'!C162</f>
        <v>0.375</v>
      </c>
      <c r="E6" s="479"/>
      <c r="F6" s="479"/>
    </row>
    <row r="7" spans="1:27" s="82" customFormat="1" x14ac:dyDescent="0.2">
      <c r="A7" s="82" t="str">
        <f>'Data 2009-15 (Real $2008)'!A$163</f>
        <v>Meters and transformers (Group 2) (Unit cost =&gt; $1,000)</v>
      </c>
      <c r="B7" s="83"/>
      <c r="C7" s="83"/>
      <c r="D7" s="481">
        <f>'Data 2009-15 (Real $2008)'!C163</f>
        <v>0.06</v>
      </c>
      <c r="E7" s="479"/>
      <c r="F7" s="479"/>
    </row>
    <row r="8" spans="1:27" s="82" customFormat="1" x14ac:dyDescent="0.2">
      <c r="A8" s="82" t="str">
        <f>'Data 2009-15 (Real $2008)'!A$164</f>
        <v>IT</v>
      </c>
      <c r="B8" s="83"/>
      <c r="C8" s="83"/>
      <c r="D8" s="481">
        <f>'Data 2009-15 (Real $2008)'!C164</f>
        <v>0.4</v>
      </c>
      <c r="E8" s="479"/>
      <c r="F8" s="479"/>
    </row>
    <row r="9" spans="1:27" s="82" customFormat="1" x14ac:dyDescent="0.2">
      <c r="A9" s="82" t="str">
        <f>'Data 2009-15 (Real $2008)'!A$165</f>
        <v>Communications</v>
      </c>
      <c r="B9" s="106"/>
      <c r="C9" s="106"/>
      <c r="D9" s="481">
        <f>'Data 2009-15 (Real $2008)'!C165</f>
        <v>0.21428571428571427</v>
      </c>
      <c r="E9" s="479"/>
      <c r="F9" s="479"/>
    </row>
    <row r="10" spans="1:27" s="82" customFormat="1" x14ac:dyDescent="0.2">
      <c r="A10" s="85" t="str">
        <f>'Data 2009-15 (Real $2008)'!A$166</f>
        <v>Other</v>
      </c>
      <c r="B10" s="106"/>
      <c r="C10" s="106"/>
      <c r="D10" s="482">
        <f>'Data 2009-15 (Real $2008)'!C166</f>
        <v>0.1764705882352941</v>
      </c>
      <c r="E10" s="479"/>
      <c r="F10" s="479"/>
    </row>
    <row r="11" spans="1:27" s="82" customFormat="1" x14ac:dyDescent="0.2">
      <c r="B11" s="83"/>
      <c r="C11" s="83"/>
    </row>
    <row r="12" spans="1:27" s="82" customFormat="1" x14ac:dyDescent="0.2">
      <c r="B12" s="83"/>
      <c r="C12" s="83"/>
    </row>
    <row r="13" spans="1:27" s="82" customFormat="1" x14ac:dyDescent="0.2">
      <c r="A13" s="72" t="s">
        <v>184</v>
      </c>
      <c r="B13" s="431"/>
      <c r="C13" s="431"/>
      <c r="D13" s="461">
        <f t="shared" ref="D13:AA13" si="0">D$1</f>
        <v>2009</v>
      </c>
      <c r="E13" s="461">
        <f t="shared" si="0"/>
        <v>2010</v>
      </c>
      <c r="F13" s="461">
        <f t="shared" si="0"/>
        <v>2011</v>
      </c>
      <c r="G13" s="461">
        <f t="shared" si="0"/>
        <v>2012</v>
      </c>
      <c r="H13" s="461">
        <f t="shared" si="0"/>
        <v>2013</v>
      </c>
      <c r="I13" s="461">
        <f t="shared" si="0"/>
        <v>2014</v>
      </c>
      <c r="J13" s="461">
        <f t="shared" si="0"/>
        <v>2015</v>
      </c>
      <c r="K13" s="461">
        <f t="shared" si="0"/>
        <v>2016</v>
      </c>
      <c r="L13" s="461">
        <f t="shared" si="0"/>
        <v>2017</v>
      </c>
      <c r="M13" s="461">
        <f t="shared" si="0"/>
        <v>2018</v>
      </c>
      <c r="N13" s="461">
        <f t="shared" si="0"/>
        <v>2019</v>
      </c>
      <c r="O13" s="461">
        <f t="shared" si="0"/>
        <v>2020</v>
      </c>
      <c r="P13" s="461">
        <f t="shared" si="0"/>
        <v>2021</v>
      </c>
      <c r="Q13" s="461">
        <f t="shared" si="0"/>
        <v>2022</v>
      </c>
      <c r="R13" s="461">
        <f t="shared" si="0"/>
        <v>2023</v>
      </c>
      <c r="S13" s="461">
        <f t="shared" si="0"/>
        <v>2024</v>
      </c>
      <c r="T13" s="461">
        <f t="shared" si="0"/>
        <v>2025</v>
      </c>
      <c r="U13" s="461">
        <f t="shared" si="0"/>
        <v>2026</v>
      </c>
      <c r="V13" s="461">
        <f t="shared" si="0"/>
        <v>2027</v>
      </c>
      <c r="W13" s="461">
        <f t="shared" si="0"/>
        <v>2028</v>
      </c>
      <c r="X13" s="461">
        <f t="shared" si="0"/>
        <v>2029</v>
      </c>
      <c r="Y13" s="461">
        <f t="shared" si="0"/>
        <v>2030</v>
      </c>
      <c r="Z13" s="461">
        <f t="shared" si="0"/>
        <v>2031</v>
      </c>
      <c r="AA13" s="461">
        <f t="shared" si="0"/>
        <v>2032</v>
      </c>
    </row>
    <row r="14" spans="1:27" s="82" customFormat="1" x14ac:dyDescent="0.2">
      <c r="A14" s="407" t="s">
        <v>304</v>
      </c>
      <c r="B14" s="450"/>
      <c r="C14" s="450"/>
      <c r="D14" s="478"/>
      <c r="E14" s="478"/>
      <c r="F14" s="478"/>
    </row>
    <row r="15" spans="1:27" s="82" customFormat="1" x14ac:dyDescent="0.2">
      <c r="A15" s="99" t="s">
        <v>333</v>
      </c>
      <c r="B15" s="450"/>
      <c r="C15" s="450"/>
      <c r="D15" s="478"/>
      <c r="E15" s="478"/>
      <c r="F15" s="478"/>
    </row>
    <row r="16" spans="1:27" s="82" customFormat="1" x14ac:dyDescent="0.2">
      <c r="A16" s="82" t="str">
        <f>'Data 2009-15 (Real $2008)'!A$162</f>
        <v>Meters and transformers (Group 1) (Unit cost &lt; $1,000)</v>
      </c>
      <c r="B16" s="83"/>
      <c r="C16" s="83"/>
      <c r="D16" s="80">
        <f>'Data 2009-15 (Real $2008)'!D22*'Data 2009-15 (Real $2008)'!D$145/10^3</f>
        <v>10892.325886121029</v>
      </c>
      <c r="E16" s="80">
        <f>'Data 2009-15 (Real $2008)'!E22*'Data 2009-15 (Real $2008)'!E$145/10^3</f>
        <v>74781.534033008647</v>
      </c>
      <c r="F16" s="80">
        <f>'Data 2009-15 (Real $2008)'!F22*'Data 2009-15 (Real $2008)'!F$145/10^3</f>
        <v>95202.156590426457</v>
      </c>
      <c r="G16" s="80">
        <f>'Data 2009-15 (Real $2008)'!G22*'Data 2009-15 (Real $2008)'!G$145/10^3</f>
        <v>98571.698019903561</v>
      </c>
      <c r="H16" s="80">
        <f>'Data 2009-15 (Real $2008)'!H22*'Data 2009-15 (Real $2008)'!H$145/10^3</f>
        <v>73027.002061382736</v>
      </c>
      <c r="I16" s="80">
        <f>'Data 2009-15 (Real $2008)'!I22*'Data 2009-15 (Real $2008)'!I$145/10^3</f>
        <v>7363.7636915540015</v>
      </c>
      <c r="J16" s="80">
        <f>'Data 2009-15 (Real $2008)'!J22*'Data 2009-15 (Real $2008)'!J$145/10^3</f>
        <v>7506.0986535426946</v>
      </c>
      <c r="K16" s="474"/>
      <c r="L16" s="474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4"/>
      <c r="Z16" s="474"/>
      <c r="AA16" s="474"/>
    </row>
    <row r="17" spans="1:27" s="82" customFormat="1" x14ac:dyDescent="0.2">
      <c r="A17" s="82" t="str">
        <f>'Data 2009-15 (Real $2008)'!A$163</f>
        <v>Meters and transformers (Group 2) (Unit cost =&gt; $1,000)</v>
      </c>
      <c r="B17" s="83"/>
      <c r="C17" s="83"/>
      <c r="D17" s="80">
        <f>'Data 2009-15 (Real $2008)'!D23*'Data 2009-15 (Real $2008)'!D$145/10^3</f>
        <v>0</v>
      </c>
      <c r="E17" s="80">
        <f>'Data 2009-15 (Real $2008)'!E23*'Data 2009-15 (Real $2008)'!E$145/10^3</f>
        <v>0</v>
      </c>
      <c r="F17" s="80">
        <f>'Data 2009-15 (Real $2008)'!F23*'Data 2009-15 (Real $2008)'!F$145/10^3</f>
        <v>0</v>
      </c>
      <c r="G17" s="80">
        <f>'Data 2009-15 (Real $2008)'!G23*'Data 2009-15 (Real $2008)'!G$145/10^3</f>
        <v>0</v>
      </c>
      <c r="H17" s="80">
        <f>'Data 2009-15 (Real $2008)'!H23*'Data 2009-15 (Real $2008)'!H$145/10^3</f>
        <v>0</v>
      </c>
      <c r="I17" s="80">
        <f>'Data 2009-15 (Real $2008)'!I23*'Data 2009-15 (Real $2008)'!I$145/10^3</f>
        <v>0</v>
      </c>
      <c r="J17" s="80">
        <f>'Data 2009-15 (Real $2008)'!J23*'Data 2009-15 (Real $2008)'!J$145/10^3</f>
        <v>0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4"/>
      <c r="V17" s="474"/>
      <c r="W17" s="474"/>
      <c r="X17" s="474"/>
      <c r="Y17" s="474"/>
      <c r="Z17" s="474"/>
      <c r="AA17" s="474"/>
    </row>
    <row r="18" spans="1:27" s="82" customFormat="1" x14ac:dyDescent="0.2">
      <c r="A18" s="82" t="str">
        <f>'Data 2009-15 (Real $2008)'!A$164</f>
        <v>IT</v>
      </c>
      <c r="B18" s="83"/>
      <c r="C18" s="83"/>
      <c r="D18" s="80">
        <f>'Data 2009-15 (Real $2008)'!D24*'Data 2009-15 (Real $2008)'!D$145/10^3</f>
        <v>24047.54766</v>
      </c>
      <c r="E18" s="80">
        <f>'Data 2009-15 (Real $2008)'!E24*'Data 2009-15 (Real $2008)'!E$145/10^3</f>
        <v>21118.048699999999</v>
      </c>
      <c r="F18" s="80">
        <f>'Data 2009-15 (Real $2008)'!F24*'Data 2009-15 (Real $2008)'!F$145/10^3</f>
        <v>11333.414250000002</v>
      </c>
      <c r="G18" s="80">
        <f>'Data 2009-15 (Real $2008)'!G24*'Data 2009-15 (Real $2008)'!G$145/10^3</f>
        <v>9257.5947500000002</v>
      </c>
      <c r="H18" s="80">
        <f>'Data 2009-15 (Real $2008)'!H24*'Data 2009-15 (Real $2008)'!H$145/10^3</f>
        <v>6387.4566100000002</v>
      </c>
      <c r="I18" s="80">
        <f>'Data 2009-15 (Real $2008)'!I24*'Data 2009-15 (Real $2008)'!I$145/10^3</f>
        <v>7268.5907189414138</v>
      </c>
      <c r="J18" s="80">
        <f>'Data 2009-15 (Real $2008)'!J24*'Data 2009-15 (Real $2008)'!J$145/10^3</f>
        <v>5540.9915205263023</v>
      </c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1:27" s="82" customFormat="1" x14ac:dyDescent="0.2">
      <c r="A19" s="82" t="str">
        <f>'Data 2009-15 (Real $2008)'!A$165</f>
        <v>Communications</v>
      </c>
      <c r="B19" s="106"/>
      <c r="C19" s="106"/>
      <c r="D19" s="80">
        <f>'Data 2009-15 (Real $2008)'!D25*'Data 2009-15 (Real $2008)'!D$145/10^3</f>
        <v>945.74709999999993</v>
      </c>
      <c r="E19" s="80">
        <f>'Data 2009-15 (Real $2008)'!E25*'Data 2009-15 (Real $2008)'!E$145/10^3</f>
        <v>3326.1453799999995</v>
      </c>
      <c r="F19" s="80">
        <f>'Data 2009-15 (Real $2008)'!F25*'Data 2009-15 (Real $2008)'!F$145/10^3</f>
        <v>16172.606329999999</v>
      </c>
      <c r="G19" s="80">
        <f>'Data 2009-15 (Real $2008)'!G25*'Data 2009-15 (Real $2008)'!G$145/10^3</f>
        <v>11529.042254151425</v>
      </c>
      <c r="H19" s="80">
        <f>'Data 2009-15 (Real $2008)'!H25*'Data 2009-15 (Real $2008)'!H$145/10^3</f>
        <v>4114.8198866793855</v>
      </c>
      <c r="I19" s="80">
        <f>'Data 2009-15 (Real $2008)'!I25*'Data 2009-15 (Real $2008)'!I$145/10^3</f>
        <v>2349.7874043386214</v>
      </c>
      <c r="J19" s="80">
        <f>'Data 2009-15 (Real $2008)'!J25*'Data 2009-15 (Real $2008)'!J$145/10^3</f>
        <v>1134.6650806844214</v>
      </c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</row>
    <row r="20" spans="1:27" s="82" customFormat="1" x14ac:dyDescent="0.2">
      <c r="A20" s="85" t="str">
        <f>'Data 2009-15 (Real $2008)'!A$166</f>
        <v>Other</v>
      </c>
      <c r="B20" s="106"/>
      <c r="C20" s="106"/>
      <c r="D20" s="80">
        <f>'Data 2009-15 (Real $2008)'!D26*'Data 2009-15 (Real $2008)'!D$145/10^3</f>
        <v>527.72894999999994</v>
      </c>
      <c r="E20" s="80">
        <f>'Data 2009-15 (Real $2008)'!E26*'Data 2009-15 (Real $2008)'!E$145/10^3</f>
        <v>627.65382</v>
      </c>
      <c r="F20" s="80">
        <f>'Data 2009-15 (Real $2008)'!F26*'Data 2009-15 (Real $2008)'!F$145/10^3</f>
        <v>349.10581999999999</v>
      </c>
      <c r="G20" s="80">
        <f>'Data 2009-15 (Real $2008)'!G26*'Data 2009-15 (Real $2008)'!G$145/10^3</f>
        <v>174.72379000000001</v>
      </c>
      <c r="H20" s="80">
        <f>'Data 2009-15 (Real $2008)'!H26*'Data 2009-15 (Real $2008)'!H$145/10^3</f>
        <v>37.731840000000005</v>
      </c>
      <c r="I20" s="80">
        <f>'Data 2009-15 (Real $2008)'!I26*'Data 2009-15 (Real $2008)'!I$145/10^3</f>
        <v>125.88319508029325</v>
      </c>
      <c r="J20" s="80">
        <f>'Data 2009-15 (Real $2008)'!J26*'Data 2009-15 (Real $2008)'!J$145/10^3</f>
        <v>138.84694125469633</v>
      </c>
      <c r="K20" s="474"/>
      <c r="L20" s="474"/>
      <c r="M20" s="474"/>
      <c r="N20" s="474"/>
      <c r="O20" s="474"/>
      <c r="P20" s="474"/>
      <c r="Q20" s="474"/>
      <c r="R20" s="474"/>
      <c r="S20" s="474"/>
      <c r="T20" s="474"/>
      <c r="U20" s="474"/>
      <c r="V20" s="474"/>
      <c r="W20" s="474"/>
      <c r="X20" s="474"/>
      <c r="Y20" s="474"/>
      <c r="Z20" s="474"/>
      <c r="AA20" s="474"/>
    </row>
    <row r="21" spans="1:27" s="82" customFormat="1" x14ac:dyDescent="0.2">
      <c r="A21" s="85"/>
      <c r="B21" s="106"/>
      <c r="C21" s="106"/>
      <c r="D21" s="107">
        <f t="shared" ref="D21:J21" si="1">SUM(D16:D19)</f>
        <v>35885.620646121031</v>
      </c>
      <c r="E21" s="107">
        <f t="shared" si="1"/>
        <v>99225.728113008649</v>
      </c>
      <c r="F21" s="107">
        <f t="shared" si="1"/>
        <v>122708.17717042645</v>
      </c>
      <c r="G21" s="107">
        <f t="shared" si="1"/>
        <v>119358.33502405499</v>
      </c>
      <c r="H21" s="107">
        <f t="shared" si="1"/>
        <v>83529.278558062113</v>
      </c>
      <c r="I21" s="107">
        <f t="shared" si="1"/>
        <v>16982.141814834038</v>
      </c>
      <c r="J21" s="107">
        <f t="shared" si="1"/>
        <v>14181.755254753418</v>
      </c>
      <c r="K21" s="474"/>
      <c r="L21" s="474"/>
      <c r="M21" s="474"/>
      <c r="N21" s="474"/>
      <c r="O21" s="474"/>
      <c r="P21" s="474"/>
      <c r="Q21" s="474"/>
      <c r="R21" s="474"/>
      <c r="S21" s="474"/>
      <c r="T21" s="474"/>
      <c r="U21" s="474"/>
      <c r="V21" s="474"/>
      <c r="W21" s="474"/>
      <c r="X21" s="474"/>
      <c r="Y21" s="474"/>
      <c r="Z21" s="474"/>
      <c r="AA21" s="474"/>
    </row>
    <row r="22" spans="1:27" s="82" customFormat="1" x14ac:dyDescent="0.2">
      <c r="A22" s="344" t="s">
        <v>354</v>
      </c>
      <c r="B22" s="91"/>
      <c r="C22" s="91"/>
      <c r="D22" s="89"/>
      <c r="E22" s="89"/>
      <c r="F22" s="89"/>
    </row>
    <row r="23" spans="1:27" s="82" customFormat="1" x14ac:dyDescent="0.2">
      <c r="A23" s="448" t="str">
        <f>'Data 2009-15 (Real $2008)'!A$162</f>
        <v>Meters and transformers (Group 1) (Unit cost &lt; $1,000)</v>
      </c>
      <c r="B23" s="448"/>
      <c r="C23" s="448"/>
      <c r="D23" s="89"/>
      <c r="E23" s="89"/>
      <c r="F23" s="89"/>
    </row>
    <row r="24" spans="1:27" s="82" customFormat="1" x14ac:dyDescent="0.2">
      <c r="A24" s="83" t="s">
        <v>356</v>
      </c>
      <c r="B24" s="83"/>
      <c r="C24" s="83"/>
      <c r="D24" s="484">
        <f>'Offset of Costs and Rev 2006-08'!F256+SUM('Data 2006-08'!D94:F94)/10^3</f>
        <v>10662.276795442893</v>
      </c>
      <c r="E24" s="80">
        <f t="shared" ref="E24:W24" si="2">D27</f>
        <v>15513.937779625145</v>
      </c>
      <c r="F24" s="80">
        <f t="shared" si="2"/>
        <v>70456.207514085239</v>
      </c>
      <c r="G24" s="80">
        <f t="shared" si="2"/>
        <v>121386.88192602477</v>
      </c>
      <c r="H24" s="80">
        <f t="shared" si="2"/>
        <v>155956.30584493713</v>
      </c>
      <c r="I24" s="80">
        <f t="shared" si="2"/>
        <v>156807.1303279592</v>
      </c>
      <c r="J24" s="80">
        <f t="shared" si="2"/>
        <v>103987.51445436213</v>
      </c>
      <c r="K24" s="80">
        <f t="shared" si="2"/>
        <v>71090.901689979772</v>
      </c>
      <c r="L24" s="80">
        <f t="shared" si="2"/>
        <v>44431.813556237357</v>
      </c>
      <c r="M24" s="80">
        <f t="shared" si="2"/>
        <v>27769.883472648347</v>
      </c>
      <c r="N24" s="80">
        <f t="shared" si="2"/>
        <v>17356.177170405215</v>
      </c>
      <c r="O24" s="80">
        <f t="shared" si="2"/>
        <v>10847.61073150326</v>
      </c>
      <c r="P24" s="80">
        <f t="shared" si="2"/>
        <v>6779.7567071895373</v>
      </c>
      <c r="Q24" s="80">
        <f t="shared" si="2"/>
        <v>4237.3479419934611</v>
      </c>
      <c r="R24" s="80">
        <f t="shared" si="2"/>
        <v>2648.3424637459129</v>
      </c>
      <c r="S24" s="80">
        <f t="shared" si="2"/>
        <v>1655.2140398411957</v>
      </c>
      <c r="T24" s="80">
        <f t="shared" si="2"/>
        <v>1034.5087749007473</v>
      </c>
      <c r="U24" s="80">
        <f t="shared" si="2"/>
        <v>646.56798431296704</v>
      </c>
      <c r="V24" s="80">
        <f t="shared" si="2"/>
        <v>404.10499019560439</v>
      </c>
      <c r="W24" s="80">
        <f t="shared" si="2"/>
        <v>252.56561887225274</v>
      </c>
      <c r="X24" s="80">
        <f>W27</f>
        <v>157.85351179515797</v>
      </c>
      <c r="Y24" s="80">
        <f>X27</f>
        <v>98.658444871973728</v>
      </c>
      <c r="Z24" s="80">
        <f>Y27</f>
        <v>61.661528044983584</v>
      </c>
      <c r="AA24" s="80">
        <f>Z27</f>
        <v>38.53845502811474</v>
      </c>
    </row>
    <row r="25" spans="1:27" s="82" customFormat="1" x14ac:dyDescent="0.2">
      <c r="A25" s="83" t="s">
        <v>177</v>
      </c>
      <c r="B25" s="83"/>
      <c r="C25" s="83"/>
      <c r="D25" s="80">
        <f t="shared" ref="D25:W25" si="3">$D$6*(D24+D26*0.5)</f>
        <v>6040.6649019387769</v>
      </c>
      <c r="E25" s="80">
        <f t="shared" si="3"/>
        <v>19839.264298548551</v>
      </c>
      <c r="F25" s="80">
        <f t="shared" si="3"/>
        <v>44271.482178486927</v>
      </c>
      <c r="G25" s="80">
        <f t="shared" si="3"/>
        <v>64002.274100991206</v>
      </c>
      <c r="H25" s="80">
        <f t="shared" si="3"/>
        <v>72176.177578360686</v>
      </c>
      <c r="I25" s="80">
        <f t="shared" si="3"/>
        <v>60183.379565151074</v>
      </c>
      <c r="J25" s="80">
        <f t="shared" si="3"/>
        <v>40402.711417925049</v>
      </c>
      <c r="K25" s="80">
        <f t="shared" si="3"/>
        <v>26659.088133742414</v>
      </c>
      <c r="L25" s="80">
        <f t="shared" si="3"/>
        <v>16661.93008358901</v>
      </c>
      <c r="M25" s="80">
        <f t="shared" si="3"/>
        <v>10413.70630224313</v>
      </c>
      <c r="N25" s="80">
        <f t="shared" si="3"/>
        <v>6508.5664389019557</v>
      </c>
      <c r="O25" s="80">
        <f t="shared" si="3"/>
        <v>4067.8540243137227</v>
      </c>
      <c r="P25" s="80">
        <f t="shared" si="3"/>
        <v>2542.4087651960763</v>
      </c>
      <c r="Q25" s="80">
        <f t="shared" si="3"/>
        <v>1589.0054782475479</v>
      </c>
      <c r="R25" s="80">
        <f t="shared" si="3"/>
        <v>993.12842390471735</v>
      </c>
      <c r="S25" s="80">
        <f t="shared" si="3"/>
        <v>620.70526494044839</v>
      </c>
      <c r="T25" s="80">
        <f t="shared" si="3"/>
        <v>387.94079058778027</v>
      </c>
      <c r="U25" s="80">
        <f t="shared" si="3"/>
        <v>242.46299411736265</v>
      </c>
      <c r="V25" s="80">
        <f t="shared" si="3"/>
        <v>151.53937132335165</v>
      </c>
      <c r="W25" s="80">
        <f t="shared" si="3"/>
        <v>94.712107077094771</v>
      </c>
      <c r="X25" s="80">
        <f>$D$6*(X24+X26*0.5)</f>
        <v>59.195066923184243</v>
      </c>
      <c r="Y25" s="80">
        <f>$D$6*(Y24+Y26*0.5)</f>
        <v>36.996916826990145</v>
      </c>
      <c r="Z25" s="80">
        <f>$D$6*(Z24+Z26*0.5)</f>
        <v>23.123073016868844</v>
      </c>
      <c r="AA25" s="80">
        <f>$D$6*(AA24+AA26*0.5)</f>
        <v>14.451920635543027</v>
      </c>
    </row>
    <row r="26" spans="1:27" s="82" customFormat="1" x14ac:dyDescent="0.2">
      <c r="A26" s="83" t="s">
        <v>202</v>
      </c>
      <c r="B26" s="83"/>
      <c r="C26" s="83"/>
      <c r="D26" s="80">
        <f t="shared" ref="D26:W26" si="4">D16</f>
        <v>10892.325886121029</v>
      </c>
      <c r="E26" s="80">
        <f t="shared" si="4"/>
        <v>74781.534033008647</v>
      </c>
      <c r="F26" s="80">
        <f t="shared" si="4"/>
        <v>95202.156590426457</v>
      </c>
      <c r="G26" s="80">
        <f t="shared" si="4"/>
        <v>98571.698019903561</v>
      </c>
      <c r="H26" s="80">
        <f t="shared" si="4"/>
        <v>73027.002061382736</v>
      </c>
      <c r="I26" s="80">
        <f t="shared" si="4"/>
        <v>7363.7636915540015</v>
      </c>
      <c r="J26" s="80">
        <f t="shared" si="4"/>
        <v>7506.0986535426946</v>
      </c>
      <c r="K26" s="80">
        <f t="shared" si="4"/>
        <v>0</v>
      </c>
      <c r="L26" s="80">
        <f t="shared" si="4"/>
        <v>0</v>
      </c>
      <c r="M26" s="80">
        <f t="shared" si="4"/>
        <v>0</v>
      </c>
      <c r="N26" s="80">
        <f t="shared" si="4"/>
        <v>0</v>
      </c>
      <c r="O26" s="80">
        <f t="shared" si="4"/>
        <v>0</v>
      </c>
      <c r="P26" s="80">
        <f t="shared" si="4"/>
        <v>0</v>
      </c>
      <c r="Q26" s="80">
        <f t="shared" si="4"/>
        <v>0</v>
      </c>
      <c r="R26" s="80">
        <f t="shared" si="4"/>
        <v>0</v>
      </c>
      <c r="S26" s="80">
        <f t="shared" si="4"/>
        <v>0</v>
      </c>
      <c r="T26" s="80">
        <f t="shared" si="4"/>
        <v>0</v>
      </c>
      <c r="U26" s="80">
        <f t="shared" si="4"/>
        <v>0</v>
      </c>
      <c r="V26" s="80">
        <f t="shared" si="4"/>
        <v>0</v>
      </c>
      <c r="W26" s="80">
        <f t="shared" si="4"/>
        <v>0</v>
      </c>
      <c r="X26" s="80">
        <f>X16</f>
        <v>0</v>
      </c>
      <c r="Y26" s="80">
        <f>Y16</f>
        <v>0</v>
      </c>
      <c r="Z26" s="80">
        <f>Z16</f>
        <v>0</v>
      </c>
      <c r="AA26" s="80">
        <f>AA16</f>
        <v>0</v>
      </c>
    </row>
    <row r="27" spans="1:27" s="82" customFormat="1" x14ac:dyDescent="0.2">
      <c r="A27" s="83" t="s">
        <v>203</v>
      </c>
      <c r="B27" s="83"/>
      <c r="C27" s="83"/>
      <c r="D27" s="107">
        <f t="shared" ref="D27:W27" si="5">D24-D25+D26</f>
        <v>15513.937779625145</v>
      </c>
      <c r="E27" s="107">
        <f t="shared" si="5"/>
        <v>70456.207514085239</v>
      </c>
      <c r="F27" s="107">
        <f t="shared" si="5"/>
        <v>121386.88192602477</v>
      </c>
      <c r="G27" s="107">
        <f t="shared" si="5"/>
        <v>155956.30584493713</v>
      </c>
      <c r="H27" s="107">
        <f t="shared" si="5"/>
        <v>156807.1303279592</v>
      </c>
      <c r="I27" s="107">
        <f t="shared" si="5"/>
        <v>103987.51445436213</v>
      </c>
      <c r="J27" s="107">
        <f t="shared" si="5"/>
        <v>71090.901689979772</v>
      </c>
      <c r="K27" s="107">
        <f t="shared" si="5"/>
        <v>44431.813556237357</v>
      </c>
      <c r="L27" s="107">
        <f t="shared" si="5"/>
        <v>27769.883472648347</v>
      </c>
      <c r="M27" s="107">
        <f t="shared" si="5"/>
        <v>17356.177170405215</v>
      </c>
      <c r="N27" s="107">
        <f t="shared" si="5"/>
        <v>10847.61073150326</v>
      </c>
      <c r="O27" s="107">
        <f t="shared" si="5"/>
        <v>6779.7567071895373</v>
      </c>
      <c r="P27" s="107">
        <f t="shared" si="5"/>
        <v>4237.3479419934611</v>
      </c>
      <c r="Q27" s="107">
        <f t="shared" si="5"/>
        <v>2648.3424637459129</v>
      </c>
      <c r="R27" s="107">
        <f t="shared" si="5"/>
        <v>1655.2140398411957</v>
      </c>
      <c r="S27" s="107">
        <f t="shared" si="5"/>
        <v>1034.5087749007473</v>
      </c>
      <c r="T27" s="107">
        <f t="shared" si="5"/>
        <v>646.56798431296704</v>
      </c>
      <c r="U27" s="107">
        <f t="shared" si="5"/>
        <v>404.10499019560439</v>
      </c>
      <c r="V27" s="107">
        <f t="shared" si="5"/>
        <v>252.56561887225274</v>
      </c>
      <c r="W27" s="107">
        <f t="shared" si="5"/>
        <v>157.85351179515797</v>
      </c>
      <c r="X27" s="107">
        <f>X24-X25+X26</f>
        <v>98.658444871973728</v>
      </c>
      <c r="Y27" s="107">
        <f>Y24-Y25+Y26</f>
        <v>61.661528044983584</v>
      </c>
      <c r="Z27" s="107">
        <f>Z24-Z25+Z26</f>
        <v>38.53845502811474</v>
      </c>
      <c r="AA27" s="107">
        <f>AA24-AA25+AA26</f>
        <v>24.086534392571714</v>
      </c>
    </row>
    <row r="28" spans="1:27" s="82" customFormat="1" x14ac:dyDescent="0.2">
      <c r="A28" s="89"/>
      <c r="B28" s="89"/>
      <c r="C28" s="89"/>
      <c r="D28" s="83"/>
      <c r="E28" s="83"/>
      <c r="F28" s="83"/>
    </row>
    <row r="29" spans="1:27" s="82" customFormat="1" x14ac:dyDescent="0.2">
      <c r="A29" s="448" t="str">
        <f>'Data 2009-15 (Real $2008)'!A$163</f>
        <v>Meters and transformers (Group 2) (Unit cost =&gt; $1,000)</v>
      </c>
      <c r="B29" s="448"/>
      <c r="C29" s="448"/>
      <c r="D29" s="89"/>
      <c r="E29" s="89"/>
      <c r="F29" s="89"/>
    </row>
    <row r="30" spans="1:27" s="82" customFormat="1" x14ac:dyDescent="0.2">
      <c r="A30" s="83" t="str">
        <f>A$24</f>
        <v>Opening asset value</v>
      </c>
      <c r="B30" s="83"/>
      <c r="C30" s="83"/>
      <c r="D30" s="484">
        <f>'Offset of Costs and Rev 2006-08'!F262+SUM('Data 2006-08'!D95:F95)/10^3</f>
        <v>0</v>
      </c>
      <c r="E30" s="80">
        <f t="shared" ref="E30:W30" si="6">D33</f>
        <v>0</v>
      </c>
      <c r="F30" s="80">
        <f t="shared" si="6"/>
        <v>0</v>
      </c>
      <c r="G30" s="80">
        <f t="shared" si="6"/>
        <v>0</v>
      </c>
      <c r="H30" s="80">
        <f t="shared" si="6"/>
        <v>0</v>
      </c>
      <c r="I30" s="80">
        <f t="shared" si="6"/>
        <v>0</v>
      </c>
      <c r="J30" s="80">
        <f t="shared" si="6"/>
        <v>0</v>
      </c>
      <c r="K30" s="80">
        <f t="shared" si="6"/>
        <v>0</v>
      </c>
      <c r="L30" s="80">
        <f t="shared" si="6"/>
        <v>0</v>
      </c>
      <c r="M30" s="80">
        <f t="shared" si="6"/>
        <v>0</v>
      </c>
      <c r="N30" s="80">
        <f t="shared" si="6"/>
        <v>0</v>
      </c>
      <c r="O30" s="80">
        <f t="shared" si="6"/>
        <v>0</v>
      </c>
      <c r="P30" s="80">
        <f t="shared" si="6"/>
        <v>0</v>
      </c>
      <c r="Q30" s="80">
        <f t="shared" si="6"/>
        <v>0</v>
      </c>
      <c r="R30" s="80">
        <f t="shared" si="6"/>
        <v>0</v>
      </c>
      <c r="S30" s="80">
        <f t="shared" si="6"/>
        <v>0</v>
      </c>
      <c r="T30" s="80">
        <f t="shared" si="6"/>
        <v>0</v>
      </c>
      <c r="U30" s="80">
        <f t="shared" si="6"/>
        <v>0</v>
      </c>
      <c r="V30" s="80">
        <f t="shared" si="6"/>
        <v>0</v>
      </c>
      <c r="W30" s="80">
        <f t="shared" si="6"/>
        <v>0</v>
      </c>
      <c r="X30" s="80">
        <f>W33</f>
        <v>0</v>
      </c>
      <c r="Y30" s="80">
        <f>X33</f>
        <v>0</v>
      </c>
      <c r="Z30" s="80">
        <f>Y33</f>
        <v>0</v>
      </c>
      <c r="AA30" s="80">
        <f>Z33</f>
        <v>0</v>
      </c>
    </row>
    <row r="31" spans="1:27" s="82" customFormat="1" x14ac:dyDescent="0.2">
      <c r="A31" s="83" t="str">
        <f>A$25</f>
        <v>Depreciation</v>
      </c>
      <c r="B31" s="83"/>
      <c r="C31" s="83"/>
      <c r="D31" s="80">
        <f t="shared" ref="D31:W31" si="7">$D$7*(D30+D32*0.5)</f>
        <v>0</v>
      </c>
      <c r="E31" s="80">
        <f t="shared" si="7"/>
        <v>0</v>
      </c>
      <c r="F31" s="80">
        <f t="shared" si="7"/>
        <v>0</v>
      </c>
      <c r="G31" s="80">
        <f t="shared" si="7"/>
        <v>0</v>
      </c>
      <c r="H31" s="80">
        <f t="shared" si="7"/>
        <v>0</v>
      </c>
      <c r="I31" s="80">
        <f t="shared" si="7"/>
        <v>0</v>
      </c>
      <c r="J31" s="80">
        <f t="shared" si="7"/>
        <v>0</v>
      </c>
      <c r="K31" s="80">
        <f t="shared" si="7"/>
        <v>0</v>
      </c>
      <c r="L31" s="80">
        <f t="shared" si="7"/>
        <v>0</v>
      </c>
      <c r="M31" s="80">
        <f t="shared" si="7"/>
        <v>0</v>
      </c>
      <c r="N31" s="80">
        <f t="shared" si="7"/>
        <v>0</v>
      </c>
      <c r="O31" s="80">
        <f t="shared" si="7"/>
        <v>0</v>
      </c>
      <c r="P31" s="80">
        <f t="shared" si="7"/>
        <v>0</v>
      </c>
      <c r="Q31" s="80">
        <f t="shared" si="7"/>
        <v>0</v>
      </c>
      <c r="R31" s="80">
        <f t="shared" si="7"/>
        <v>0</v>
      </c>
      <c r="S31" s="80">
        <f t="shared" si="7"/>
        <v>0</v>
      </c>
      <c r="T31" s="80">
        <f t="shared" si="7"/>
        <v>0</v>
      </c>
      <c r="U31" s="80">
        <f t="shared" si="7"/>
        <v>0</v>
      </c>
      <c r="V31" s="80">
        <f t="shared" si="7"/>
        <v>0</v>
      </c>
      <c r="W31" s="80">
        <f t="shared" si="7"/>
        <v>0</v>
      </c>
      <c r="X31" s="80">
        <f>$D$7*(X30+X32*0.5)</f>
        <v>0</v>
      </c>
      <c r="Y31" s="80">
        <f>$D$7*(Y30+Y32*0.5)</f>
        <v>0</v>
      </c>
      <c r="Z31" s="80">
        <f>$D$7*(Z30+Z32*0.5)</f>
        <v>0</v>
      </c>
      <c r="AA31" s="80">
        <f>$D$7*(AA30+AA32*0.5)</f>
        <v>0</v>
      </c>
    </row>
    <row r="32" spans="1:27" s="82" customFormat="1" x14ac:dyDescent="0.2">
      <c r="A32" s="83" t="str">
        <f>A$26</f>
        <v>Gross capex</v>
      </c>
      <c r="B32" s="83"/>
      <c r="C32" s="83"/>
      <c r="D32" s="80">
        <f t="shared" ref="D32:W32" si="8">D17</f>
        <v>0</v>
      </c>
      <c r="E32" s="80">
        <f t="shared" si="8"/>
        <v>0</v>
      </c>
      <c r="F32" s="80">
        <f t="shared" si="8"/>
        <v>0</v>
      </c>
      <c r="G32" s="80">
        <f t="shared" si="8"/>
        <v>0</v>
      </c>
      <c r="H32" s="80">
        <f t="shared" si="8"/>
        <v>0</v>
      </c>
      <c r="I32" s="80">
        <f t="shared" si="8"/>
        <v>0</v>
      </c>
      <c r="J32" s="80">
        <f t="shared" si="8"/>
        <v>0</v>
      </c>
      <c r="K32" s="80">
        <f t="shared" si="8"/>
        <v>0</v>
      </c>
      <c r="L32" s="80">
        <f t="shared" si="8"/>
        <v>0</v>
      </c>
      <c r="M32" s="80">
        <f t="shared" si="8"/>
        <v>0</v>
      </c>
      <c r="N32" s="80">
        <f t="shared" si="8"/>
        <v>0</v>
      </c>
      <c r="O32" s="80">
        <f t="shared" si="8"/>
        <v>0</v>
      </c>
      <c r="P32" s="80">
        <f t="shared" si="8"/>
        <v>0</v>
      </c>
      <c r="Q32" s="80">
        <f t="shared" si="8"/>
        <v>0</v>
      </c>
      <c r="R32" s="80">
        <f t="shared" si="8"/>
        <v>0</v>
      </c>
      <c r="S32" s="80">
        <f t="shared" si="8"/>
        <v>0</v>
      </c>
      <c r="T32" s="80">
        <f t="shared" si="8"/>
        <v>0</v>
      </c>
      <c r="U32" s="80">
        <f t="shared" si="8"/>
        <v>0</v>
      </c>
      <c r="V32" s="80">
        <f t="shared" si="8"/>
        <v>0</v>
      </c>
      <c r="W32" s="80">
        <f t="shared" si="8"/>
        <v>0</v>
      </c>
      <c r="X32" s="80">
        <f>X17</f>
        <v>0</v>
      </c>
      <c r="Y32" s="80">
        <f>Y17</f>
        <v>0</v>
      </c>
      <c r="Z32" s="80">
        <f>Z17</f>
        <v>0</v>
      </c>
      <c r="AA32" s="80">
        <f>AA17</f>
        <v>0</v>
      </c>
    </row>
    <row r="33" spans="1:27" s="82" customFormat="1" x14ac:dyDescent="0.2">
      <c r="A33" s="83" t="str">
        <f>A$27</f>
        <v>Closing asset value</v>
      </c>
      <c r="B33" s="83"/>
      <c r="C33" s="83"/>
      <c r="D33" s="107">
        <f t="shared" ref="D33:W33" si="9">D30-D31+D32</f>
        <v>0</v>
      </c>
      <c r="E33" s="107">
        <f t="shared" si="9"/>
        <v>0</v>
      </c>
      <c r="F33" s="107">
        <f t="shared" si="9"/>
        <v>0</v>
      </c>
      <c r="G33" s="107">
        <f t="shared" si="9"/>
        <v>0</v>
      </c>
      <c r="H33" s="107">
        <f t="shared" si="9"/>
        <v>0</v>
      </c>
      <c r="I33" s="107">
        <f t="shared" si="9"/>
        <v>0</v>
      </c>
      <c r="J33" s="107">
        <f t="shared" si="9"/>
        <v>0</v>
      </c>
      <c r="K33" s="107">
        <f t="shared" si="9"/>
        <v>0</v>
      </c>
      <c r="L33" s="107">
        <f t="shared" si="9"/>
        <v>0</v>
      </c>
      <c r="M33" s="107">
        <f t="shared" si="9"/>
        <v>0</v>
      </c>
      <c r="N33" s="107">
        <f t="shared" si="9"/>
        <v>0</v>
      </c>
      <c r="O33" s="107">
        <f t="shared" si="9"/>
        <v>0</v>
      </c>
      <c r="P33" s="107">
        <f t="shared" si="9"/>
        <v>0</v>
      </c>
      <c r="Q33" s="107">
        <f t="shared" si="9"/>
        <v>0</v>
      </c>
      <c r="R33" s="107">
        <f t="shared" si="9"/>
        <v>0</v>
      </c>
      <c r="S33" s="107">
        <f t="shared" si="9"/>
        <v>0</v>
      </c>
      <c r="T33" s="107">
        <f t="shared" si="9"/>
        <v>0</v>
      </c>
      <c r="U33" s="107">
        <f t="shared" si="9"/>
        <v>0</v>
      </c>
      <c r="V33" s="107">
        <f t="shared" si="9"/>
        <v>0</v>
      </c>
      <c r="W33" s="107">
        <f t="shared" si="9"/>
        <v>0</v>
      </c>
      <c r="X33" s="107">
        <f>X30-X31+X32</f>
        <v>0</v>
      </c>
      <c r="Y33" s="107">
        <f>Y30-Y31+Y32</f>
        <v>0</v>
      </c>
      <c r="Z33" s="107">
        <f>Z30-Z31+Z32</f>
        <v>0</v>
      </c>
      <c r="AA33" s="107">
        <f>AA30-AA31+AA32</f>
        <v>0</v>
      </c>
    </row>
    <row r="34" spans="1:27" s="82" customFormat="1" x14ac:dyDescent="0.2">
      <c r="A34" s="89"/>
      <c r="B34" s="89"/>
      <c r="C34" s="89"/>
      <c r="D34" s="81"/>
      <c r="E34" s="81"/>
      <c r="F34" s="81"/>
      <c r="G34" s="81"/>
      <c r="H34" s="81"/>
      <c r="I34" s="81"/>
    </row>
    <row r="35" spans="1:27" s="82" customFormat="1" x14ac:dyDescent="0.2">
      <c r="A35" s="448" t="str">
        <f>'Data 2009-15 (Real $2008)'!A$164</f>
        <v>IT</v>
      </c>
      <c r="B35" s="448"/>
      <c r="C35" s="448"/>
      <c r="D35" s="83"/>
      <c r="E35" s="83"/>
      <c r="F35" s="83"/>
      <c r="G35" s="83"/>
      <c r="H35" s="83"/>
      <c r="I35" s="83"/>
    </row>
    <row r="36" spans="1:27" s="82" customFormat="1" x14ac:dyDescent="0.2">
      <c r="A36" s="83" t="str">
        <f>A$24</f>
        <v>Opening asset value</v>
      </c>
      <c r="B36" s="83"/>
      <c r="C36" s="83"/>
      <c r="D36" s="484">
        <f>'Offset of Costs and Rev 2006-08'!F268+SUM('Data 2006-08'!D96:F96)/10^3</f>
        <v>13963.607465485355</v>
      </c>
      <c r="E36" s="80">
        <f t="shared" ref="E36:W36" si="10">D39</f>
        <v>27616.202607291212</v>
      </c>
      <c r="F36" s="80">
        <f t="shared" si="10"/>
        <v>33464.160524374725</v>
      </c>
      <c r="G36" s="80">
        <f t="shared" si="10"/>
        <v>29145.227714624838</v>
      </c>
      <c r="H36" s="80">
        <f t="shared" si="10"/>
        <v>24893.212428774903</v>
      </c>
      <c r="I36" s="80">
        <f t="shared" si="10"/>
        <v>20045.89274526494</v>
      </c>
      <c r="J36" s="80">
        <f t="shared" si="10"/>
        <v>17842.408222312093</v>
      </c>
      <c r="K36" s="80">
        <f t="shared" si="10"/>
        <v>15138.238149808298</v>
      </c>
      <c r="L36" s="80">
        <f t="shared" si="10"/>
        <v>9082.9428898849783</v>
      </c>
      <c r="M36" s="80">
        <f t="shared" si="10"/>
        <v>5449.7657339309862</v>
      </c>
      <c r="N36" s="80">
        <f t="shared" si="10"/>
        <v>3269.8594403585917</v>
      </c>
      <c r="O36" s="80">
        <f t="shared" si="10"/>
        <v>1961.9156642151549</v>
      </c>
      <c r="P36" s="80">
        <f t="shared" si="10"/>
        <v>1177.1493985290929</v>
      </c>
      <c r="Q36" s="80">
        <f t="shared" si="10"/>
        <v>706.28963911745564</v>
      </c>
      <c r="R36" s="80">
        <f t="shared" si="10"/>
        <v>423.77378347047335</v>
      </c>
      <c r="S36" s="80">
        <f t="shared" si="10"/>
        <v>254.26427008228399</v>
      </c>
      <c r="T36" s="80">
        <f t="shared" si="10"/>
        <v>152.55856204937038</v>
      </c>
      <c r="U36" s="80">
        <f t="shared" si="10"/>
        <v>91.535137229622222</v>
      </c>
      <c r="V36" s="80">
        <f t="shared" si="10"/>
        <v>54.921082337773335</v>
      </c>
      <c r="W36" s="80">
        <f t="shared" si="10"/>
        <v>32.952649402664001</v>
      </c>
      <c r="X36" s="80">
        <f>W39</f>
        <v>19.7715896415984</v>
      </c>
      <c r="Y36" s="80">
        <f>X39</f>
        <v>11.862953784959039</v>
      </c>
      <c r="Z36" s="80">
        <f>Y39</f>
        <v>7.117772270975423</v>
      </c>
      <c r="AA36" s="80">
        <f>Z39</f>
        <v>4.2706633625852533</v>
      </c>
    </row>
    <row r="37" spans="1:27" s="82" customFormat="1" x14ac:dyDescent="0.2">
      <c r="A37" s="83" t="str">
        <f>A$25</f>
        <v>Depreciation</v>
      </c>
      <c r="B37" s="83"/>
      <c r="C37" s="83"/>
      <c r="D37" s="80">
        <f t="shared" ref="D37:W37" si="11">$D$8*(D36+D38*0.5)</f>
        <v>10394.952518194143</v>
      </c>
      <c r="E37" s="80">
        <f t="shared" si="11"/>
        <v>15270.090782916486</v>
      </c>
      <c r="F37" s="80">
        <f t="shared" si="11"/>
        <v>15652.347059749891</v>
      </c>
      <c r="G37" s="80">
        <f t="shared" si="11"/>
        <v>13509.610035849937</v>
      </c>
      <c r="H37" s="80">
        <f t="shared" si="11"/>
        <v>11234.776293509962</v>
      </c>
      <c r="I37" s="80">
        <f t="shared" si="11"/>
        <v>9472.0752418942593</v>
      </c>
      <c r="J37" s="80">
        <f t="shared" si="11"/>
        <v>8245.1615930300977</v>
      </c>
      <c r="K37" s="80">
        <f t="shared" si="11"/>
        <v>6055.2952599233195</v>
      </c>
      <c r="L37" s="80">
        <f t="shared" si="11"/>
        <v>3633.1771559539916</v>
      </c>
      <c r="M37" s="80">
        <f t="shared" si="11"/>
        <v>2179.9062935723946</v>
      </c>
      <c r="N37" s="80">
        <f t="shared" si="11"/>
        <v>1307.9437761434367</v>
      </c>
      <c r="O37" s="80">
        <f t="shared" si="11"/>
        <v>784.76626568606207</v>
      </c>
      <c r="P37" s="80">
        <f t="shared" si="11"/>
        <v>470.85975941163719</v>
      </c>
      <c r="Q37" s="80">
        <f t="shared" si="11"/>
        <v>282.51585564698229</v>
      </c>
      <c r="R37" s="80">
        <f t="shared" si="11"/>
        <v>169.50951338818936</v>
      </c>
      <c r="S37" s="80">
        <f t="shared" si="11"/>
        <v>101.70570803291361</v>
      </c>
      <c r="T37" s="80">
        <f t="shared" si="11"/>
        <v>61.023424819748158</v>
      </c>
      <c r="U37" s="80">
        <f t="shared" si="11"/>
        <v>36.614054891848888</v>
      </c>
      <c r="V37" s="80">
        <f t="shared" si="11"/>
        <v>21.968432935109334</v>
      </c>
      <c r="W37" s="80">
        <f t="shared" si="11"/>
        <v>13.181059761065601</v>
      </c>
      <c r="X37" s="80">
        <f>$D$8*(X36+X38*0.5)</f>
        <v>7.9086358566393606</v>
      </c>
      <c r="Y37" s="80">
        <f>$D$8*(Y36+Y38*0.5)</f>
        <v>4.7451815139836162</v>
      </c>
      <c r="Z37" s="80">
        <f>$D$8*(Z36+Z38*0.5)</f>
        <v>2.8471089083901693</v>
      </c>
      <c r="AA37" s="80">
        <f>$D$8*(AA36+AA38*0.5)</f>
        <v>1.7082653450341014</v>
      </c>
    </row>
    <row r="38" spans="1:27" s="82" customFormat="1" x14ac:dyDescent="0.2">
      <c r="A38" s="83" t="str">
        <f>A$26</f>
        <v>Gross capex</v>
      </c>
      <c r="B38" s="83"/>
      <c r="C38" s="83"/>
      <c r="D38" s="80">
        <f t="shared" ref="D38:W38" si="12">D18</f>
        <v>24047.54766</v>
      </c>
      <c r="E38" s="80">
        <f t="shared" si="12"/>
        <v>21118.048699999999</v>
      </c>
      <c r="F38" s="80">
        <f t="shared" si="12"/>
        <v>11333.414250000002</v>
      </c>
      <c r="G38" s="80">
        <f t="shared" si="12"/>
        <v>9257.5947500000002</v>
      </c>
      <c r="H38" s="80">
        <f t="shared" si="12"/>
        <v>6387.4566100000002</v>
      </c>
      <c r="I38" s="80">
        <f t="shared" si="12"/>
        <v>7268.5907189414138</v>
      </c>
      <c r="J38" s="80">
        <f t="shared" si="12"/>
        <v>5540.9915205263023</v>
      </c>
      <c r="K38" s="80">
        <f t="shared" si="12"/>
        <v>0</v>
      </c>
      <c r="L38" s="80">
        <f t="shared" si="12"/>
        <v>0</v>
      </c>
      <c r="M38" s="80">
        <f t="shared" si="12"/>
        <v>0</v>
      </c>
      <c r="N38" s="80">
        <f t="shared" si="12"/>
        <v>0</v>
      </c>
      <c r="O38" s="80">
        <f t="shared" si="12"/>
        <v>0</v>
      </c>
      <c r="P38" s="80">
        <f t="shared" si="12"/>
        <v>0</v>
      </c>
      <c r="Q38" s="80">
        <f t="shared" si="12"/>
        <v>0</v>
      </c>
      <c r="R38" s="80">
        <f t="shared" si="12"/>
        <v>0</v>
      </c>
      <c r="S38" s="80">
        <f t="shared" si="12"/>
        <v>0</v>
      </c>
      <c r="T38" s="80">
        <f t="shared" si="12"/>
        <v>0</v>
      </c>
      <c r="U38" s="80">
        <f t="shared" si="12"/>
        <v>0</v>
      </c>
      <c r="V38" s="80">
        <f t="shared" si="12"/>
        <v>0</v>
      </c>
      <c r="W38" s="80">
        <f t="shared" si="12"/>
        <v>0</v>
      </c>
      <c r="X38" s="80">
        <f>X18</f>
        <v>0</v>
      </c>
      <c r="Y38" s="80">
        <f>Y18</f>
        <v>0</v>
      </c>
      <c r="Z38" s="80">
        <f>Z18</f>
        <v>0</v>
      </c>
      <c r="AA38" s="80">
        <f>AA18</f>
        <v>0</v>
      </c>
    </row>
    <row r="39" spans="1:27" s="82" customFormat="1" x14ac:dyDescent="0.2">
      <c r="A39" s="83" t="str">
        <f>A$27</f>
        <v>Closing asset value</v>
      </c>
      <c r="B39" s="83"/>
      <c r="C39" s="83"/>
      <c r="D39" s="107">
        <f t="shared" ref="D39:W39" si="13">D36-D37+D38</f>
        <v>27616.202607291212</v>
      </c>
      <c r="E39" s="107">
        <f t="shared" si="13"/>
        <v>33464.160524374725</v>
      </c>
      <c r="F39" s="107">
        <f t="shared" si="13"/>
        <v>29145.227714624838</v>
      </c>
      <c r="G39" s="107">
        <f t="shared" si="13"/>
        <v>24893.212428774903</v>
      </c>
      <c r="H39" s="107">
        <f t="shared" si="13"/>
        <v>20045.89274526494</v>
      </c>
      <c r="I39" s="107">
        <f t="shared" si="13"/>
        <v>17842.408222312093</v>
      </c>
      <c r="J39" s="107">
        <f t="shared" si="13"/>
        <v>15138.238149808298</v>
      </c>
      <c r="K39" s="107">
        <f t="shared" si="13"/>
        <v>9082.9428898849783</v>
      </c>
      <c r="L39" s="107">
        <f t="shared" si="13"/>
        <v>5449.7657339309862</v>
      </c>
      <c r="M39" s="107">
        <f t="shared" si="13"/>
        <v>3269.8594403585917</v>
      </c>
      <c r="N39" s="107">
        <f t="shared" si="13"/>
        <v>1961.9156642151549</v>
      </c>
      <c r="O39" s="107">
        <f t="shared" si="13"/>
        <v>1177.1493985290929</v>
      </c>
      <c r="P39" s="107">
        <f t="shared" si="13"/>
        <v>706.28963911745564</v>
      </c>
      <c r="Q39" s="107">
        <f t="shared" si="13"/>
        <v>423.77378347047335</v>
      </c>
      <c r="R39" s="107">
        <f t="shared" si="13"/>
        <v>254.26427008228399</v>
      </c>
      <c r="S39" s="107">
        <f t="shared" si="13"/>
        <v>152.55856204937038</v>
      </c>
      <c r="T39" s="107">
        <f t="shared" si="13"/>
        <v>91.535137229622222</v>
      </c>
      <c r="U39" s="107">
        <f t="shared" si="13"/>
        <v>54.921082337773335</v>
      </c>
      <c r="V39" s="107">
        <f t="shared" si="13"/>
        <v>32.952649402664001</v>
      </c>
      <c r="W39" s="107">
        <f t="shared" si="13"/>
        <v>19.7715896415984</v>
      </c>
      <c r="X39" s="107">
        <f>X36-X37+X38</f>
        <v>11.862953784959039</v>
      </c>
      <c r="Y39" s="107">
        <f>Y36-Y37+Y38</f>
        <v>7.117772270975423</v>
      </c>
      <c r="Z39" s="107">
        <f>Z36-Z37+Z38</f>
        <v>4.2706633625852533</v>
      </c>
      <c r="AA39" s="107">
        <f>AA36-AA37+AA38</f>
        <v>2.5623980175511516</v>
      </c>
    </row>
    <row r="40" spans="1:27" s="82" customFormat="1" x14ac:dyDescent="0.2">
      <c r="A40" s="89"/>
      <c r="B40" s="89"/>
      <c r="C40" s="89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</row>
    <row r="41" spans="1:27" s="82" customFormat="1" x14ac:dyDescent="0.2">
      <c r="A41" s="448" t="str">
        <f>'Data 2009-15 (Real $2008)'!A$165</f>
        <v>Communications</v>
      </c>
      <c r="B41" s="448"/>
      <c r="C41" s="448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</row>
    <row r="42" spans="1:27" s="82" customFormat="1" x14ac:dyDescent="0.2">
      <c r="A42" s="83" t="str">
        <f>A$24</f>
        <v>Opening asset value</v>
      </c>
      <c r="B42" s="83"/>
      <c r="C42" s="83"/>
      <c r="D42" s="484">
        <f>SUM('Data 2006-08'!D97:F97)/10^3</f>
        <v>352.88907546270383</v>
      </c>
      <c r="E42" s="80">
        <f t="shared" ref="E42:W42" si="14">D45</f>
        <v>1121.6870414349814</v>
      </c>
      <c r="F42" s="80">
        <f t="shared" si="14"/>
        <v>3851.0981932703421</v>
      </c>
      <c r="G42" s="80">
        <f t="shared" si="14"/>
        <v>17465.689946498125</v>
      </c>
      <c r="H42" s="80">
        <f t="shared" si="14"/>
        <v>24016.829827740868</v>
      </c>
      <c r="I42" s="80">
        <f t="shared" si="14"/>
        <v>22544.312620617278</v>
      </c>
      <c r="J42" s="80">
        <f t="shared" si="14"/>
        <v>19811.412955787346</v>
      </c>
      <c r="K42" s="80">
        <f t="shared" si="14"/>
        <v>16579.204001586862</v>
      </c>
      <c r="L42" s="80">
        <f t="shared" si="14"/>
        <v>13026.51742981825</v>
      </c>
      <c r="M42" s="80">
        <f t="shared" si="14"/>
        <v>10235.120837714339</v>
      </c>
      <c r="N42" s="80">
        <f t="shared" si="14"/>
        <v>8041.8806582041234</v>
      </c>
      <c r="O42" s="80">
        <f t="shared" si="14"/>
        <v>6318.6205171603833</v>
      </c>
      <c r="P42" s="80">
        <f t="shared" si="14"/>
        <v>4964.6304063403013</v>
      </c>
      <c r="Q42" s="80">
        <f t="shared" si="14"/>
        <v>3900.7810335530939</v>
      </c>
      <c r="R42" s="80">
        <f t="shared" si="14"/>
        <v>3064.8993835060023</v>
      </c>
      <c r="S42" s="80">
        <f t="shared" si="14"/>
        <v>2408.1352298975735</v>
      </c>
      <c r="T42" s="80">
        <f t="shared" si="14"/>
        <v>1892.1062520623791</v>
      </c>
      <c r="U42" s="80">
        <f t="shared" si="14"/>
        <v>1486.6549123347265</v>
      </c>
      <c r="V42" s="80">
        <f t="shared" si="14"/>
        <v>1168.0860025487136</v>
      </c>
      <c r="W42" s="80">
        <f t="shared" si="14"/>
        <v>917.78185914541791</v>
      </c>
      <c r="X42" s="80">
        <f>W45</f>
        <v>721.11431789997118</v>
      </c>
      <c r="Y42" s="80">
        <f>X45</f>
        <v>566.58982120712017</v>
      </c>
      <c r="Z42" s="80">
        <f>Y45</f>
        <v>445.17771666273728</v>
      </c>
      <c r="AA42" s="80">
        <f>Z45</f>
        <v>349.78249166357932</v>
      </c>
    </row>
    <row r="43" spans="1:27" s="82" customFormat="1" x14ac:dyDescent="0.2">
      <c r="A43" s="83" t="str">
        <f>A$25</f>
        <v>Depreciation</v>
      </c>
      <c r="B43" s="83"/>
      <c r="C43" s="83"/>
      <c r="D43" s="80">
        <f t="shared" ref="D43:W43" si="15">$D$9*(D42+D44*0.5)</f>
        <v>176.94913402772224</v>
      </c>
      <c r="E43" s="80">
        <f t="shared" si="15"/>
        <v>596.73422816463881</v>
      </c>
      <c r="F43" s="80">
        <f t="shared" si="15"/>
        <v>2558.0145767722156</v>
      </c>
      <c r="G43" s="80">
        <f t="shared" si="15"/>
        <v>4977.9023729086794</v>
      </c>
      <c r="H43" s="80">
        <f t="shared" si="15"/>
        <v>5587.3370938029766</v>
      </c>
      <c r="I43" s="80">
        <f t="shared" si="15"/>
        <v>5082.6870691685544</v>
      </c>
      <c r="J43" s="80">
        <f t="shared" si="15"/>
        <v>4366.8740348849042</v>
      </c>
      <c r="K43" s="80">
        <f t="shared" si="15"/>
        <v>3552.6865717686132</v>
      </c>
      <c r="L43" s="80">
        <f t="shared" si="15"/>
        <v>2791.3965921039107</v>
      </c>
      <c r="M43" s="80">
        <f t="shared" si="15"/>
        <v>2193.2401795102155</v>
      </c>
      <c r="N43" s="80">
        <f t="shared" si="15"/>
        <v>1723.2601410437405</v>
      </c>
      <c r="O43" s="80">
        <f t="shared" si="15"/>
        <v>1353.990110820082</v>
      </c>
      <c r="P43" s="80">
        <f t="shared" si="15"/>
        <v>1063.8493727872074</v>
      </c>
      <c r="Q43" s="80">
        <f t="shared" si="15"/>
        <v>835.88165004709151</v>
      </c>
      <c r="R43" s="80">
        <f t="shared" si="15"/>
        <v>656.76415360842907</v>
      </c>
      <c r="S43" s="80">
        <f t="shared" si="15"/>
        <v>516.02897783519427</v>
      </c>
      <c r="T43" s="80">
        <f t="shared" si="15"/>
        <v>405.45133972765262</v>
      </c>
      <c r="U43" s="80">
        <f t="shared" si="15"/>
        <v>318.5689097860128</v>
      </c>
      <c r="V43" s="80">
        <f t="shared" si="15"/>
        <v>250.30414340329577</v>
      </c>
      <c r="W43" s="80">
        <f t="shared" si="15"/>
        <v>196.66754124544667</v>
      </c>
      <c r="X43" s="80">
        <f>$D$9*(X42+X44*0.5)</f>
        <v>154.52449669285096</v>
      </c>
      <c r="Y43" s="80">
        <f>$D$9*(Y42+Y44*0.5)</f>
        <v>121.41210454438288</v>
      </c>
      <c r="Z43" s="80">
        <f>$D$9*(Z42+Z44*0.5)</f>
        <v>95.395224999157989</v>
      </c>
      <c r="AA43" s="80">
        <f>$D$9*(AA42+AA44*0.5)</f>
        <v>74.953391070766997</v>
      </c>
    </row>
    <row r="44" spans="1:27" s="82" customFormat="1" x14ac:dyDescent="0.2">
      <c r="A44" s="83" t="str">
        <f>A$26</f>
        <v>Gross capex</v>
      </c>
      <c r="B44" s="83"/>
      <c r="C44" s="83"/>
      <c r="D44" s="80">
        <f t="shared" ref="D44:W44" si="16">D19</f>
        <v>945.74709999999993</v>
      </c>
      <c r="E44" s="80">
        <f t="shared" si="16"/>
        <v>3326.1453799999995</v>
      </c>
      <c r="F44" s="80">
        <f t="shared" si="16"/>
        <v>16172.606329999999</v>
      </c>
      <c r="G44" s="80">
        <f t="shared" si="16"/>
        <v>11529.042254151425</v>
      </c>
      <c r="H44" s="80">
        <f t="shared" si="16"/>
        <v>4114.8198866793855</v>
      </c>
      <c r="I44" s="80">
        <f t="shared" si="16"/>
        <v>2349.7874043386214</v>
      </c>
      <c r="J44" s="80">
        <f t="shared" si="16"/>
        <v>1134.6650806844214</v>
      </c>
      <c r="K44" s="80">
        <f t="shared" si="16"/>
        <v>0</v>
      </c>
      <c r="L44" s="80">
        <f t="shared" si="16"/>
        <v>0</v>
      </c>
      <c r="M44" s="80">
        <f t="shared" si="16"/>
        <v>0</v>
      </c>
      <c r="N44" s="80">
        <f t="shared" si="16"/>
        <v>0</v>
      </c>
      <c r="O44" s="80">
        <f t="shared" si="16"/>
        <v>0</v>
      </c>
      <c r="P44" s="80">
        <f t="shared" si="16"/>
        <v>0</v>
      </c>
      <c r="Q44" s="80">
        <f t="shared" si="16"/>
        <v>0</v>
      </c>
      <c r="R44" s="80">
        <f t="shared" si="16"/>
        <v>0</v>
      </c>
      <c r="S44" s="80">
        <f t="shared" si="16"/>
        <v>0</v>
      </c>
      <c r="T44" s="80">
        <f t="shared" si="16"/>
        <v>0</v>
      </c>
      <c r="U44" s="80">
        <f t="shared" si="16"/>
        <v>0</v>
      </c>
      <c r="V44" s="80">
        <f t="shared" si="16"/>
        <v>0</v>
      </c>
      <c r="W44" s="80">
        <f t="shared" si="16"/>
        <v>0</v>
      </c>
      <c r="X44" s="80">
        <f>X19</f>
        <v>0</v>
      </c>
      <c r="Y44" s="80">
        <f>Y19</f>
        <v>0</v>
      </c>
      <c r="Z44" s="80">
        <f>Z19</f>
        <v>0</v>
      </c>
      <c r="AA44" s="80">
        <f>AA19</f>
        <v>0</v>
      </c>
    </row>
    <row r="45" spans="1:27" s="82" customFormat="1" x14ac:dyDescent="0.2">
      <c r="A45" s="83" t="str">
        <f>A$27</f>
        <v>Closing asset value</v>
      </c>
      <c r="B45" s="83"/>
      <c r="C45" s="83"/>
      <c r="D45" s="107">
        <f t="shared" ref="D45:W45" si="17">D42-D43+D44</f>
        <v>1121.6870414349814</v>
      </c>
      <c r="E45" s="107">
        <f t="shared" si="17"/>
        <v>3851.0981932703421</v>
      </c>
      <c r="F45" s="107">
        <f t="shared" si="17"/>
        <v>17465.689946498125</v>
      </c>
      <c r="G45" s="107">
        <f t="shared" si="17"/>
        <v>24016.829827740868</v>
      </c>
      <c r="H45" s="107">
        <f t="shared" si="17"/>
        <v>22544.312620617278</v>
      </c>
      <c r="I45" s="107">
        <f t="shared" si="17"/>
        <v>19811.412955787346</v>
      </c>
      <c r="J45" s="107">
        <f t="shared" si="17"/>
        <v>16579.204001586862</v>
      </c>
      <c r="K45" s="107">
        <f t="shared" si="17"/>
        <v>13026.51742981825</v>
      </c>
      <c r="L45" s="107">
        <f t="shared" si="17"/>
        <v>10235.120837714339</v>
      </c>
      <c r="M45" s="107">
        <f t="shared" si="17"/>
        <v>8041.8806582041234</v>
      </c>
      <c r="N45" s="107">
        <f t="shared" si="17"/>
        <v>6318.6205171603833</v>
      </c>
      <c r="O45" s="107">
        <f t="shared" si="17"/>
        <v>4964.6304063403013</v>
      </c>
      <c r="P45" s="107">
        <f t="shared" si="17"/>
        <v>3900.7810335530939</v>
      </c>
      <c r="Q45" s="107">
        <f t="shared" si="17"/>
        <v>3064.8993835060023</v>
      </c>
      <c r="R45" s="107">
        <f t="shared" si="17"/>
        <v>2408.1352298975735</v>
      </c>
      <c r="S45" s="107">
        <f t="shared" si="17"/>
        <v>1892.1062520623791</v>
      </c>
      <c r="T45" s="107">
        <f t="shared" si="17"/>
        <v>1486.6549123347265</v>
      </c>
      <c r="U45" s="107">
        <f t="shared" si="17"/>
        <v>1168.0860025487136</v>
      </c>
      <c r="V45" s="107">
        <f t="shared" si="17"/>
        <v>917.78185914541791</v>
      </c>
      <c r="W45" s="107">
        <f t="shared" si="17"/>
        <v>721.11431789997118</v>
      </c>
      <c r="X45" s="107">
        <f>X42-X43+X44</f>
        <v>566.58982120712017</v>
      </c>
      <c r="Y45" s="107">
        <f>Y42-Y43+Y44</f>
        <v>445.17771666273728</v>
      </c>
      <c r="Z45" s="107">
        <f>Z42-Z43+Z44</f>
        <v>349.78249166357932</v>
      </c>
      <c r="AA45" s="107">
        <f>AA42-AA43+AA44</f>
        <v>274.82910059281232</v>
      </c>
    </row>
    <row r="46" spans="1:27" s="82" customFormat="1" x14ac:dyDescent="0.2">
      <c r="A46" s="89"/>
      <c r="B46" s="89"/>
      <c r="C46" s="89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</row>
    <row r="47" spans="1:27" s="82" customFormat="1" x14ac:dyDescent="0.2">
      <c r="A47" s="448" t="str">
        <f>'Data 2009-15 (Real $2008)'!A$166</f>
        <v>Other</v>
      </c>
      <c r="B47" s="448"/>
      <c r="C47" s="448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</row>
    <row r="48" spans="1:27" s="82" customFormat="1" x14ac:dyDescent="0.2">
      <c r="A48" s="83" t="str">
        <f>A$24</f>
        <v>Opening asset value</v>
      </c>
      <c r="B48" s="83"/>
      <c r="C48" s="83"/>
      <c r="D48" s="484">
        <f>'Offset of Costs and Rev 2006-08'!F274+SUM('Data 2006-08'!D98:F98)/10^3</f>
        <v>262.10240119869445</v>
      </c>
      <c r="E48" s="80">
        <f t="shared" ref="E48:W48" si="18">D51</f>
        <v>697.01366716363066</v>
      </c>
      <c r="F48" s="80">
        <f t="shared" si="18"/>
        <v>1146.2838558994606</v>
      </c>
      <c r="G48" s="80">
        <f t="shared" si="18"/>
        <v>1262.3008348583794</v>
      </c>
      <c r="H48" s="80">
        <f t="shared" si="18"/>
        <v>1198.8488490010184</v>
      </c>
      <c r="I48" s="80">
        <f t="shared" si="18"/>
        <v>1021.6898474126034</v>
      </c>
      <c r="J48" s="80">
        <f t="shared" si="18"/>
        <v>956.16749338358784</v>
      </c>
      <c r="K48" s="80">
        <f t="shared" si="18"/>
        <v>914.02779393047194</v>
      </c>
      <c r="L48" s="80">
        <f t="shared" si="18"/>
        <v>752.72877147215331</v>
      </c>
      <c r="M48" s="80">
        <f t="shared" si="18"/>
        <v>619.89428238883215</v>
      </c>
      <c r="N48" s="80">
        <f t="shared" si="18"/>
        <v>510.50117373197941</v>
      </c>
      <c r="O48" s="80">
        <f t="shared" si="18"/>
        <v>420.41273130868893</v>
      </c>
      <c r="P48" s="80">
        <f t="shared" si="18"/>
        <v>346.22224931303793</v>
      </c>
      <c r="Q48" s="80">
        <f t="shared" si="18"/>
        <v>285.12420531661951</v>
      </c>
      <c r="R48" s="80">
        <f t="shared" si="18"/>
        <v>234.80816908427488</v>
      </c>
      <c r="S48" s="80">
        <f t="shared" si="18"/>
        <v>193.37143336352051</v>
      </c>
      <c r="T48" s="80">
        <f t="shared" si="18"/>
        <v>159.24706276995806</v>
      </c>
      <c r="U48" s="80">
        <f t="shared" si="18"/>
        <v>131.14463992820077</v>
      </c>
      <c r="V48" s="80">
        <f t="shared" si="18"/>
        <v>108.00146817616535</v>
      </c>
      <c r="W48" s="80">
        <f t="shared" si="18"/>
        <v>88.942385556842055</v>
      </c>
      <c r="X48" s="80">
        <f>W51</f>
        <v>73.246670458575807</v>
      </c>
      <c r="Y48" s="80">
        <f>X51</f>
        <v>60.320787436474191</v>
      </c>
      <c r="Z48" s="80">
        <f>Y51</f>
        <v>49.675942594743454</v>
      </c>
      <c r="AA48" s="80">
        <f>Z51</f>
        <v>40.909599783906373</v>
      </c>
    </row>
    <row r="49" spans="1:27" s="82" customFormat="1" x14ac:dyDescent="0.2">
      <c r="A49" s="83" t="str">
        <f>A$25</f>
        <v>Depreciation</v>
      </c>
      <c r="B49" s="83"/>
      <c r="C49" s="83"/>
      <c r="D49" s="80">
        <f t="shared" ref="D49:W49" si="19">$D$10*(D48+D50*0.5)</f>
        <v>92.817684035063706</v>
      </c>
      <c r="E49" s="80">
        <f t="shared" si="19"/>
        <v>178.38363126417011</v>
      </c>
      <c r="F49" s="80">
        <f t="shared" si="19"/>
        <v>233.08884104108128</v>
      </c>
      <c r="G49" s="80">
        <f t="shared" si="19"/>
        <v>238.17577585736106</v>
      </c>
      <c r="H49" s="80">
        <f t="shared" si="19"/>
        <v>214.89084158841499</v>
      </c>
      <c r="I49" s="80">
        <f t="shared" si="19"/>
        <v>191.40554910930879</v>
      </c>
      <c r="J49" s="80">
        <f t="shared" si="19"/>
        <v>180.98664070781223</v>
      </c>
      <c r="K49" s="80">
        <f t="shared" si="19"/>
        <v>161.29902245831857</v>
      </c>
      <c r="L49" s="80">
        <f t="shared" si="19"/>
        <v>132.83448908332116</v>
      </c>
      <c r="M49" s="80">
        <f t="shared" si="19"/>
        <v>109.39310865685272</v>
      </c>
      <c r="N49" s="80">
        <f t="shared" si="19"/>
        <v>90.088442423290473</v>
      </c>
      <c r="O49" s="80">
        <f t="shared" si="19"/>
        <v>74.190481995650984</v>
      </c>
      <c r="P49" s="80">
        <f t="shared" si="19"/>
        <v>61.098043996418454</v>
      </c>
      <c r="Q49" s="80">
        <f t="shared" si="19"/>
        <v>50.316036232344615</v>
      </c>
      <c r="R49" s="80">
        <f t="shared" si="19"/>
        <v>41.436735720754385</v>
      </c>
      <c r="S49" s="80">
        <f t="shared" si="19"/>
        <v>34.124370593562439</v>
      </c>
      <c r="T49" s="80">
        <f t="shared" si="19"/>
        <v>28.102422841757303</v>
      </c>
      <c r="U49" s="80">
        <f t="shared" si="19"/>
        <v>23.143171752035428</v>
      </c>
      <c r="V49" s="80">
        <f t="shared" si="19"/>
        <v>19.059082619323295</v>
      </c>
      <c r="W49" s="80">
        <f t="shared" si="19"/>
        <v>15.695715098266243</v>
      </c>
      <c r="X49" s="80">
        <f>$D$10*(X48+X50*0.5)</f>
        <v>12.925883022101612</v>
      </c>
      <c r="Y49" s="80">
        <f>$D$10*(Y48+Y50*0.5)</f>
        <v>10.644844841730739</v>
      </c>
      <c r="Z49" s="80">
        <f>$D$10*(Z48+Z50*0.5)</f>
        <v>8.7663428108370791</v>
      </c>
      <c r="AA49" s="80">
        <f>$D$10*(AA48+AA50*0.5)</f>
        <v>7.2193411383364179</v>
      </c>
    </row>
    <row r="50" spans="1:27" s="82" customFormat="1" x14ac:dyDescent="0.2">
      <c r="A50" s="83" t="str">
        <f>A$26</f>
        <v>Gross capex</v>
      </c>
      <c r="B50" s="83"/>
      <c r="C50" s="83"/>
      <c r="D50" s="80">
        <f t="shared" ref="D50:W50" si="20">D20</f>
        <v>527.72894999999994</v>
      </c>
      <c r="E50" s="80">
        <f t="shared" si="20"/>
        <v>627.65382</v>
      </c>
      <c r="F50" s="80">
        <f t="shared" si="20"/>
        <v>349.10581999999999</v>
      </c>
      <c r="G50" s="80">
        <f t="shared" si="20"/>
        <v>174.72379000000001</v>
      </c>
      <c r="H50" s="80">
        <f t="shared" si="20"/>
        <v>37.731840000000005</v>
      </c>
      <c r="I50" s="80">
        <f t="shared" si="20"/>
        <v>125.88319508029325</v>
      </c>
      <c r="J50" s="80">
        <f t="shared" si="20"/>
        <v>138.84694125469633</v>
      </c>
      <c r="K50" s="80">
        <f t="shared" si="20"/>
        <v>0</v>
      </c>
      <c r="L50" s="80">
        <f t="shared" si="20"/>
        <v>0</v>
      </c>
      <c r="M50" s="80">
        <f t="shared" si="20"/>
        <v>0</v>
      </c>
      <c r="N50" s="80">
        <f t="shared" si="20"/>
        <v>0</v>
      </c>
      <c r="O50" s="80">
        <f t="shared" si="20"/>
        <v>0</v>
      </c>
      <c r="P50" s="80">
        <f t="shared" si="20"/>
        <v>0</v>
      </c>
      <c r="Q50" s="80">
        <f t="shared" si="20"/>
        <v>0</v>
      </c>
      <c r="R50" s="80">
        <f t="shared" si="20"/>
        <v>0</v>
      </c>
      <c r="S50" s="80">
        <f t="shared" si="20"/>
        <v>0</v>
      </c>
      <c r="T50" s="80">
        <f t="shared" si="20"/>
        <v>0</v>
      </c>
      <c r="U50" s="80">
        <f t="shared" si="20"/>
        <v>0</v>
      </c>
      <c r="V50" s="80">
        <f t="shared" si="20"/>
        <v>0</v>
      </c>
      <c r="W50" s="80">
        <f t="shared" si="20"/>
        <v>0</v>
      </c>
      <c r="X50" s="80">
        <f>X20</f>
        <v>0</v>
      </c>
      <c r="Y50" s="80">
        <f>Y20</f>
        <v>0</v>
      </c>
      <c r="Z50" s="80">
        <f>Z20</f>
        <v>0</v>
      </c>
      <c r="AA50" s="80">
        <f>AA20</f>
        <v>0</v>
      </c>
    </row>
    <row r="51" spans="1:27" s="82" customFormat="1" x14ac:dyDescent="0.2">
      <c r="A51" s="83" t="str">
        <f>A$27</f>
        <v>Closing asset value</v>
      </c>
      <c r="B51" s="83"/>
      <c r="C51" s="83"/>
      <c r="D51" s="107">
        <f t="shared" ref="D51:W51" si="21">D48-D49+D50</f>
        <v>697.01366716363066</v>
      </c>
      <c r="E51" s="107">
        <f t="shared" si="21"/>
        <v>1146.2838558994606</v>
      </c>
      <c r="F51" s="107">
        <f t="shared" si="21"/>
        <v>1262.3008348583794</v>
      </c>
      <c r="G51" s="107">
        <f t="shared" si="21"/>
        <v>1198.8488490010184</v>
      </c>
      <c r="H51" s="107">
        <f t="shared" si="21"/>
        <v>1021.6898474126034</v>
      </c>
      <c r="I51" s="107">
        <f t="shared" si="21"/>
        <v>956.16749338358784</v>
      </c>
      <c r="J51" s="107">
        <f t="shared" si="21"/>
        <v>914.02779393047194</v>
      </c>
      <c r="K51" s="107">
        <f t="shared" si="21"/>
        <v>752.72877147215331</v>
      </c>
      <c r="L51" s="107">
        <f t="shared" si="21"/>
        <v>619.89428238883215</v>
      </c>
      <c r="M51" s="107">
        <f t="shared" si="21"/>
        <v>510.50117373197941</v>
      </c>
      <c r="N51" s="107">
        <f t="shared" si="21"/>
        <v>420.41273130868893</v>
      </c>
      <c r="O51" s="107">
        <f t="shared" si="21"/>
        <v>346.22224931303793</v>
      </c>
      <c r="P51" s="107">
        <f t="shared" si="21"/>
        <v>285.12420531661951</v>
      </c>
      <c r="Q51" s="107">
        <f t="shared" si="21"/>
        <v>234.80816908427488</v>
      </c>
      <c r="R51" s="107">
        <f t="shared" si="21"/>
        <v>193.37143336352051</v>
      </c>
      <c r="S51" s="107">
        <f t="shared" si="21"/>
        <v>159.24706276995806</v>
      </c>
      <c r="T51" s="107">
        <f t="shared" si="21"/>
        <v>131.14463992820077</v>
      </c>
      <c r="U51" s="107">
        <f t="shared" si="21"/>
        <v>108.00146817616535</v>
      </c>
      <c r="V51" s="107">
        <f t="shared" si="21"/>
        <v>88.942385556842055</v>
      </c>
      <c r="W51" s="107">
        <f t="shared" si="21"/>
        <v>73.246670458575807</v>
      </c>
      <c r="X51" s="107">
        <f>X48-X49+X50</f>
        <v>60.320787436474191</v>
      </c>
      <c r="Y51" s="107">
        <f>Y48-Y49+Y50</f>
        <v>49.675942594743454</v>
      </c>
      <c r="Z51" s="107">
        <f>Z48-Z49+Z50</f>
        <v>40.909599783906373</v>
      </c>
      <c r="AA51" s="107">
        <f>AA48-AA49+AA50</f>
        <v>33.690258645569955</v>
      </c>
    </row>
    <row r="52" spans="1:27" s="82" customFormat="1" x14ac:dyDescent="0.2">
      <c r="A52" s="83"/>
      <c r="B52" s="83"/>
      <c r="C52" s="83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</row>
    <row r="53" spans="1:27" s="82" customFormat="1" x14ac:dyDescent="0.2">
      <c r="A53" s="83"/>
      <c r="B53" s="83"/>
      <c r="C53" s="83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</row>
    <row r="54" spans="1:27" s="82" customFormat="1" x14ac:dyDescent="0.2">
      <c r="A54" s="448" t="s">
        <v>45</v>
      </c>
      <c r="B54" s="448"/>
      <c r="C54" s="448"/>
      <c r="D54" s="461">
        <f t="shared" ref="D54:AA54" si="22">D$13</f>
        <v>2009</v>
      </c>
      <c r="E54" s="461">
        <f t="shared" si="22"/>
        <v>2010</v>
      </c>
      <c r="F54" s="461">
        <f t="shared" si="22"/>
        <v>2011</v>
      </c>
      <c r="G54" s="461">
        <f t="shared" si="22"/>
        <v>2012</v>
      </c>
      <c r="H54" s="461">
        <f t="shared" si="22"/>
        <v>2013</v>
      </c>
      <c r="I54" s="461">
        <f t="shared" si="22"/>
        <v>2014</v>
      </c>
      <c r="J54" s="461">
        <f t="shared" si="22"/>
        <v>2015</v>
      </c>
      <c r="K54" s="461">
        <f t="shared" si="22"/>
        <v>2016</v>
      </c>
      <c r="L54" s="461">
        <f t="shared" si="22"/>
        <v>2017</v>
      </c>
      <c r="M54" s="461">
        <f t="shared" si="22"/>
        <v>2018</v>
      </c>
      <c r="N54" s="461">
        <f t="shared" si="22"/>
        <v>2019</v>
      </c>
      <c r="O54" s="461">
        <f t="shared" si="22"/>
        <v>2020</v>
      </c>
      <c r="P54" s="461">
        <f t="shared" si="22"/>
        <v>2021</v>
      </c>
      <c r="Q54" s="461">
        <f t="shared" si="22"/>
        <v>2022</v>
      </c>
      <c r="R54" s="461">
        <f t="shared" si="22"/>
        <v>2023</v>
      </c>
      <c r="S54" s="461">
        <f t="shared" si="22"/>
        <v>2024</v>
      </c>
      <c r="T54" s="461">
        <f t="shared" si="22"/>
        <v>2025</v>
      </c>
      <c r="U54" s="461">
        <f t="shared" si="22"/>
        <v>2026</v>
      </c>
      <c r="V54" s="461">
        <f t="shared" si="22"/>
        <v>2027</v>
      </c>
      <c r="W54" s="461">
        <f t="shared" si="22"/>
        <v>2028</v>
      </c>
      <c r="X54" s="461">
        <f t="shared" si="22"/>
        <v>2029</v>
      </c>
      <c r="Y54" s="461">
        <f t="shared" si="22"/>
        <v>2030</v>
      </c>
      <c r="Z54" s="461">
        <f t="shared" si="22"/>
        <v>2031</v>
      </c>
      <c r="AA54" s="461">
        <f t="shared" si="22"/>
        <v>2032</v>
      </c>
    </row>
    <row r="55" spans="1:27" s="82" customFormat="1" x14ac:dyDescent="0.2">
      <c r="A55" s="83" t="str">
        <f>A$24</f>
        <v>Opening asset value</v>
      </c>
      <c r="B55" s="83"/>
      <c r="C55" s="83"/>
      <c r="D55" s="80">
        <f t="shared" ref="D55:W55" si="23">SUM(D24,D30,D36,D42,D48)</f>
        <v>25240.875737589646</v>
      </c>
      <c r="E55" s="80">
        <f t="shared" si="23"/>
        <v>44948.841095514967</v>
      </c>
      <c r="F55" s="80">
        <f t="shared" si="23"/>
        <v>108917.75008762977</v>
      </c>
      <c r="G55" s="80">
        <f t="shared" si="23"/>
        <v>169260.1004220061</v>
      </c>
      <c r="H55" s="80">
        <f t="shared" si="23"/>
        <v>206065.19695045392</v>
      </c>
      <c r="I55" s="80">
        <f t="shared" si="23"/>
        <v>200419.02554125403</v>
      </c>
      <c r="J55" s="80">
        <f t="shared" si="23"/>
        <v>142597.50312584513</v>
      </c>
      <c r="K55" s="80">
        <f t="shared" si="23"/>
        <v>103722.3716353054</v>
      </c>
      <c r="L55" s="80">
        <f t="shared" si="23"/>
        <v>67294.002647412737</v>
      </c>
      <c r="M55" s="80">
        <f t="shared" si="23"/>
        <v>44074.664326682512</v>
      </c>
      <c r="N55" s="80">
        <f t="shared" si="23"/>
        <v>29178.418442699913</v>
      </c>
      <c r="O55" s="80">
        <f t="shared" si="23"/>
        <v>19548.559644187491</v>
      </c>
      <c r="P55" s="80">
        <f t="shared" si="23"/>
        <v>13267.758761371968</v>
      </c>
      <c r="Q55" s="80">
        <f t="shared" si="23"/>
        <v>9129.5428199806283</v>
      </c>
      <c r="R55" s="80">
        <f t="shared" si="23"/>
        <v>6371.8237998066634</v>
      </c>
      <c r="S55" s="80">
        <f t="shared" si="23"/>
        <v>4510.9849731845743</v>
      </c>
      <c r="T55" s="80">
        <f t="shared" si="23"/>
        <v>3238.420651782455</v>
      </c>
      <c r="U55" s="80">
        <f t="shared" si="23"/>
        <v>2355.9026738055168</v>
      </c>
      <c r="V55" s="80">
        <f t="shared" si="23"/>
        <v>1735.1135432582569</v>
      </c>
      <c r="W55" s="80">
        <f t="shared" si="23"/>
        <v>1292.2425129771768</v>
      </c>
      <c r="X55" s="80">
        <f t="shared" ref="X55:AA58" si="24">SUM(X24,X30,X36,X42,X48)</f>
        <v>971.98608979530331</v>
      </c>
      <c r="Y55" s="80">
        <f t="shared" si="24"/>
        <v>737.43200730052718</v>
      </c>
      <c r="Z55" s="80">
        <f t="shared" si="24"/>
        <v>563.63295957343973</v>
      </c>
      <c r="AA55" s="80">
        <f t="shared" si="24"/>
        <v>433.50120983818567</v>
      </c>
    </row>
    <row r="56" spans="1:27" s="82" customFormat="1" x14ac:dyDescent="0.2">
      <c r="A56" s="83" t="str">
        <f>A$25</f>
        <v>Depreciation</v>
      </c>
      <c r="B56" s="83"/>
      <c r="C56" s="83"/>
      <c r="D56" s="80">
        <f t="shared" ref="D56:W56" si="25">SUM(D25,D31,D37,D43,D49)</f>
        <v>16705.384238195707</v>
      </c>
      <c r="E56" s="80">
        <f t="shared" si="25"/>
        <v>35884.472940893851</v>
      </c>
      <c r="F56" s="80">
        <f t="shared" si="25"/>
        <v>62714.932656050114</v>
      </c>
      <c r="G56" s="80">
        <f t="shared" si="25"/>
        <v>82727.96228560718</v>
      </c>
      <c r="H56" s="80">
        <f t="shared" si="25"/>
        <v>89213.181807262052</v>
      </c>
      <c r="I56" s="80">
        <f t="shared" si="25"/>
        <v>74929.547425323195</v>
      </c>
      <c r="J56" s="80">
        <f t="shared" si="25"/>
        <v>53195.733686547865</v>
      </c>
      <c r="K56" s="80">
        <f t="shared" si="25"/>
        <v>36428.368987892667</v>
      </c>
      <c r="L56" s="80">
        <f t="shared" si="25"/>
        <v>23219.338320730236</v>
      </c>
      <c r="M56" s="80">
        <f t="shared" si="25"/>
        <v>14896.245883982592</v>
      </c>
      <c r="N56" s="80">
        <f t="shared" si="25"/>
        <v>9629.8587985124232</v>
      </c>
      <c r="O56" s="80">
        <f t="shared" si="25"/>
        <v>6280.8008828155171</v>
      </c>
      <c r="P56" s="80">
        <f t="shared" si="25"/>
        <v>4138.2159413913396</v>
      </c>
      <c r="Q56" s="80">
        <f t="shared" si="25"/>
        <v>2757.7190201739663</v>
      </c>
      <c r="R56" s="80">
        <f t="shared" si="25"/>
        <v>1860.8388266220902</v>
      </c>
      <c r="S56" s="80">
        <f t="shared" si="25"/>
        <v>1272.5643214021186</v>
      </c>
      <c r="T56" s="80">
        <f t="shared" si="25"/>
        <v>882.51797797693825</v>
      </c>
      <c r="U56" s="80">
        <f t="shared" si="25"/>
        <v>620.78913054725967</v>
      </c>
      <c r="V56" s="80">
        <f t="shared" si="25"/>
        <v>442.87103028108004</v>
      </c>
      <c r="W56" s="80">
        <f t="shared" si="25"/>
        <v>320.25642318187329</v>
      </c>
      <c r="X56" s="80">
        <f t="shared" si="24"/>
        <v>234.55408249477617</v>
      </c>
      <c r="Y56" s="80">
        <f t="shared" si="24"/>
        <v>173.79904772708738</v>
      </c>
      <c r="Z56" s="80">
        <f t="shared" si="24"/>
        <v>130.13174973525409</v>
      </c>
      <c r="AA56" s="80">
        <f t="shared" si="24"/>
        <v>98.332918189680541</v>
      </c>
    </row>
    <row r="57" spans="1:27" s="82" customFormat="1" x14ac:dyDescent="0.2">
      <c r="A57" s="83" t="str">
        <f>A$26</f>
        <v>Gross capex</v>
      </c>
      <c r="B57" s="83"/>
      <c r="C57" s="83"/>
      <c r="D57" s="80">
        <f t="shared" ref="D57:W57" si="26">SUM(D26,D32,D38,D44,D50)</f>
        <v>36413.349596121028</v>
      </c>
      <c r="E57" s="80">
        <f t="shared" si="26"/>
        <v>99853.381933008655</v>
      </c>
      <c r="F57" s="80">
        <f t="shared" si="26"/>
        <v>123057.28299042645</v>
      </c>
      <c r="G57" s="80">
        <f t="shared" si="26"/>
        <v>119533.058814055</v>
      </c>
      <c r="H57" s="80">
        <f t="shared" si="26"/>
        <v>83567.010398062106</v>
      </c>
      <c r="I57" s="80">
        <f t="shared" si="26"/>
        <v>17108.02500991433</v>
      </c>
      <c r="J57" s="80">
        <f t="shared" si="26"/>
        <v>14320.602196008114</v>
      </c>
      <c r="K57" s="80">
        <f t="shared" si="26"/>
        <v>0</v>
      </c>
      <c r="L57" s="80">
        <f t="shared" si="26"/>
        <v>0</v>
      </c>
      <c r="M57" s="80">
        <f t="shared" si="26"/>
        <v>0</v>
      </c>
      <c r="N57" s="80">
        <f t="shared" si="26"/>
        <v>0</v>
      </c>
      <c r="O57" s="80">
        <f t="shared" si="26"/>
        <v>0</v>
      </c>
      <c r="P57" s="80">
        <f t="shared" si="26"/>
        <v>0</v>
      </c>
      <c r="Q57" s="80">
        <f t="shared" si="26"/>
        <v>0</v>
      </c>
      <c r="R57" s="80">
        <f t="shared" si="26"/>
        <v>0</v>
      </c>
      <c r="S57" s="80">
        <f t="shared" si="26"/>
        <v>0</v>
      </c>
      <c r="T57" s="80">
        <f t="shared" si="26"/>
        <v>0</v>
      </c>
      <c r="U57" s="80">
        <f t="shared" si="26"/>
        <v>0</v>
      </c>
      <c r="V57" s="80">
        <f t="shared" si="26"/>
        <v>0</v>
      </c>
      <c r="W57" s="80">
        <f t="shared" si="26"/>
        <v>0</v>
      </c>
      <c r="X57" s="80">
        <f t="shared" si="24"/>
        <v>0</v>
      </c>
      <c r="Y57" s="80">
        <f t="shared" si="24"/>
        <v>0</v>
      </c>
      <c r="Z57" s="80">
        <f t="shared" si="24"/>
        <v>0</v>
      </c>
      <c r="AA57" s="80">
        <f t="shared" si="24"/>
        <v>0</v>
      </c>
    </row>
    <row r="58" spans="1:27" s="82" customFormat="1" x14ac:dyDescent="0.2">
      <c r="A58" s="83" t="str">
        <f>A$27</f>
        <v>Closing asset value</v>
      </c>
      <c r="B58" s="83"/>
      <c r="C58" s="83"/>
      <c r="D58" s="107">
        <f t="shared" ref="D58:W58" si="27">SUM(D27,D33,D39,D45,D51)</f>
        <v>44948.841095514967</v>
      </c>
      <c r="E58" s="107">
        <f t="shared" si="27"/>
        <v>108917.75008762977</v>
      </c>
      <c r="F58" s="107">
        <f t="shared" si="27"/>
        <v>169260.1004220061</v>
      </c>
      <c r="G58" s="107">
        <f t="shared" si="27"/>
        <v>206065.19695045392</v>
      </c>
      <c r="H58" s="107">
        <f t="shared" si="27"/>
        <v>200419.02554125403</v>
      </c>
      <c r="I58" s="107">
        <f t="shared" si="27"/>
        <v>142597.50312584513</v>
      </c>
      <c r="J58" s="107">
        <f t="shared" si="27"/>
        <v>103722.3716353054</v>
      </c>
      <c r="K58" s="107">
        <f t="shared" si="27"/>
        <v>67294.002647412737</v>
      </c>
      <c r="L58" s="107">
        <f t="shared" si="27"/>
        <v>44074.664326682512</v>
      </c>
      <c r="M58" s="107">
        <f t="shared" si="27"/>
        <v>29178.418442699913</v>
      </c>
      <c r="N58" s="107">
        <f t="shared" si="27"/>
        <v>19548.559644187491</v>
      </c>
      <c r="O58" s="107">
        <f t="shared" si="27"/>
        <v>13267.758761371968</v>
      </c>
      <c r="P58" s="107">
        <f t="shared" si="27"/>
        <v>9129.5428199806283</v>
      </c>
      <c r="Q58" s="107">
        <f t="shared" si="27"/>
        <v>6371.8237998066634</v>
      </c>
      <c r="R58" s="107">
        <f t="shared" si="27"/>
        <v>4510.9849731845743</v>
      </c>
      <c r="S58" s="107">
        <f t="shared" si="27"/>
        <v>3238.420651782455</v>
      </c>
      <c r="T58" s="107">
        <f t="shared" si="27"/>
        <v>2355.9026738055168</v>
      </c>
      <c r="U58" s="107">
        <f t="shared" si="27"/>
        <v>1735.1135432582569</v>
      </c>
      <c r="V58" s="107">
        <f t="shared" si="27"/>
        <v>1292.2425129771768</v>
      </c>
      <c r="W58" s="107">
        <f t="shared" si="27"/>
        <v>971.98608979530331</v>
      </c>
      <c r="X58" s="107">
        <f t="shared" si="24"/>
        <v>737.43200730052718</v>
      </c>
      <c r="Y58" s="107">
        <f t="shared" si="24"/>
        <v>563.63295957343973</v>
      </c>
      <c r="Z58" s="107">
        <f t="shared" si="24"/>
        <v>433.50120983818567</v>
      </c>
      <c r="AA58" s="107">
        <f t="shared" si="24"/>
        <v>335.16829164850515</v>
      </c>
    </row>
    <row r="59" spans="1:27" s="82" customFormat="1" x14ac:dyDescent="0.2">
      <c r="A59" s="556" t="s">
        <v>0</v>
      </c>
      <c r="B59" s="544"/>
      <c r="C59" s="544">
        <f>SUM(D59:AA59)</f>
        <v>1.5154455468291417E-10</v>
      </c>
      <c r="D59" s="547">
        <f>ABS(D55-D56+D57-D58)</f>
        <v>0</v>
      </c>
      <c r="E59" s="547">
        <f t="shared" ref="E59:W59" si="28">ABS(E55-E56+E57-E58)</f>
        <v>0</v>
      </c>
      <c r="F59" s="547">
        <f t="shared" si="28"/>
        <v>0</v>
      </c>
      <c r="G59" s="547">
        <f t="shared" si="28"/>
        <v>0</v>
      </c>
      <c r="H59" s="547">
        <f t="shared" si="28"/>
        <v>5.8207660913467407E-11</v>
      </c>
      <c r="I59" s="547">
        <f t="shared" si="28"/>
        <v>2.9103830456733704E-11</v>
      </c>
      <c r="J59" s="547">
        <f t="shared" si="28"/>
        <v>2.9103830456733704E-11</v>
      </c>
      <c r="K59" s="547">
        <f t="shared" si="28"/>
        <v>0</v>
      </c>
      <c r="L59" s="547">
        <f t="shared" si="28"/>
        <v>1.4551915228366852E-11</v>
      </c>
      <c r="M59" s="547">
        <f t="shared" si="28"/>
        <v>7.2759576141834259E-12</v>
      </c>
      <c r="N59" s="547">
        <f t="shared" si="28"/>
        <v>3.637978807091713E-12</v>
      </c>
      <c r="O59" s="547">
        <f t="shared" si="28"/>
        <v>5.4569682106375694E-12</v>
      </c>
      <c r="P59" s="547">
        <f t="shared" si="28"/>
        <v>0</v>
      </c>
      <c r="Q59" s="547">
        <f t="shared" si="28"/>
        <v>1.8189894035458565E-12</v>
      </c>
      <c r="R59" s="547">
        <f t="shared" si="28"/>
        <v>9.0949470177292824E-13</v>
      </c>
      <c r="S59" s="547">
        <f t="shared" si="28"/>
        <v>9.0949470177292824E-13</v>
      </c>
      <c r="T59" s="547">
        <f t="shared" si="28"/>
        <v>0</v>
      </c>
      <c r="U59" s="547">
        <f t="shared" si="28"/>
        <v>2.2737367544323206E-13</v>
      </c>
      <c r="V59" s="547">
        <f t="shared" si="28"/>
        <v>0</v>
      </c>
      <c r="W59" s="547">
        <f t="shared" si="28"/>
        <v>2.2737367544323206E-13</v>
      </c>
      <c r="X59" s="547">
        <f>ABS(X55-X56+X57-X58)</f>
        <v>0</v>
      </c>
      <c r="Y59" s="547">
        <f>ABS(Y55-Y56+Y57-Y58)</f>
        <v>1.1368683772161603E-13</v>
      </c>
      <c r="Z59" s="547">
        <f>ABS(Z55-Z56+Z57-Z58)</f>
        <v>0</v>
      </c>
      <c r="AA59" s="547">
        <f>ABS(AA55-AA56+AA57-AA58)</f>
        <v>0</v>
      </c>
    </row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zoomScale="85" workbookViewId="0">
      <pane ySplit="1" topLeftCell="A2" activePane="bottomLeft" state="frozen"/>
      <selection pane="bottomLeft" activeCell="B2" sqref="B2"/>
    </sheetView>
  </sheetViews>
  <sheetFormatPr defaultRowHeight="12.75" outlineLevelRow="1" x14ac:dyDescent="0.2"/>
  <cols>
    <col min="1" max="1" width="44.7109375" style="82" customWidth="1"/>
    <col min="2" max="2" width="14.28515625" style="82" customWidth="1"/>
    <col min="3" max="3" width="12.140625" style="82" customWidth="1"/>
    <col min="4" max="16384" width="9.140625" style="82"/>
  </cols>
  <sheetData>
    <row r="1" spans="1:27" x14ac:dyDescent="0.2">
      <c r="A1" s="542" t="str">
        <f>'Data 2006-08'!$A$1</f>
        <v>Powercor</v>
      </c>
      <c r="B1" s="488" t="s">
        <v>0</v>
      </c>
      <c r="C1" s="489" t="str">
        <f>IF(SUM(C14,C77,C85,C129,C174)&lt;0.001,"Ok","Error")</f>
        <v>Ok</v>
      </c>
      <c r="D1" s="461">
        <v>2009</v>
      </c>
      <c r="E1" s="461">
        <v>2010</v>
      </c>
      <c r="F1" s="461">
        <v>2011</v>
      </c>
      <c r="G1" s="461">
        <v>2012</v>
      </c>
      <c r="H1" s="461">
        <v>2013</v>
      </c>
      <c r="I1" s="461">
        <v>2014</v>
      </c>
      <c r="J1" s="461">
        <v>2015</v>
      </c>
      <c r="K1" s="461">
        <v>2016</v>
      </c>
      <c r="L1" s="461">
        <v>2017</v>
      </c>
      <c r="M1" s="461">
        <v>2018</v>
      </c>
      <c r="N1" s="461">
        <v>2019</v>
      </c>
      <c r="O1" s="461">
        <v>2020</v>
      </c>
      <c r="P1" s="461">
        <v>2021</v>
      </c>
      <c r="Q1" s="461">
        <v>2022</v>
      </c>
      <c r="R1" s="461">
        <v>2023</v>
      </c>
      <c r="S1" s="461">
        <v>2024</v>
      </c>
      <c r="T1" s="461">
        <v>2025</v>
      </c>
      <c r="U1" s="461">
        <v>2026</v>
      </c>
      <c r="V1" s="461">
        <v>2027</v>
      </c>
      <c r="W1" s="461">
        <v>2028</v>
      </c>
      <c r="X1" s="461">
        <v>2029</v>
      </c>
      <c r="Y1" s="461">
        <v>2030</v>
      </c>
      <c r="Z1" s="461">
        <v>2031</v>
      </c>
      <c r="AA1" s="461">
        <v>2032</v>
      </c>
    </row>
    <row r="2" spans="1:27" x14ac:dyDescent="0.2">
      <c r="C2" s="775">
        <f>SUM(C14,C77,C85,C129,C174)</f>
        <v>0</v>
      </c>
    </row>
    <row r="3" spans="1:27" s="454" customFormat="1" x14ac:dyDescent="0.2">
      <c r="A3" s="453" t="s">
        <v>321</v>
      </c>
      <c r="B3" s="453"/>
      <c r="C3" s="453"/>
      <c r="D3" s="82"/>
      <c r="E3" s="82"/>
      <c r="F3" s="82"/>
      <c r="G3" s="82"/>
    </row>
    <row r="4" spans="1:27" s="454" customFormat="1" x14ac:dyDescent="0.2">
      <c r="A4" s="407" t="s">
        <v>296</v>
      </c>
      <c r="B4" s="407"/>
      <c r="C4" s="407"/>
      <c r="D4" s="461">
        <f>D$1</f>
        <v>2009</v>
      </c>
      <c r="E4" s="461">
        <f t="shared" ref="E4:AA4" si="0">E$1</f>
        <v>2010</v>
      </c>
      <c r="F4" s="461">
        <f t="shared" si="0"/>
        <v>2011</v>
      </c>
      <c r="G4" s="461">
        <f t="shared" si="0"/>
        <v>2012</v>
      </c>
      <c r="H4" s="461">
        <f t="shared" si="0"/>
        <v>2013</v>
      </c>
      <c r="I4" s="461">
        <f t="shared" si="0"/>
        <v>2014</v>
      </c>
      <c r="J4" s="461">
        <f t="shared" si="0"/>
        <v>2015</v>
      </c>
      <c r="K4" s="461">
        <f t="shared" si="0"/>
        <v>2016</v>
      </c>
      <c r="L4" s="461">
        <f t="shared" si="0"/>
        <v>2017</v>
      </c>
      <c r="M4" s="461">
        <f t="shared" si="0"/>
        <v>2018</v>
      </c>
      <c r="N4" s="461">
        <f t="shared" si="0"/>
        <v>2019</v>
      </c>
      <c r="O4" s="461">
        <f t="shared" si="0"/>
        <v>2020</v>
      </c>
      <c r="P4" s="461">
        <f t="shared" si="0"/>
        <v>2021</v>
      </c>
      <c r="Q4" s="461">
        <f t="shared" si="0"/>
        <v>2022</v>
      </c>
      <c r="R4" s="461">
        <f t="shared" si="0"/>
        <v>2023</v>
      </c>
      <c r="S4" s="461">
        <f t="shared" si="0"/>
        <v>2024</v>
      </c>
      <c r="T4" s="461">
        <f t="shared" si="0"/>
        <v>2025</v>
      </c>
      <c r="U4" s="461">
        <f t="shared" si="0"/>
        <v>2026</v>
      </c>
      <c r="V4" s="461">
        <f t="shared" si="0"/>
        <v>2027</v>
      </c>
      <c r="W4" s="461">
        <f t="shared" si="0"/>
        <v>2028</v>
      </c>
      <c r="X4" s="461">
        <f t="shared" si="0"/>
        <v>2029</v>
      </c>
      <c r="Y4" s="461">
        <f t="shared" si="0"/>
        <v>2030</v>
      </c>
      <c r="Z4" s="461">
        <f t="shared" si="0"/>
        <v>2031</v>
      </c>
      <c r="AA4" s="461">
        <f t="shared" si="0"/>
        <v>2032</v>
      </c>
    </row>
    <row r="5" spans="1:27" s="454" customFormat="1" x14ac:dyDescent="0.2">
      <c r="A5" s="71" t="s">
        <v>322</v>
      </c>
      <c r="B5" s="71"/>
      <c r="C5" s="71"/>
      <c r="D5" s="80">
        <f>D82+D126</f>
        <v>33370.949469636063</v>
      </c>
      <c r="E5" s="80">
        <f>D10</f>
        <v>59245.530875215554</v>
      </c>
      <c r="F5" s="80">
        <f>E10</f>
        <v>136712.05983084132</v>
      </c>
      <c r="G5" s="80">
        <f t="shared" ref="G5:W5" si="1">F10</f>
        <v>222856.16424558483</v>
      </c>
      <c r="H5" s="80">
        <f t="shared" si="1"/>
        <v>292449.91104980314</v>
      </c>
      <c r="I5" s="80">
        <f t="shared" si="1"/>
        <v>321377.15357185318</v>
      </c>
      <c r="J5" s="80">
        <f t="shared" si="1"/>
        <v>298666.58168456965</v>
      </c>
      <c r="K5" s="80">
        <f t="shared" si="1"/>
        <v>273098.0661583952</v>
      </c>
      <c r="L5" s="80">
        <f t="shared" si="1"/>
        <v>237678.78117814139</v>
      </c>
      <c r="M5" s="80">
        <f t="shared" si="1"/>
        <v>205680.56071302539</v>
      </c>
      <c r="N5" s="80">
        <f t="shared" si="1"/>
        <v>177187.84953097184</v>
      </c>
      <c r="O5" s="80">
        <f t="shared" si="1"/>
        <v>151839.66700056399</v>
      </c>
      <c r="P5" s="80">
        <f t="shared" si="1"/>
        <v>128467.62533227322</v>
      </c>
      <c r="Q5" s="80">
        <f t="shared" si="1"/>
        <v>106338.5488728886</v>
      </c>
      <c r="R5" s="80">
        <f t="shared" si="1"/>
        <v>85203.566708885221</v>
      </c>
      <c r="S5" s="80">
        <f t="shared" si="1"/>
        <v>64472.207486804022</v>
      </c>
      <c r="T5" s="80">
        <f t="shared" si="1"/>
        <v>43811.045499166066</v>
      </c>
      <c r="U5" s="80">
        <f t="shared" si="1"/>
        <v>25291.546376511102</v>
      </c>
      <c r="V5" s="80">
        <f t="shared" si="1"/>
        <v>11676.20021897323</v>
      </c>
      <c r="W5" s="80">
        <f t="shared" si="1"/>
        <v>3765.618785821418</v>
      </c>
      <c r="X5" s="80">
        <f>W10</f>
        <v>830.65690003215013</v>
      </c>
      <c r="Y5" s="80">
        <f>X10</f>
        <v>207.47351795720249</v>
      </c>
      <c r="Z5" s="80">
        <f>Y10</f>
        <v>4.4337866711430252E-12</v>
      </c>
      <c r="AA5" s="80">
        <f>Z10</f>
        <v>4.4337866711430252E-12</v>
      </c>
    </row>
    <row r="6" spans="1:27" s="454" customFormat="1" x14ac:dyDescent="0.2">
      <c r="A6" s="71" t="s">
        <v>323</v>
      </c>
      <c r="B6" s="71"/>
      <c r="C6" s="71"/>
      <c r="D6" s="80">
        <f>'Data 2009-15 (Real $2008)'!D16/10^3</f>
        <v>34685.629104773543</v>
      </c>
      <c r="E6" s="80">
        <f>'Data 2009-15 (Real $2008)'!E16/10^3</f>
        <v>93930.880038998657</v>
      </c>
      <c r="F6" s="80">
        <f>'Data 2009-15 (Real $2008)'!F16/10^3</f>
        <v>112619.07144998059</v>
      </c>
      <c r="G6" s="80">
        <f>'Data 2009-15 (Real $2008)'!G16/10^3</f>
        <v>105674.15344430949</v>
      </c>
      <c r="H6" s="80">
        <f>'Data 2009-15 (Real $2008)'!H16/10^3</f>
        <v>72426.645867333325</v>
      </c>
      <c r="I6" s="80">
        <f>'Data 2009-15 (Real $2008)'!I16/10^3</f>
        <v>14513.689333243656</v>
      </c>
      <c r="J6" s="80">
        <f>'Data 2009-15 (Real $2008)'!J16/10^3</f>
        <v>11874.926725626323</v>
      </c>
      <c r="K6" s="475"/>
      <c r="L6" s="475"/>
      <c r="M6" s="475"/>
      <c r="N6" s="475"/>
      <c r="O6" s="475"/>
      <c r="P6" s="475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</row>
    <row r="7" spans="1:27" s="454" customFormat="1" x14ac:dyDescent="0.2">
      <c r="A7" s="71" t="s">
        <v>4</v>
      </c>
      <c r="B7" s="71"/>
      <c r="C7" s="71"/>
      <c r="D7" s="80">
        <f>'Data 2009-15 (Real $2008)'!D40/10^3</f>
        <v>0</v>
      </c>
      <c r="E7" s="80">
        <f>'Data 2009-15 (Real $2008)'!E40/10^3</f>
        <v>0</v>
      </c>
      <c r="F7" s="80">
        <f>'Data 2009-15 (Real $2008)'!F40/10^3</f>
        <v>0</v>
      </c>
      <c r="G7" s="80">
        <f>'Data 2009-15 (Real $2008)'!G40/10^3</f>
        <v>0</v>
      </c>
      <c r="H7" s="80">
        <f>'Data 2009-15 (Real $2008)'!H40/10^3</f>
        <v>0</v>
      </c>
      <c r="I7" s="80">
        <f>'Data 2009-15 (Real $2008)'!I40/10^3</f>
        <v>0</v>
      </c>
      <c r="J7" s="80">
        <f>'Data 2009-15 (Real $2008)'!J40/10^3</f>
        <v>0</v>
      </c>
      <c r="K7" s="475"/>
      <c r="L7" s="475"/>
      <c r="M7" s="475"/>
      <c r="N7" s="475"/>
      <c r="O7" s="475"/>
      <c r="P7" s="475"/>
      <c r="Q7" s="475"/>
      <c r="R7" s="475"/>
      <c r="S7" s="475"/>
      <c r="T7" s="475"/>
      <c r="U7" s="475"/>
      <c r="V7" s="475"/>
      <c r="W7" s="475"/>
      <c r="X7" s="475"/>
      <c r="Y7" s="475"/>
      <c r="Z7" s="475"/>
      <c r="AA7" s="475"/>
    </row>
    <row r="8" spans="1:27" s="454" customFormat="1" x14ac:dyDescent="0.2">
      <c r="A8" s="82" t="s">
        <v>5</v>
      </c>
      <c r="B8" s="82"/>
      <c r="C8" s="82"/>
      <c r="D8" s="80">
        <f>'Data 2009-15 (Real $2008)'!D49/10^3</f>
        <v>0</v>
      </c>
      <c r="E8" s="80">
        <f>'Data 2009-15 (Real $2008)'!E49/10^3</f>
        <v>0</v>
      </c>
      <c r="F8" s="80">
        <f>'Data 2009-15 (Real $2008)'!F49/10^3</f>
        <v>0</v>
      </c>
      <c r="G8" s="80">
        <f>'Data 2009-15 (Real $2008)'!G49/10^3</f>
        <v>0</v>
      </c>
      <c r="H8" s="80">
        <f>'Data 2009-15 (Real $2008)'!H49/10^3</f>
        <v>0</v>
      </c>
      <c r="I8" s="80">
        <f>'Data 2009-15 (Real $2008)'!I49/10^3</f>
        <v>0</v>
      </c>
      <c r="J8" s="80">
        <f>'Data 2009-15 (Real $2008)'!J49/10^3</f>
        <v>0</v>
      </c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</row>
    <row r="9" spans="1:27" s="454" customFormat="1" x14ac:dyDescent="0.2">
      <c r="A9" s="71" t="s">
        <v>138</v>
      </c>
      <c r="B9" s="71"/>
      <c r="C9" s="71"/>
      <c r="D9" s="80">
        <f>SUM(D83,D127,D172)</f>
        <v>8811.0476991940486</v>
      </c>
      <c r="E9" s="80">
        <f t="shared" ref="E9:W9" si="2">SUM(E83,E127,E172)</f>
        <v>16464.351083372891</v>
      </c>
      <c r="F9" s="80">
        <f t="shared" si="2"/>
        <v>26474.967035237078</v>
      </c>
      <c r="G9" s="80">
        <f t="shared" si="2"/>
        <v>36080.40664009122</v>
      </c>
      <c r="H9" s="80">
        <f t="shared" si="2"/>
        <v>43499.403345283274</v>
      </c>
      <c r="I9" s="80">
        <f t="shared" si="2"/>
        <v>37224.261220527194</v>
      </c>
      <c r="J9" s="80">
        <f t="shared" si="2"/>
        <v>37443.442251800785</v>
      </c>
      <c r="K9" s="80">
        <f t="shared" si="2"/>
        <v>35419.284980253804</v>
      </c>
      <c r="L9" s="80">
        <f t="shared" si="2"/>
        <v>31998.220465115992</v>
      </c>
      <c r="M9" s="80">
        <f t="shared" si="2"/>
        <v>28492.711182053543</v>
      </c>
      <c r="N9" s="80">
        <f t="shared" si="2"/>
        <v>25348.182530407845</v>
      </c>
      <c r="O9" s="80">
        <f t="shared" si="2"/>
        <v>23372.041668290774</v>
      </c>
      <c r="P9" s="80">
        <f t="shared" si="2"/>
        <v>22129.076459384625</v>
      </c>
      <c r="Q9" s="80">
        <f t="shared" si="2"/>
        <v>21134.98216400337</v>
      </c>
      <c r="R9" s="80">
        <f t="shared" si="2"/>
        <v>20731.359222081202</v>
      </c>
      <c r="S9" s="80">
        <f t="shared" si="2"/>
        <v>20661.161987637959</v>
      </c>
      <c r="T9" s="80">
        <f t="shared" si="2"/>
        <v>18519.499122654965</v>
      </c>
      <c r="U9" s="80">
        <f t="shared" si="2"/>
        <v>13615.346157537871</v>
      </c>
      <c r="V9" s="80">
        <f t="shared" si="2"/>
        <v>7910.5814331518122</v>
      </c>
      <c r="W9" s="80">
        <f t="shared" si="2"/>
        <v>2934.9618857892679</v>
      </c>
      <c r="X9" s="80">
        <f>SUM(X83,X127,X172)</f>
        <v>623.18338207494764</v>
      </c>
      <c r="Y9" s="80">
        <f>SUM(Y83,Y127,Y172)</f>
        <v>207.47351795719806</v>
      </c>
      <c r="Z9" s="80">
        <f>SUM(Z83,Z127,Z172)</f>
        <v>0</v>
      </c>
      <c r="AA9" s="80">
        <f>SUM(AA83,AA127,AA172)</f>
        <v>0</v>
      </c>
    </row>
    <row r="10" spans="1:27" s="454" customFormat="1" x14ac:dyDescent="0.2">
      <c r="A10" s="71" t="s">
        <v>324</v>
      </c>
      <c r="B10" s="71"/>
      <c r="C10" s="71"/>
      <c r="D10" s="107">
        <f>D5+D6-SUM(D7:D9)</f>
        <v>59245.530875215554</v>
      </c>
      <c r="E10" s="107">
        <f>E5+E6-SUM(E7:E9)</f>
        <v>136712.05983084132</v>
      </c>
      <c r="F10" s="107">
        <f>F5+F6-SUM(F7:F9)</f>
        <v>222856.16424558483</v>
      </c>
      <c r="G10" s="107">
        <f t="shared" ref="G10:W10" si="3">G5+G6-SUM(G7:G9)</f>
        <v>292449.91104980314</v>
      </c>
      <c r="H10" s="107">
        <f t="shared" si="3"/>
        <v>321377.15357185318</v>
      </c>
      <c r="I10" s="107">
        <f t="shared" si="3"/>
        <v>298666.58168456965</v>
      </c>
      <c r="J10" s="107">
        <f t="shared" si="3"/>
        <v>273098.0661583952</v>
      </c>
      <c r="K10" s="107">
        <f t="shared" si="3"/>
        <v>237678.78117814139</v>
      </c>
      <c r="L10" s="107">
        <f t="shared" si="3"/>
        <v>205680.56071302539</v>
      </c>
      <c r="M10" s="107">
        <f t="shared" si="3"/>
        <v>177187.84953097184</v>
      </c>
      <c r="N10" s="107">
        <f t="shared" si="3"/>
        <v>151839.66700056399</v>
      </c>
      <c r="O10" s="107">
        <f t="shared" si="3"/>
        <v>128467.62533227322</v>
      </c>
      <c r="P10" s="107">
        <f t="shared" si="3"/>
        <v>106338.5488728886</v>
      </c>
      <c r="Q10" s="107">
        <f t="shared" si="3"/>
        <v>85203.566708885221</v>
      </c>
      <c r="R10" s="107">
        <f t="shared" si="3"/>
        <v>64472.207486804022</v>
      </c>
      <c r="S10" s="107">
        <f t="shared" si="3"/>
        <v>43811.045499166066</v>
      </c>
      <c r="T10" s="107">
        <f t="shared" si="3"/>
        <v>25291.546376511102</v>
      </c>
      <c r="U10" s="107">
        <f t="shared" si="3"/>
        <v>11676.20021897323</v>
      </c>
      <c r="V10" s="107">
        <f t="shared" si="3"/>
        <v>3765.618785821418</v>
      </c>
      <c r="W10" s="107">
        <f t="shared" si="3"/>
        <v>830.65690003215013</v>
      </c>
      <c r="X10" s="107">
        <f>X5+X6-SUM(X7:X9)</f>
        <v>207.47351795720249</v>
      </c>
      <c r="Y10" s="107">
        <f>Y5+Y6-SUM(Y7:Y9)</f>
        <v>4.4337866711430252E-12</v>
      </c>
      <c r="Z10" s="107">
        <f>Z5+Z6-SUM(Z7:Z9)</f>
        <v>4.4337866711430252E-12</v>
      </c>
      <c r="AA10" s="107">
        <f>AA5+AA6-SUM(AA7:AA9)</f>
        <v>4.4337866711430252E-12</v>
      </c>
    </row>
    <row r="11" spans="1:27" s="454" customFormat="1" x14ac:dyDescent="0.2">
      <c r="A11" s="71"/>
      <c r="B11" s="71"/>
      <c r="C11" s="71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</row>
    <row r="12" spans="1:27" s="454" customFormat="1" x14ac:dyDescent="0.2">
      <c r="A12" s="71" t="s">
        <v>325</v>
      </c>
      <c r="B12" s="71"/>
      <c r="C12" s="71"/>
      <c r="D12" s="80">
        <f>AVERAGE(D5,D10)</f>
        <v>46308.240172425809</v>
      </c>
      <c r="E12" s="80">
        <f>AVERAGE(E5,E10)</f>
        <v>97978.795353028429</v>
      </c>
      <c r="F12" s="80">
        <f>AVERAGE(F5,F10)</f>
        <v>179784.11203821306</v>
      </c>
      <c r="G12" s="80">
        <f t="shared" ref="G12:W12" si="4">AVERAGE(G5,G10)</f>
        <v>257653.037647694</v>
      </c>
      <c r="H12" s="80">
        <f t="shared" si="4"/>
        <v>306913.53231082816</v>
      </c>
      <c r="I12" s="80">
        <f t="shared" si="4"/>
        <v>310021.86762821139</v>
      </c>
      <c r="J12" s="80">
        <f t="shared" si="4"/>
        <v>285882.32392148243</v>
      </c>
      <c r="K12" s="80">
        <f t="shared" si="4"/>
        <v>255388.42366826831</v>
      </c>
      <c r="L12" s="80">
        <f t="shared" si="4"/>
        <v>221679.67094558338</v>
      </c>
      <c r="M12" s="80">
        <f t="shared" si="4"/>
        <v>191434.20512199862</v>
      </c>
      <c r="N12" s="80">
        <f t="shared" si="4"/>
        <v>164513.75826576792</v>
      </c>
      <c r="O12" s="80">
        <f t="shared" si="4"/>
        <v>140153.64616641862</v>
      </c>
      <c r="P12" s="80">
        <f t="shared" si="4"/>
        <v>117403.0871025809</v>
      </c>
      <c r="Q12" s="80">
        <f t="shared" si="4"/>
        <v>95771.057790886902</v>
      </c>
      <c r="R12" s="80">
        <f t="shared" si="4"/>
        <v>74837.887097844621</v>
      </c>
      <c r="S12" s="80">
        <f t="shared" si="4"/>
        <v>54141.626492985044</v>
      </c>
      <c r="T12" s="80">
        <f t="shared" si="4"/>
        <v>34551.295937838586</v>
      </c>
      <c r="U12" s="80">
        <f t="shared" si="4"/>
        <v>18483.873297742168</v>
      </c>
      <c r="V12" s="80">
        <f t="shared" si="4"/>
        <v>7720.9095023973241</v>
      </c>
      <c r="W12" s="80">
        <f t="shared" si="4"/>
        <v>2298.1378429267843</v>
      </c>
      <c r="X12" s="80">
        <f>AVERAGE(X5,X10)</f>
        <v>519.06520899467637</v>
      </c>
      <c r="Y12" s="80">
        <f>AVERAGE(Y5,Y10)</f>
        <v>103.73675897860346</v>
      </c>
      <c r="Z12" s="80">
        <f>AVERAGE(Z5,Z10)</f>
        <v>4.4337866711430252E-12</v>
      </c>
      <c r="AA12" s="80">
        <f>AVERAGE(AA5,AA10)</f>
        <v>4.4337866711430252E-12</v>
      </c>
    </row>
    <row r="13" spans="1:27" s="454" customFormat="1" outlineLevel="1" x14ac:dyDescent="0.2">
      <c r="A13" s="455"/>
      <c r="B13" s="455"/>
      <c r="C13" s="455"/>
      <c r="D13" s="456"/>
      <c r="E13" s="456"/>
      <c r="F13" s="456"/>
    </row>
    <row r="14" spans="1:27" s="99" customFormat="1" outlineLevel="1" x14ac:dyDescent="0.2">
      <c r="A14" s="543" t="s">
        <v>0</v>
      </c>
      <c r="B14" s="546"/>
      <c r="C14" s="544">
        <f>SUM(D14:AA14)</f>
        <v>0</v>
      </c>
      <c r="D14" s="547">
        <f t="shared" ref="D14:W14" si="5">IF(ABS(D10-D84-D128-D173)&lt;0.001,0,ABS(D10-D84-D128-D173))</f>
        <v>0</v>
      </c>
      <c r="E14" s="547">
        <f t="shared" si="5"/>
        <v>0</v>
      </c>
      <c r="F14" s="547">
        <f t="shared" si="5"/>
        <v>0</v>
      </c>
      <c r="G14" s="547">
        <f t="shared" si="5"/>
        <v>0</v>
      </c>
      <c r="H14" s="547">
        <f t="shared" si="5"/>
        <v>0</v>
      </c>
      <c r="I14" s="547">
        <f t="shared" si="5"/>
        <v>0</v>
      </c>
      <c r="J14" s="547">
        <f t="shared" si="5"/>
        <v>0</v>
      </c>
      <c r="K14" s="547">
        <f t="shared" si="5"/>
        <v>0</v>
      </c>
      <c r="L14" s="547">
        <f t="shared" si="5"/>
        <v>0</v>
      </c>
      <c r="M14" s="547">
        <f t="shared" si="5"/>
        <v>0</v>
      </c>
      <c r="N14" s="547">
        <f t="shared" si="5"/>
        <v>0</v>
      </c>
      <c r="O14" s="547">
        <f t="shared" si="5"/>
        <v>0</v>
      </c>
      <c r="P14" s="547">
        <f t="shared" si="5"/>
        <v>0</v>
      </c>
      <c r="Q14" s="547">
        <f t="shared" si="5"/>
        <v>0</v>
      </c>
      <c r="R14" s="547">
        <f t="shared" si="5"/>
        <v>0</v>
      </c>
      <c r="S14" s="547">
        <f t="shared" si="5"/>
        <v>0</v>
      </c>
      <c r="T14" s="547">
        <f t="shared" si="5"/>
        <v>0</v>
      </c>
      <c r="U14" s="547">
        <f t="shared" si="5"/>
        <v>0</v>
      </c>
      <c r="V14" s="547">
        <f t="shared" si="5"/>
        <v>0</v>
      </c>
      <c r="W14" s="547">
        <f t="shared" si="5"/>
        <v>0</v>
      </c>
      <c r="X14" s="547">
        <f>IF(ABS(X10-X84-X128-X173)&lt;0.001,0,ABS(X10-X84-X128-X173))</f>
        <v>0</v>
      </c>
      <c r="Y14" s="547">
        <f>IF(ABS(Y10-Y84-Y128-Y173)&lt;0.001,0,ABS(Y10-Y84-Y128-Y173))</f>
        <v>0</v>
      </c>
      <c r="Z14" s="547">
        <f>IF(ABS(Z10-Z84-Z128-Z173)&lt;0.001,0,ABS(Z10-Z84-Z128-Z173))</f>
        <v>0</v>
      </c>
      <c r="AA14" s="547">
        <f>IF(ABS(AA10-AA84-AA128-AA173)&lt;0.001,0,ABS(AA10-AA84-AA128-AA173))</f>
        <v>0</v>
      </c>
    </row>
    <row r="15" spans="1:27" s="83" customFormat="1" outlineLevel="1" x14ac:dyDescent="0.2">
      <c r="A15" s="485"/>
      <c r="C15" s="486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  <c r="Q15" s="487"/>
      <c r="R15" s="487"/>
      <c r="S15" s="487"/>
      <c r="T15" s="487"/>
      <c r="U15" s="487"/>
      <c r="V15" s="487"/>
      <c r="W15" s="487"/>
      <c r="X15" s="487"/>
      <c r="Y15" s="487"/>
      <c r="Z15" s="487"/>
      <c r="AA15" s="487"/>
    </row>
    <row r="16" spans="1:27" s="83" customFormat="1" outlineLevel="1" x14ac:dyDescent="0.2">
      <c r="A16" s="485"/>
      <c r="C16" s="486"/>
      <c r="D16" s="487"/>
      <c r="E16" s="487"/>
      <c r="F16" s="487"/>
      <c r="G16" s="487"/>
      <c r="H16" s="487"/>
      <c r="I16" s="487"/>
      <c r="J16" s="487"/>
      <c r="K16" s="487"/>
      <c r="L16" s="487"/>
      <c r="M16" s="487"/>
      <c r="N16" s="487"/>
      <c r="O16" s="487"/>
      <c r="P16" s="487"/>
      <c r="Q16" s="487"/>
      <c r="R16" s="487"/>
      <c r="S16" s="487"/>
      <c r="T16" s="487"/>
      <c r="U16" s="487"/>
      <c r="V16" s="487"/>
      <c r="W16" s="487"/>
      <c r="X16" s="487"/>
      <c r="Y16" s="487"/>
      <c r="Z16" s="487"/>
      <c r="AA16" s="487"/>
    </row>
    <row r="17" spans="1:27" s="83" customFormat="1" outlineLevel="1" x14ac:dyDescent="0.2">
      <c r="A17" s="485"/>
      <c r="C17" s="486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7"/>
      <c r="Q17" s="487"/>
      <c r="R17" s="487"/>
      <c r="S17" s="487"/>
      <c r="T17" s="487"/>
      <c r="U17" s="487"/>
      <c r="V17" s="487"/>
      <c r="W17" s="487"/>
      <c r="X17" s="487"/>
      <c r="Y17" s="487"/>
      <c r="Z17" s="487"/>
      <c r="AA17" s="487"/>
    </row>
    <row r="18" spans="1:27" s="454" customFormat="1" outlineLevel="1" x14ac:dyDescent="0.2">
      <c r="A18" s="344" t="s">
        <v>268</v>
      </c>
      <c r="B18" s="453"/>
      <c r="C18" s="453"/>
      <c r="D18" s="82"/>
      <c r="E18" s="82"/>
      <c r="F18" s="82"/>
      <c r="G18" s="82"/>
    </row>
    <row r="19" spans="1:27" s="454" customFormat="1" outlineLevel="1" x14ac:dyDescent="0.2">
      <c r="A19" s="344" t="str">
        <f>$A$4</f>
        <v>($000 Real 2008)</v>
      </c>
      <c r="B19" s="407"/>
      <c r="C19" s="407"/>
      <c r="D19" s="461">
        <f>D$4</f>
        <v>2009</v>
      </c>
      <c r="E19" s="461">
        <f t="shared" ref="E19:AA19" si="6">E$4</f>
        <v>2010</v>
      </c>
      <c r="F19" s="461">
        <f t="shared" si="6"/>
        <v>2011</v>
      </c>
      <c r="G19" s="461">
        <f t="shared" si="6"/>
        <v>2012</v>
      </c>
      <c r="H19" s="461">
        <f t="shared" si="6"/>
        <v>2013</v>
      </c>
      <c r="I19" s="461">
        <f t="shared" si="6"/>
        <v>2014</v>
      </c>
      <c r="J19" s="461">
        <f t="shared" si="6"/>
        <v>2015</v>
      </c>
      <c r="K19" s="461">
        <f t="shared" si="6"/>
        <v>2016</v>
      </c>
      <c r="L19" s="461">
        <f t="shared" si="6"/>
        <v>2017</v>
      </c>
      <c r="M19" s="461">
        <f t="shared" si="6"/>
        <v>2018</v>
      </c>
      <c r="N19" s="461">
        <f t="shared" si="6"/>
        <v>2019</v>
      </c>
      <c r="O19" s="461">
        <f t="shared" si="6"/>
        <v>2020</v>
      </c>
      <c r="P19" s="461">
        <f t="shared" si="6"/>
        <v>2021</v>
      </c>
      <c r="Q19" s="461">
        <f t="shared" si="6"/>
        <v>2022</v>
      </c>
      <c r="R19" s="461">
        <f t="shared" si="6"/>
        <v>2023</v>
      </c>
      <c r="S19" s="461">
        <f t="shared" si="6"/>
        <v>2024</v>
      </c>
      <c r="T19" s="461">
        <f t="shared" si="6"/>
        <v>2025</v>
      </c>
      <c r="U19" s="461">
        <f t="shared" si="6"/>
        <v>2026</v>
      </c>
      <c r="V19" s="461">
        <f t="shared" si="6"/>
        <v>2027</v>
      </c>
      <c r="W19" s="461">
        <f t="shared" si="6"/>
        <v>2028</v>
      </c>
      <c r="X19" s="461">
        <f t="shared" si="6"/>
        <v>2029</v>
      </c>
      <c r="Y19" s="461">
        <f t="shared" si="6"/>
        <v>2030</v>
      </c>
      <c r="Z19" s="461">
        <f t="shared" si="6"/>
        <v>2031</v>
      </c>
      <c r="AA19" s="461">
        <f t="shared" si="6"/>
        <v>2032</v>
      </c>
    </row>
    <row r="20" spans="1:27" s="454" customFormat="1" outlineLevel="1" x14ac:dyDescent="0.2">
      <c r="A20" s="71" t="s">
        <v>322</v>
      </c>
      <c r="B20" s="71"/>
      <c r="C20" s="71"/>
      <c r="D20" s="80">
        <f>B92</f>
        <v>9193.5477957063704</v>
      </c>
      <c r="E20" s="80">
        <f>D25</f>
        <v>11192.544452110144</v>
      </c>
      <c r="F20" s="80">
        <f t="shared" ref="F20:W20" si="7">E25</f>
        <v>11540.169011357571</v>
      </c>
      <c r="G20" s="80">
        <f t="shared" si="7"/>
        <v>8853.3573719294764</v>
      </c>
      <c r="H20" s="80">
        <f t="shared" si="7"/>
        <v>4986.1643384285071</v>
      </c>
      <c r="I20" s="80">
        <f t="shared" si="7"/>
        <v>0</v>
      </c>
      <c r="J20" s="80">
        <f t="shared" si="7"/>
        <v>4.5474735088646412E-13</v>
      </c>
      <c r="K20" s="80">
        <f t="shared" si="7"/>
        <v>4.5474735088646412E-13</v>
      </c>
      <c r="L20" s="80">
        <f t="shared" si="7"/>
        <v>4.5474735088646412E-13</v>
      </c>
      <c r="M20" s="80">
        <f t="shared" si="7"/>
        <v>4.5474735088646412E-13</v>
      </c>
      <c r="N20" s="80">
        <f t="shared" si="7"/>
        <v>4.5474735088646412E-13</v>
      </c>
      <c r="O20" s="80">
        <f t="shared" si="7"/>
        <v>4.5474735088646412E-13</v>
      </c>
      <c r="P20" s="80">
        <f t="shared" si="7"/>
        <v>4.5474735088646412E-13</v>
      </c>
      <c r="Q20" s="80">
        <f t="shared" si="7"/>
        <v>4.5474735088646412E-13</v>
      </c>
      <c r="R20" s="80">
        <f t="shared" si="7"/>
        <v>4.5474735088646412E-13</v>
      </c>
      <c r="S20" s="80">
        <f t="shared" si="7"/>
        <v>4.5474735088646412E-13</v>
      </c>
      <c r="T20" s="80">
        <f t="shared" si="7"/>
        <v>4.5474735088646412E-13</v>
      </c>
      <c r="U20" s="80">
        <f t="shared" si="7"/>
        <v>4.5474735088646412E-13</v>
      </c>
      <c r="V20" s="80">
        <f t="shared" si="7"/>
        <v>4.5474735088646412E-13</v>
      </c>
      <c r="W20" s="80">
        <f t="shared" si="7"/>
        <v>4.5474735088646412E-13</v>
      </c>
      <c r="X20" s="80">
        <f>W25</f>
        <v>4.5474735088646412E-13</v>
      </c>
      <c r="Y20" s="80">
        <f>X25</f>
        <v>4.5474735088646412E-13</v>
      </c>
      <c r="Z20" s="80">
        <f>Y25</f>
        <v>4.5474735088646412E-13</v>
      </c>
      <c r="AA20" s="80">
        <f>Z25</f>
        <v>4.5474735088646412E-13</v>
      </c>
    </row>
    <row r="21" spans="1:27" s="454" customFormat="1" outlineLevel="1" x14ac:dyDescent="0.2">
      <c r="A21" s="71" t="s">
        <v>323</v>
      </c>
      <c r="B21" s="71"/>
      <c r="C21" s="71"/>
      <c r="D21" s="80">
        <f>'Data 2009-15 (Real $2008)'!D10/10^3</f>
        <v>4317.4194924881767</v>
      </c>
      <c r="E21" s="80">
        <f>'Data 2009-15 (Real $2008)'!E10/10^3</f>
        <v>3670.0541176541242</v>
      </c>
      <c r="F21" s="80">
        <f>'Data 2009-15 (Real $2008)'!F10/10^3</f>
        <v>1449.8892054472012</v>
      </c>
      <c r="G21" s="80">
        <f>'Data 2009-15 (Real $2008)'!G10/10^3</f>
        <v>839.22847869565237</v>
      </c>
      <c r="H21" s="80">
        <f>'Data 2009-15 (Real $2008)'!H10/10^3</f>
        <v>81.80321129125025</v>
      </c>
      <c r="I21" s="80">
        <f>'Data 2009-15 (Real $2008)'!I10/10^3</f>
        <v>0</v>
      </c>
      <c r="J21" s="80">
        <f>'Data 2009-15 (Real $2008)'!J10/10^3</f>
        <v>0</v>
      </c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</row>
    <row r="22" spans="1:27" s="454" customFormat="1" outlineLevel="1" x14ac:dyDescent="0.2">
      <c r="A22" s="71" t="s">
        <v>4</v>
      </c>
      <c r="B22" s="71"/>
      <c r="C22" s="71"/>
      <c r="D22" s="80">
        <f>'Data 2009-15 (Real $2008)'!D34/10^3</f>
        <v>0</v>
      </c>
      <c r="E22" s="80">
        <f>'Data 2009-15 (Real $2008)'!E34/10^3</f>
        <v>0</v>
      </c>
      <c r="F22" s="80">
        <f>'Data 2009-15 (Real $2008)'!F34/10^3</f>
        <v>0</v>
      </c>
      <c r="G22" s="80">
        <f>'Data 2009-15 (Real $2008)'!G34/10^3</f>
        <v>0</v>
      </c>
      <c r="H22" s="80">
        <f>'Data 2009-15 (Real $2008)'!H34/10^3</f>
        <v>0</v>
      </c>
      <c r="I22" s="80">
        <f>'Data 2009-15 (Real $2008)'!I34/10^3</f>
        <v>0</v>
      </c>
      <c r="J22" s="80">
        <f>'Data 2009-15 (Real $2008)'!J34/10^3</f>
        <v>0</v>
      </c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</row>
    <row r="23" spans="1:27" s="454" customFormat="1" outlineLevel="1" x14ac:dyDescent="0.2">
      <c r="A23" s="82" t="s">
        <v>5</v>
      </c>
      <c r="B23" s="82"/>
      <c r="C23" s="82"/>
      <c r="D23" s="80">
        <f>'Data 2009-15 (Real $2008)'!D43/10^3</f>
        <v>0</v>
      </c>
      <c r="E23" s="80">
        <f>'Data 2009-15 (Real $2008)'!E43/10^3</f>
        <v>0</v>
      </c>
      <c r="F23" s="80">
        <f>'Data 2009-15 (Real $2008)'!F43/10^3</f>
        <v>0</v>
      </c>
      <c r="G23" s="80">
        <f>'Data 2009-15 (Real $2008)'!G43/10^3</f>
        <v>0</v>
      </c>
      <c r="H23" s="80">
        <f>'Data 2009-15 (Real $2008)'!H43/10^3</f>
        <v>0</v>
      </c>
      <c r="I23" s="80">
        <f>'Data 2009-15 (Real $2008)'!I43/10^3</f>
        <v>0</v>
      </c>
      <c r="J23" s="80">
        <f>'Data 2009-15 (Real $2008)'!J43/10^3</f>
        <v>0</v>
      </c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</row>
    <row r="24" spans="1:27" s="454" customFormat="1" outlineLevel="1" x14ac:dyDescent="0.2">
      <c r="A24" s="71" t="s">
        <v>138</v>
      </c>
      <c r="B24" s="71"/>
      <c r="C24" s="71"/>
      <c r="D24" s="80">
        <f>D92+D198</f>
        <v>2318.4228360844045</v>
      </c>
      <c r="E24" s="80">
        <f t="shared" ref="E24:W24" si="8">E92+E198</f>
        <v>3322.4295584066958</v>
      </c>
      <c r="F24" s="80">
        <f t="shared" si="8"/>
        <v>4136.7008448752968</v>
      </c>
      <c r="G24" s="80">
        <f t="shared" si="8"/>
        <v>4706.4215121966208</v>
      </c>
      <c r="H24" s="80">
        <f t="shared" si="8"/>
        <v>5067.9675497197559</v>
      </c>
      <c r="I24" s="80">
        <f t="shared" si="8"/>
        <v>-4.5474735088646412E-13</v>
      </c>
      <c r="J24" s="80">
        <f t="shared" si="8"/>
        <v>0</v>
      </c>
      <c r="K24" s="80">
        <f t="shared" si="8"/>
        <v>0</v>
      </c>
      <c r="L24" s="80">
        <f t="shared" si="8"/>
        <v>0</v>
      </c>
      <c r="M24" s="80">
        <f t="shared" si="8"/>
        <v>0</v>
      </c>
      <c r="N24" s="80">
        <f t="shared" si="8"/>
        <v>0</v>
      </c>
      <c r="O24" s="80">
        <f t="shared" si="8"/>
        <v>0</v>
      </c>
      <c r="P24" s="80">
        <f t="shared" si="8"/>
        <v>0</v>
      </c>
      <c r="Q24" s="80">
        <f t="shared" si="8"/>
        <v>0</v>
      </c>
      <c r="R24" s="80">
        <f t="shared" si="8"/>
        <v>0</v>
      </c>
      <c r="S24" s="80">
        <f t="shared" si="8"/>
        <v>0</v>
      </c>
      <c r="T24" s="80">
        <f t="shared" si="8"/>
        <v>0</v>
      </c>
      <c r="U24" s="80">
        <f t="shared" si="8"/>
        <v>0</v>
      </c>
      <c r="V24" s="80">
        <f t="shared" si="8"/>
        <v>0</v>
      </c>
      <c r="W24" s="80">
        <f t="shared" si="8"/>
        <v>0</v>
      </c>
      <c r="X24" s="80">
        <f>X92+X198</f>
        <v>0</v>
      </c>
      <c r="Y24" s="80">
        <f>Y92+Y198</f>
        <v>0</v>
      </c>
      <c r="Z24" s="80">
        <f>Z92+Z198</f>
        <v>0</v>
      </c>
      <c r="AA24" s="80">
        <f>AA92+AA198</f>
        <v>0</v>
      </c>
    </row>
    <row r="25" spans="1:27" s="454" customFormat="1" outlineLevel="1" x14ac:dyDescent="0.2">
      <c r="A25" s="71" t="s">
        <v>324</v>
      </c>
      <c r="B25" s="71"/>
      <c r="C25" s="71"/>
      <c r="D25" s="107">
        <f>D20+D21-SUM(D22:D24)</f>
        <v>11192.544452110144</v>
      </c>
      <c r="E25" s="107">
        <f t="shared" ref="E25:W25" si="9">E20+E21-SUM(E22:E24)</f>
        <v>11540.169011357571</v>
      </c>
      <c r="F25" s="107">
        <f t="shared" si="9"/>
        <v>8853.3573719294764</v>
      </c>
      <c r="G25" s="107">
        <f t="shared" si="9"/>
        <v>4986.1643384285071</v>
      </c>
      <c r="H25" s="107">
        <f t="shared" si="9"/>
        <v>0</v>
      </c>
      <c r="I25" s="107">
        <f t="shared" si="9"/>
        <v>4.5474735088646412E-13</v>
      </c>
      <c r="J25" s="107">
        <f t="shared" si="9"/>
        <v>4.5474735088646412E-13</v>
      </c>
      <c r="K25" s="107">
        <f t="shared" si="9"/>
        <v>4.5474735088646412E-13</v>
      </c>
      <c r="L25" s="107">
        <f t="shared" si="9"/>
        <v>4.5474735088646412E-13</v>
      </c>
      <c r="M25" s="107">
        <f t="shared" si="9"/>
        <v>4.5474735088646412E-13</v>
      </c>
      <c r="N25" s="107">
        <f t="shared" si="9"/>
        <v>4.5474735088646412E-13</v>
      </c>
      <c r="O25" s="107">
        <f t="shared" si="9"/>
        <v>4.5474735088646412E-13</v>
      </c>
      <c r="P25" s="107">
        <f t="shared" si="9"/>
        <v>4.5474735088646412E-13</v>
      </c>
      <c r="Q25" s="107">
        <f t="shared" si="9"/>
        <v>4.5474735088646412E-13</v>
      </c>
      <c r="R25" s="107">
        <f t="shared" si="9"/>
        <v>4.5474735088646412E-13</v>
      </c>
      <c r="S25" s="107">
        <f t="shared" si="9"/>
        <v>4.5474735088646412E-13</v>
      </c>
      <c r="T25" s="107">
        <f t="shared" si="9"/>
        <v>4.5474735088646412E-13</v>
      </c>
      <c r="U25" s="107">
        <f t="shared" si="9"/>
        <v>4.5474735088646412E-13</v>
      </c>
      <c r="V25" s="107">
        <f t="shared" si="9"/>
        <v>4.5474735088646412E-13</v>
      </c>
      <c r="W25" s="107">
        <f t="shared" si="9"/>
        <v>4.5474735088646412E-13</v>
      </c>
      <c r="X25" s="107">
        <f>X20+X21-SUM(X22:X24)</f>
        <v>4.5474735088646412E-13</v>
      </c>
      <c r="Y25" s="107">
        <f>Y20+Y21-SUM(Y22:Y24)</f>
        <v>4.5474735088646412E-13</v>
      </c>
      <c r="Z25" s="107">
        <f>Z20+Z21-SUM(Z22:Z24)</f>
        <v>4.5474735088646412E-13</v>
      </c>
      <c r="AA25" s="107">
        <f>AA20+AA21-SUM(AA22:AA24)</f>
        <v>4.5474735088646412E-13</v>
      </c>
    </row>
    <row r="26" spans="1:27" s="83" customFormat="1" outlineLevel="1" x14ac:dyDescent="0.2">
      <c r="A26" s="485"/>
      <c r="C26" s="486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487"/>
      <c r="X26" s="487"/>
      <c r="Y26" s="487"/>
      <c r="Z26" s="487"/>
      <c r="AA26" s="487"/>
    </row>
    <row r="27" spans="1:27" s="83" customFormat="1" outlineLevel="1" x14ac:dyDescent="0.2">
      <c r="A27" s="485"/>
      <c r="C27" s="486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487"/>
      <c r="X27" s="487"/>
      <c r="Y27" s="487"/>
      <c r="Z27" s="487"/>
      <c r="AA27" s="487"/>
    </row>
    <row r="28" spans="1:27" s="454" customFormat="1" outlineLevel="1" x14ac:dyDescent="0.2">
      <c r="A28" s="344" t="s">
        <v>267</v>
      </c>
      <c r="B28" s="453"/>
      <c r="C28" s="453"/>
      <c r="D28" s="82"/>
      <c r="E28" s="82"/>
      <c r="F28" s="82"/>
      <c r="G28" s="82"/>
    </row>
    <row r="29" spans="1:27" s="454" customFormat="1" outlineLevel="1" x14ac:dyDescent="0.2">
      <c r="A29" s="344" t="str">
        <f>$A$4</f>
        <v>($000 Real 2008)</v>
      </c>
      <c r="B29" s="407"/>
      <c r="C29" s="407"/>
      <c r="D29" s="461">
        <f>D$4</f>
        <v>2009</v>
      </c>
      <c r="E29" s="461">
        <f t="shared" ref="E29:AA29" si="10">E$4</f>
        <v>2010</v>
      </c>
      <c r="F29" s="461">
        <f t="shared" si="10"/>
        <v>2011</v>
      </c>
      <c r="G29" s="461">
        <f t="shared" si="10"/>
        <v>2012</v>
      </c>
      <c r="H29" s="461">
        <f t="shared" si="10"/>
        <v>2013</v>
      </c>
      <c r="I29" s="461">
        <f t="shared" si="10"/>
        <v>2014</v>
      </c>
      <c r="J29" s="461">
        <f t="shared" si="10"/>
        <v>2015</v>
      </c>
      <c r="K29" s="461">
        <f t="shared" si="10"/>
        <v>2016</v>
      </c>
      <c r="L29" s="461">
        <f t="shared" si="10"/>
        <v>2017</v>
      </c>
      <c r="M29" s="461">
        <f t="shared" si="10"/>
        <v>2018</v>
      </c>
      <c r="N29" s="461">
        <f t="shared" si="10"/>
        <v>2019</v>
      </c>
      <c r="O29" s="461">
        <f t="shared" si="10"/>
        <v>2020</v>
      </c>
      <c r="P29" s="461">
        <f t="shared" si="10"/>
        <v>2021</v>
      </c>
      <c r="Q29" s="461">
        <f t="shared" si="10"/>
        <v>2022</v>
      </c>
      <c r="R29" s="461">
        <f t="shared" si="10"/>
        <v>2023</v>
      </c>
      <c r="S29" s="461">
        <f t="shared" si="10"/>
        <v>2024</v>
      </c>
      <c r="T29" s="461">
        <f t="shared" si="10"/>
        <v>2025</v>
      </c>
      <c r="U29" s="461">
        <f t="shared" si="10"/>
        <v>2026</v>
      </c>
      <c r="V29" s="461">
        <f t="shared" si="10"/>
        <v>2027</v>
      </c>
      <c r="W29" s="461">
        <f t="shared" si="10"/>
        <v>2028</v>
      </c>
      <c r="X29" s="461">
        <f t="shared" si="10"/>
        <v>2029</v>
      </c>
      <c r="Y29" s="461">
        <f t="shared" si="10"/>
        <v>2030</v>
      </c>
      <c r="Z29" s="461">
        <f t="shared" si="10"/>
        <v>2031</v>
      </c>
      <c r="AA29" s="461">
        <f t="shared" si="10"/>
        <v>2032</v>
      </c>
    </row>
    <row r="30" spans="1:27" s="454" customFormat="1" outlineLevel="1" x14ac:dyDescent="0.2">
      <c r="A30" s="71" t="s">
        <v>322</v>
      </c>
      <c r="B30" s="71"/>
      <c r="C30" s="71"/>
      <c r="D30" s="80">
        <f>B100</f>
        <v>8876.5147659588765</v>
      </c>
      <c r="E30" s="80">
        <f>D35</f>
        <v>10614.257413010086</v>
      </c>
      <c r="F30" s="80">
        <f t="shared" ref="F30:W30" si="11">E35</f>
        <v>11845.324549989835</v>
      </c>
      <c r="G30" s="80">
        <f t="shared" si="11"/>
        <v>8453.8583753692583</v>
      </c>
      <c r="H30" s="80">
        <f t="shared" si="11"/>
        <v>4321.2926396653065</v>
      </c>
      <c r="I30" s="80">
        <f t="shared" si="11"/>
        <v>0</v>
      </c>
      <c r="J30" s="80">
        <f t="shared" si="11"/>
        <v>0</v>
      </c>
      <c r="K30" s="80">
        <f t="shared" si="11"/>
        <v>0</v>
      </c>
      <c r="L30" s="80">
        <f t="shared" si="11"/>
        <v>0</v>
      </c>
      <c r="M30" s="80">
        <f t="shared" si="11"/>
        <v>0</v>
      </c>
      <c r="N30" s="80">
        <f t="shared" si="11"/>
        <v>0</v>
      </c>
      <c r="O30" s="80">
        <f t="shared" si="11"/>
        <v>0</v>
      </c>
      <c r="P30" s="80">
        <f t="shared" si="11"/>
        <v>0</v>
      </c>
      <c r="Q30" s="80">
        <f t="shared" si="11"/>
        <v>0</v>
      </c>
      <c r="R30" s="80">
        <f t="shared" si="11"/>
        <v>0</v>
      </c>
      <c r="S30" s="80">
        <f t="shared" si="11"/>
        <v>0</v>
      </c>
      <c r="T30" s="80">
        <f t="shared" si="11"/>
        <v>0</v>
      </c>
      <c r="U30" s="80">
        <f t="shared" si="11"/>
        <v>0</v>
      </c>
      <c r="V30" s="80">
        <f t="shared" si="11"/>
        <v>0</v>
      </c>
      <c r="W30" s="80">
        <f t="shared" si="11"/>
        <v>0</v>
      </c>
      <c r="X30" s="80">
        <f>W35</f>
        <v>0</v>
      </c>
      <c r="Y30" s="80">
        <f>X35</f>
        <v>0</v>
      </c>
      <c r="Z30" s="80">
        <f>Y35</f>
        <v>0</v>
      </c>
      <c r="AA30" s="80">
        <f>Z35</f>
        <v>0</v>
      </c>
    </row>
    <row r="31" spans="1:27" s="454" customFormat="1" outlineLevel="1" x14ac:dyDescent="0.2">
      <c r="A31" s="71" t="s">
        <v>323</v>
      </c>
      <c r="B31" s="71"/>
      <c r="C31" s="71"/>
      <c r="D31" s="80">
        <f>'Data 2009-15 (Real $2008)'!D11/10^3</f>
        <v>3952.1763002733569</v>
      </c>
      <c r="E31" s="80">
        <f>'Data 2009-15 (Real $2008)'!E11/10^3</f>
        <v>4532.0700719376491</v>
      </c>
      <c r="F31" s="80">
        <f>'Data 2009-15 (Real $2008)'!F11/10^3</f>
        <v>696.21917755337563</v>
      </c>
      <c r="G31" s="80">
        <f>'Data 2009-15 (Real $2008)'!G11/10^3</f>
        <v>141.54517797101448</v>
      </c>
      <c r="H31" s="80">
        <f>'Data 2009-15 (Real $2008)'!H11/10^3</f>
        <v>103.66395317018311</v>
      </c>
      <c r="I31" s="80">
        <f>'Data 2009-15 (Real $2008)'!I11/10^3</f>
        <v>0</v>
      </c>
      <c r="J31" s="80">
        <f>'Data 2009-15 (Real $2008)'!J11/10^3</f>
        <v>0</v>
      </c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</row>
    <row r="32" spans="1:27" s="454" customFormat="1" outlineLevel="1" x14ac:dyDescent="0.2">
      <c r="A32" s="71" t="s">
        <v>4</v>
      </c>
      <c r="B32" s="71"/>
      <c r="C32" s="71"/>
      <c r="D32" s="80">
        <f>'Data 2009-15 (Real $2008)'!D35/10^3</f>
        <v>0</v>
      </c>
      <c r="E32" s="80">
        <f>'Data 2009-15 (Real $2008)'!E35/10^3</f>
        <v>0</v>
      </c>
      <c r="F32" s="80">
        <f>'Data 2009-15 (Real $2008)'!F35/10^3</f>
        <v>0</v>
      </c>
      <c r="G32" s="80">
        <f>'Data 2009-15 (Real $2008)'!G35/10^3</f>
        <v>0</v>
      </c>
      <c r="H32" s="80">
        <f>'Data 2009-15 (Real $2008)'!H35/10^3</f>
        <v>0</v>
      </c>
      <c r="I32" s="80">
        <f>'Data 2009-15 (Real $2008)'!I35/10^3</f>
        <v>0</v>
      </c>
      <c r="J32" s="80">
        <f>'Data 2009-15 (Real $2008)'!J35/10^3</f>
        <v>0</v>
      </c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</row>
    <row r="33" spans="1:27" s="454" customFormat="1" outlineLevel="1" x14ac:dyDescent="0.2">
      <c r="A33" s="82" t="s">
        <v>5</v>
      </c>
      <c r="B33" s="82"/>
      <c r="C33" s="82"/>
      <c r="D33" s="80">
        <f>'Data 2009-15 (Real $2008)'!D44/10^3</f>
        <v>0</v>
      </c>
      <c r="E33" s="80">
        <f>'Data 2009-15 (Real $2008)'!E44/10^3</f>
        <v>0</v>
      </c>
      <c r="F33" s="80">
        <f>'Data 2009-15 (Real $2008)'!F44/10^3</f>
        <v>0</v>
      </c>
      <c r="G33" s="80">
        <f>'Data 2009-15 (Real $2008)'!G44/10^3</f>
        <v>0</v>
      </c>
      <c r="H33" s="80">
        <f>'Data 2009-15 (Real $2008)'!H44/10^3</f>
        <v>0</v>
      </c>
      <c r="I33" s="80">
        <f>'Data 2009-15 (Real $2008)'!I44/10^3</f>
        <v>0</v>
      </c>
      <c r="J33" s="80">
        <f>'Data 2009-15 (Real $2008)'!J44/10^3</f>
        <v>0</v>
      </c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1:27" s="454" customFormat="1" outlineLevel="1" x14ac:dyDescent="0.2">
      <c r="A34" s="71" t="s">
        <v>138</v>
      </c>
      <c r="B34" s="71"/>
      <c r="C34" s="71"/>
      <c r="D34" s="80">
        <f>D100+D210</f>
        <v>2214.4336532221482</v>
      </c>
      <c r="E34" s="80">
        <f t="shared" ref="E34:W34" si="12">E100+E210</f>
        <v>3301.0029349578999</v>
      </c>
      <c r="F34" s="80">
        <f t="shared" si="12"/>
        <v>4087.6853521739531</v>
      </c>
      <c r="G34" s="80">
        <f t="shared" si="12"/>
        <v>4274.1109136749665</v>
      </c>
      <c r="H34" s="80">
        <f t="shared" si="12"/>
        <v>4424.9565928354878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2"/>
        <v>0</v>
      </c>
      <c r="R34" s="80">
        <f t="shared" si="12"/>
        <v>0</v>
      </c>
      <c r="S34" s="80">
        <f t="shared" si="12"/>
        <v>0</v>
      </c>
      <c r="T34" s="80">
        <f t="shared" si="12"/>
        <v>0</v>
      </c>
      <c r="U34" s="80">
        <f t="shared" si="12"/>
        <v>0</v>
      </c>
      <c r="V34" s="80">
        <f t="shared" si="12"/>
        <v>0</v>
      </c>
      <c r="W34" s="80">
        <f t="shared" si="12"/>
        <v>0</v>
      </c>
      <c r="X34" s="80">
        <f>X100+X210</f>
        <v>0</v>
      </c>
      <c r="Y34" s="80">
        <f>Y100+Y210</f>
        <v>0</v>
      </c>
      <c r="Z34" s="80">
        <f>Z100+Z210</f>
        <v>0</v>
      </c>
      <c r="AA34" s="80">
        <f>AA100+AA210</f>
        <v>0</v>
      </c>
    </row>
    <row r="35" spans="1:27" s="454" customFormat="1" outlineLevel="1" x14ac:dyDescent="0.2">
      <c r="A35" s="71" t="s">
        <v>324</v>
      </c>
      <c r="B35" s="71"/>
      <c r="C35" s="71"/>
      <c r="D35" s="107">
        <f t="shared" ref="D35:W35" si="13">D30+D31-SUM(D32:D34)</f>
        <v>10614.257413010086</v>
      </c>
      <c r="E35" s="107">
        <f t="shared" si="13"/>
        <v>11845.324549989835</v>
      </c>
      <c r="F35" s="107">
        <f t="shared" si="13"/>
        <v>8453.8583753692583</v>
      </c>
      <c r="G35" s="107">
        <f t="shared" si="13"/>
        <v>4321.2926396653065</v>
      </c>
      <c r="H35" s="107">
        <f t="shared" si="13"/>
        <v>0</v>
      </c>
      <c r="I35" s="107">
        <f t="shared" si="13"/>
        <v>0</v>
      </c>
      <c r="J35" s="107">
        <f t="shared" si="13"/>
        <v>0</v>
      </c>
      <c r="K35" s="107">
        <f t="shared" si="13"/>
        <v>0</v>
      </c>
      <c r="L35" s="107">
        <f t="shared" si="13"/>
        <v>0</v>
      </c>
      <c r="M35" s="107">
        <f t="shared" si="13"/>
        <v>0</v>
      </c>
      <c r="N35" s="107">
        <f t="shared" si="13"/>
        <v>0</v>
      </c>
      <c r="O35" s="107">
        <f t="shared" si="13"/>
        <v>0</v>
      </c>
      <c r="P35" s="107">
        <f t="shared" si="13"/>
        <v>0</v>
      </c>
      <c r="Q35" s="107">
        <f t="shared" si="13"/>
        <v>0</v>
      </c>
      <c r="R35" s="107">
        <f t="shared" si="13"/>
        <v>0</v>
      </c>
      <c r="S35" s="107">
        <f t="shared" si="13"/>
        <v>0</v>
      </c>
      <c r="T35" s="107">
        <f t="shared" si="13"/>
        <v>0</v>
      </c>
      <c r="U35" s="107">
        <f t="shared" si="13"/>
        <v>0</v>
      </c>
      <c r="V35" s="107">
        <f t="shared" si="13"/>
        <v>0</v>
      </c>
      <c r="W35" s="107">
        <f t="shared" si="13"/>
        <v>0</v>
      </c>
      <c r="X35" s="107">
        <f>X30+X31-SUM(X32:X34)</f>
        <v>0</v>
      </c>
      <c r="Y35" s="107">
        <f>Y30+Y31-SUM(Y32:Y34)</f>
        <v>0</v>
      </c>
      <c r="Z35" s="107">
        <f>Z30+Z31-SUM(Z32:Z34)</f>
        <v>0</v>
      </c>
      <c r="AA35" s="107">
        <f>AA30+AA31-SUM(AA32:AA34)</f>
        <v>0</v>
      </c>
    </row>
    <row r="36" spans="1:27" s="83" customFormat="1" outlineLevel="1" x14ac:dyDescent="0.2">
      <c r="A36" s="485"/>
      <c r="C36" s="486"/>
      <c r="D36" s="487"/>
      <c r="E36" s="487"/>
      <c r="F36" s="487"/>
      <c r="G36" s="487"/>
      <c r="H36" s="487"/>
      <c r="I36" s="487"/>
      <c r="J36" s="487"/>
      <c r="K36" s="487"/>
      <c r="L36" s="487"/>
      <c r="M36" s="487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</row>
    <row r="37" spans="1:27" s="83" customFormat="1" outlineLevel="1" x14ac:dyDescent="0.2">
      <c r="A37" s="485"/>
      <c r="C37" s="486"/>
      <c r="D37" s="487"/>
      <c r="E37" s="487"/>
      <c r="F37" s="487"/>
      <c r="G37" s="487"/>
      <c r="H37" s="487"/>
      <c r="I37" s="487"/>
      <c r="J37" s="487"/>
      <c r="K37" s="487"/>
      <c r="L37" s="487"/>
      <c r="M37" s="487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</row>
    <row r="38" spans="1:27" s="454" customFormat="1" outlineLevel="1" x14ac:dyDescent="0.2">
      <c r="A38" s="344" t="str">
        <f>'Data 2009-15 (Real $2008)'!A$154</f>
        <v>Remotely read interval meters &amp; transformers</v>
      </c>
      <c r="B38" s="453"/>
      <c r="C38" s="453"/>
      <c r="D38" s="82"/>
      <c r="E38" s="82"/>
      <c r="F38" s="82"/>
      <c r="G38" s="82"/>
    </row>
    <row r="39" spans="1:27" s="454" customFormat="1" outlineLevel="1" x14ac:dyDescent="0.2">
      <c r="A39" s="344" t="str">
        <f>$A$4</f>
        <v>($000 Real 2008)</v>
      </c>
      <c r="B39" s="407"/>
      <c r="C39" s="407"/>
      <c r="D39" s="461">
        <f>D$4</f>
        <v>2009</v>
      </c>
      <c r="E39" s="461">
        <f t="shared" ref="E39:AA39" si="14">E$4</f>
        <v>2010</v>
      </c>
      <c r="F39" s="461">
        <f t="shared" si="14"/>
        <v>2011</v>
      </c>
      <c r="G39" s="461">
        <f t="shared" si="14"/>
        <v>2012</v>
      </c>
      <c r="H39" s="461">
        <f t="shared" si="14"/>
        <v>2013</v>
      </c>
      <c r="I39" s="461">
        <f t="shared" si="14"/>
        <v>2014</v>
      </c>
      <c r="J39" s="461">
        <f t="shared" si="14"/>
        <v>2015</v>
      </c>
      <c r="K39" s="461">
        <f t="shared" si="14"/>
        <v>2016</v>
      </c>
      <c r="L39" s="461">
        <f t="shared" si="14"/>
        <v>2017</v>
      </c>
      <c r="M39" s="461">
        <f t="shared" si="14"/>
        <v>2018</v>
      </c>
      <c r="N39" s="461">
        <f t="shared" si="14"/>
        <v>2019</v>
      </c>
      <c r="O39" s="461">
        <f t="shared" si="14"/>
        <v>2020</v>
      </c>
      <c r="P39" s="461">
        <f t="shared" si="14"/>
        <v>2021</v>
      </c>
      <c r="Q39" s="461">
        <f t="shared" si="14"/>
        <v>2022</v>
      </c>
      <c r="R39" s="461">
        <f t="shared" si="14"/>
        <v>2023</v>
      </c>
      <c r="S39" s="461">
        <f t="shared" si="14"/>
        <v>2024</v>
      </c>
      <c r="T39" s="461">
        <f t="shared" si="14"/>
        <v>2025</v>
      </c>
      <c r="U39" s="461">
        <f t="shared" si="14"/>
        <v>2026</v>
      </c>
      <c r="V39" s="461">
        <f t="shared" si="14"/>
        <v>2027</v>
      </c>
      <c r="W39" s="461">
        <f t="shared" si="14"/>
        <v>2028</v>
      </c>
      <c r="X39" s="461">
        <f t="shared" si="14"/>
        <v>2029</v>
      </c>
      <c r="Y39" s="461">
        <f t="shared" si="14"/>
        <v>2030</v>
      </c>
      <c r="Z39" s="461">
        <f t="shared" si="14"/>
        <v>2031</v>
      </c>
      <c r="AA39" s="461">
        <f t="shared" si="14"/>
        <v>2032</v>
      </c>
    </row>
    <row r="40" spans="1:27" s="454" customFormat="1" outlineLevel="1" x14ac:dyDescent="0.2">
      <c r="A40" s="71" t="s">
        <v>322</v>
      </c>
      <c r="B40" s="71"/>
      <c r="C40" s="71"/>
      <c r="D40" s="80">
        <f>B136</f>
        <v>0</v>
      </c>
      <c r="E40" s="80">
        <f>D45</f>
        <v>2035.7197988540543</v>
      </c>
      <c r="F40" s="80">
        <f t="shared" ref="F40:W40" si="15">E45</f>
        <v>61967.828615620005</v>
      </c>
      <c r="G40" s="80">
        <f t="shared" si="15"/>
        <v>139832.43558839714</v>
      </c>
      <c r="H40" s="80">
        <f t="shared" si="15"/>
        <v>213173.97949373029</v>
      </c>
      <c r="I40" s="80">
        <f t="shared" si="15"/>
        <v>258483.84688405148</v>
      </c>
      <c r="J40" s="80">
        <f t="shared" si="15"/>
        <v>244622.76142886159</v>
      </c>
      <c r="K40" s="80">
        <f t="shared" si="15"/>
        <v>230323.08126345355</v>
      </c>
      <c r="L40" s="80">
        <f t="shared" si="15"/>
        <v>209591.72204137236</v>
      </c>
      <c r="M40" s="80">
        <f t="shared" si="15"/>
        <v>188860.36281929116</v>
      </c>
      <c r="N40" s="80">
        <f t="shared" si="15"/>
        <v>168129.00359720996</v>
      </c>
      <c r="O40" s="80">
        <f t="shared" si="15"/>
        <v>147397.64437512876</v>
      </c>
      <c r="P40" s="80">
        <f t="shared" si="15"/>
        <v>126666.28515304756</v>
      </c>
      <c r="Q40" s="80">
        <f t="shared" si="15"/>
        <v>105934.92593096636</v>
      </c>
      <c r="R40" s="80">
        <f t="shared" si="15"/>
        <v>85203.566708885162</v>
      </c>
      <c r="S40" s="80">
        <f t="shared" si="15"/>
        <v>64472.207486803964</v>
      </c>
      <c r="T40" s="80">
        <f t="shared" si="15"/>
        <v>43811.045499166008</v>
      </c>
      <c r="U40" s="80">
        <f t="shared" si="15"/>
        <v>25291.546376511043</v>
      </c>
      <c r="V40" s="80">
        <f t="shared" si="15"/>
        <v>11676.200218973172</v>
      </c>
      <c r="W40" s="80">
        <f t="shared" si="15"/>
        <v>3765.6187858213598</v>
      </c>
      <c r="X40" s="80">
        <f>W45</f>
        <v>830.65690003209193</v>
      </c>
      <c r="Y40" s="80">
        <f>X45</f>
        <v>207.47351795714428</v>
      </c>
      <c r="Z40" s="80">
        <f>Y45</f>
        <v>-5.3773874242324382E-11</v>
      </c>
      <c r="AA40" s="80">
        <f>Z45</f>
        <v>-5.3773874242324382E-11</v>
      </c>
    </row>
    <row r="41" spans="1:27" s="454" customFormat="1" outlineLevel="1" x14ac:dyDescent="0.2">
      <c r="A41" s="71" t="s">
        <v>323</v>
      </c>
      <c r="B41" s="71"/>
      <c r="C41" s="71"/>
      <c r="D41" s="80">
        <f>'Data 2009-15 (Real $2008)'!D12/10^3</f>
        <v>2105.9170332972976</v>
      </c>
      <c r="E41" s="80">
        <f>'Data 2009-15 (Real $2008)'!E12/10^3</f>
        <v>62143.968916192171</v>
      </c>
      <c r="F41" s="80">
        <f>'Data 2009-15 (Real $2008)'!F12/10^3</f>
        <v>84980.620037320448</v>
      </c>
      <c r="G41" s="80">
        <f>'Data 2009-15 (Real $2008)'!G12/10^3</f>
        <v>86162.321694262559</v>
      </c>
      <c r="H41" s="80">
        <f>'Data 2009-15 (Real $2008)'!H12/10^3</f>
        <v>63106.264726613117</v>
      </c>
      <c r="I41" s="80">
        <f>'Data 2009-15 (Real $2008)'!I12/10^3</f>
        <v>6247.0903848163962</v>
      </c>
      <c r="J41" s="80">
        <f>'Data 2009-15 (Real $2008)'!J12/10^3</f>
        <v>6224.2055387159771</v>
      </c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</row>
    <row r="42" spans="1:27" s="454" customFormat="1" outlineLevel="1" x14ac:dyDescent="0.2">
      <c r="A42" s="71" t="s">
        <v>4</v>
      </c>
      <c r="B42" s="71"/>
      <c r="C42" s="71"/>
      <c r="D42" s="80">
        <f>'Data 2009-15 (Real $2008)'!D36/10^3</f>
        <v>0</v>
      </c>
      <c r="E42" s="80">
        <f>'Data 2009-15 (Real $2008)'!E36/10^3</f>
        <v>0</v>
      </c>
      <c r="F42" s="80">
        <f>'Data 2009-15 (Real $2008)'!F36/10^3</f>
        <v>0</v>
      </c>
      <c r="G42" s="80">
        <f>'Data 2009-15 (Real $2008)'!G36/10^3</f>
        <v>0</v>
      </c>
      <c r="H42" s="80">
        <f>'Data 2009-15 (Real $2008)'!H36/10^3</f>
        <v>0</v>
      </c>
      <c r="I42" s="80">
        <f>'Data 2009-15 (Real $2008)'!I36/10^3</f>
        <v>0</v>
      </c>
      <c r="J42" s="80">
        <f>'Data 2009-15 (Real $2008)'!J36/10^3</f>
        <v>0</v>
      </c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</row>
    <row r="43" spans="1:27" s="454" customFormat="1" outlineLevel="1" x14ac:dyDescent="0.2">
      <c r="A43" s="82" t="s">
        <v>5</v>
      </c>
      <c r="B43" s="82"/>
      <c r="C43" s="82"/>
      <c r="D43" s="80">
        <f>'Data 2009-15 (Real $2008)'!D45/10^3</f>
        <v>0</v>
      </c>
      <c r="E43" s="80">
        <f>'Data 2009-15 (Real $2008)'!E45/10^3</f>
        <v>0</v>
      </c>
      <c r="F43" s="80">
        <f>'Data 2009-15 (Real $2008)'!F45/10^3</f>
        <v>0</v>
      </c>
      <c r="G43" s="80">
        <f>'Data 2009-15 (Real $2008)'!G45/10^3</f>
        <v>0</v>
      </c>
      <c r="H43" s="80">
        <f>'Data 2009-15 (Real $2008)'!H45/10^3</f>
        <v>0</v>
      </c>
      <c r="I43" s="80">
        <f>'Data 2009-15 (Real $2008)'!I45/10^3</f>
        <v>0</v>
      </c>
      <c r="J43" s="80">
        <f>'Data 2009-15 (Real $2008)'!J45/10^3</f>
        <v>0</v>
      </c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</row>
    <row r="44" spans="1:27" s="454" customFormat="1" outlineLevel="1" x14ac:dyDescent="0.2">
      <c r="A44" s="71" t="s">
        <v>138</v>
      </c>
      <c r="B44" s="71"/>
      <c r="C44" s="71"/>
      <c r="D44" s="80">
        <f>D136+D222</f>
        <v>70.197234443243261</v>
      </c>
      <c r="E44" s="80">
        <f t="shared" ref="E44:W44" si="16">E136+E222</f>
        <v>2211.8600994262256</v>
      </c>
      <c r="F44" s="80">
        <f t="shared" si="16"/>
        <v>7116.0130645433128</v>
      </c>
      <c r="G44" s="80">
        <f t="shared" si="16"/>
        <v>12820.777788929414</v>
      </c>
      <c r="H44" s="80">
        <f t="shared" si="16"/>
        <v>17796.397336291935</v>
      </c>
      <c r="I44" s="80">
        <f t="shared" si="16"/>
        <v>20108.175840006254</v>
      </c>
      <c r="J44" s="80">
        <f t="shared" si="16"/>
        <v>20523.885704124001</v>
      </c>
      <c r="K44" s="80">
        <f t="shared" si="16"/>
        <v>20731.359222081202</v>
      </c>
      <c r="L44" s="80">
        <f t="shared" si="16"/>
        <v>20731.359222081202</v>
      </c>
      <c r="M44" s="80">
        <f t="shared" si="16"/>
        <v>20731.359222081202</v>
      </c>
      <c r="N44" s="80">
        <f t="shared" si="16"/>
        <v>20731.359222081202</v>
      </c>
      <c r="O44" s="80">
        <f t="shared" si="16"/>
        <v>20731.359222081202</v>
      </c>
      <c r="P44" s="80">
        <f t="shared" si="16"/>
        <v>20731.359222081202</v>
      </c>
      <c r="Q44" s="80">
        <f t="shared" si="16"/>
        <v>20731.359222081202</v>
      </c>
      <c r="R44" s="80">
        <f t="shared" si="16"/>
        <v>20731.359222081202</v>
      </c>
      <c r="S44" s="80">
        <f t="shared" si="16"/>
        <v>20661.161987637959</v>
      </c>
      <c r="T44" s="80">
        <f t="shared" si="16"/>
        <v>18519.499122654965</v>
      </c>
      <c r="U44" s="80">
        <f t="shared" si="16"/>
        <v>13615.346157537871</v>
      </c>
      <c r="V44" s="80">
        <f t="shared" si="16"/>
        <v>7910.5814331518122</v>
      </c>
      <c r="W44" s="80">
        <f t="shared" si="16"/>
        <v>2934.9618857892679</v>
      </c>
      <c r="X44" s="80">
        <f>X136+X222</f>
        <v>623.18338207494764</v>
      </c>
      <c r="Y44" s="80">
        <f>Y136+Y222</f>
        <v>207.47351795719806</v>
      </c>
      <c r="Z44" s="80">
        <f>Z136+Z222</f>
        <v>0</v>
      </c>
      <c r="AA44" s="80">
        <f>AA136+AA222</f>
        <v>0</v>
      </c>
    </row>
    <row r="45" spans="1:27" s="454" customFormat="1" outlineLevel="1" x14ac:dyDescent="0.2">
      <c r="A45" s="71" t="s">
        <v>324</v>
      </c>
      <c r="B45" s="71"/>
      <c r="C45" s="71"/>
      <c r="D45" s="107">
        <f t="shared" ref="D45:W45" si="17">D40+D41-SUM(D42:D44)</f>
        <v>2035.7197988540543</v>
      </c>
      <c r="E45" s="107">
        <f t="shared" si="17"/>
        <v>61967.828615620005</v>
      </c>
      <c r="F45" s="107">
        <f t="shared" si="17"/>
        <v>139832.43558839714</v>
      </c>
      <c r="G45" s="107">
        <f t="shared" si="17"/>
        <v>213173.97949373029</v>
      </c>
      <c r="H45" s="107">
        <f t="shared" si="17"/>
        <v>258483.84688405148</v>
      </c>
      <c r="I45" s="107">
        <f t="shared" si="17"/>
        <v>244622.76142886159</v>
      </c>
      <c r="J45" s="107">
        <f t="shared" si="17"/>
        <v>230323.08126345355</v>
      </c>
      <c r="K45" s="107">
        <f t="shared" si="17"/>
        <v>209591.72204137236</v>
      </c>
      <c r="L45" s="107">
        <f t="shared" si="17"/>
        <v>188860.36281929116</v>
      </c>
      <c r="M45" s="107">
        <f t="shared" si="17"/>
        <v>168129.00359720996</v>
      </c>
      <c r="N45" s="107">
        <f t="shared" si="17"/>
        <v>147397.64437512876</v>
      </c>
      <c r="O45" s="107">
        <f t="shared" si="17"/>
        <v>126666.28515304756</v>
      </c>
      <c r="P45" s="107">
        <f t="shared" si="17"/>
        <v>105934.92593096636</v>
      </c>
      <c r="Q45" s="107">
        <f t="shared" si="17"/>
        <v>85203.566708885162</v>
      </c>
      <c r="R45" s="107">
        <f t="shared" si="17"/>
        <v>64472.207486803964</v>
      </c>
      <c r="S45" s="107">
        <f t="shared" si="17"/>
        <v>43811.045499166008</v>
      </c>
      <c r="T45" s="107">
        <f t="shared" si="17"/>
        <v>25291.546376511043</v>
      </c>
      <c r="U45" s="107">
        <f t="shared" si="17"/>
        <v>11676.200218973172</v>
      </c>
      <c r="V45" s="107">
        <f t="shared" si="17"/>
        <v>3765.6187858213598</v>
      </c>
      <c r="W45" s="107">
        <f t="shared" si="17"/>
        <v>830.65690003209193</v>
      </c>
      <c r="X45" s="107">
        <f>X40+X41-SUM(X42:X44)</f>
        <v>207.47351795714428</v>
      </c>
      <c r="Y45" s="107">
        <f>Y40+Y41-SUM(Y42:Y44)</f>
        <v>-5.3773874242324382E-11</v>
      </c>
      <c r="Z45" s="107">
        <f>Z40+Z41-SUM(Z42:Z44)</f>
        <v>-5.3773874242324382E-11</v>
      </c>
      <c r="AA45" s="107">
        <f>AA40+AA41-SUM(AA42:AA44)</f>
        <v>-5.3773874242324382E-11</v>
      </c>
    </row>
    <row r="46" spans="1:27" s="83" customFormat="1" outlineLevel="1" x14ac:dyDescent="0.2">
      <c r="A46" s="485"/>
      <c r="C46" s="486"/>
      <c r="D46" s="487"/>
      <c r="E46" s="487"/>
      <c r="F46" s="487"/>
      <c r="G46" s="487"/>
      <c r="H46" s="487"/>
      <c r="I46" s="487"/>
      <c r="J46" s="487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</row>
    <row r="47" spans="1:27" s="83" customFormat="1" outlineLevel="1" x14ac:dyDescent="0.2">
      <c r="A47" s="485"/>
      <c r="C47" s="486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</row>
    <row r="48" spans="1:27" s="454" customFormat="1" outlineLevel="1" x14ac:dyDescent="0.2">
      <c r="A48" s="344" t="s">
        <v>284</v>
      </c>
      <c r="B48" s="453"/>
      <c r="C48" s="453"/>
      <c r="D48" s="82"/>
      <c r="E48" s="82"/>
      <c r="F48" s="82"/>
      <c r="G48" s="82"/>
    </row>
    <row r="49" spans="1:27" s="454" customFormat="1" outlineLevel="1" x14ac:dyDescent="0.2">
      <c r="A49" s="344" t="str">
        <f>$A$4</f>
        <v>($000 Real 2008)</v>
      </c>
      <c r="B49" s="407"/>
      <c r="C49" s="407"/>
      <c r="D49" s="461">
        <f>D$4</f>
        <v>2009</v>
      </c>
      <c r="E49" s="461">
        <f t="shared" ref="E49:AA49" si="18">E$4</f>
        <v>2010</v>
      </c>
      <c r="F49" s="461">
        <f t="shared" si="18"/>
        <v>2011</v>
      </c>
      <c r="G49" s="461">
        <f t="shared" si="18"/>
        <v>2012</v>
      </c>
      <c r="H49" s="461">
        <f t="shared" si="18"/>
        <v>2013</v>
      </c>
      <c r="I49" s="461">
        <f t="shared" si="18"/>
        <v>2014</v>
      </c>
      <c r="J49" s="461">
        <f t="shared" si="18"/>
        <v>2015</v>
      </c>
      <c r="K49" s="461">
        <f t="shared" si="18"/>
        <v>2016</v>
      </c>
      <c r="L49" s="461">
        <f t="shared" si="18"/>
        <v>2017</v>
      </c>
      <c r="M49" s="461">
        <f t="shared" si="18"/>
        <v>2018</v>
      </c>
      <c r="N49" s="461">
        <f t="shared" si="18"/>
        <v>2019</v>
      </c>
      <c r="O49" s="461">
        <f t="shared" si="18"/>
        <v>2020</v>
      </c>
      <c r="P49" s="461">
        <f t="shared" si="18"/>
        <v>2021</v>
      </c>
      <c r="Q49" s="461">
        <f t="shared" si="18"/>
        <v>2022</v>
      </c>
      <c r="R49" s="461">
        <f t="shared" si="18"/>
        <v>2023</v>
      </c>
      <c r="S49" s="461">
        <f t="shared" si="18"/>
        <v>2024</v>
      </c>
      <c r="T49" s="461">
        <f t="shared" si="18"/>
        <v>2025</v>
      </c>
      <c r="U49" s="461">
        <f t="shared" si="18"/>
        <v>2026</v>
      </c>
      <c r="V49" s="461">
        <f t="shared" si="18"/>
        <v>2027</v>
      </c>
      <c r="W49" s="461">
        <f t="shared" si="18"/>
        <v>2028</v>
      </c>
      <c r="X49" s="461">
        <f t="shared" si="18"/>
        <v>2029</v>
      </c>
      <c r="Y49" s="461">
        <f t="shared" si="18"/>
        <v>2030</v>
      </c>
      <c r="Z49" s="461">
        <f t="shared" si="18"/>
        <v>2031</v>
      </c>
      <c r="AA49" s="461">
        <f t="shared" si="18"/>
        <v>2032</v>
      </c>
    </row>
    <row r="50" spans="1:27" s="454" customFormat="1" outlineLevel="1" x14ac:dyDescent="0.2">
      <c r="A50" s="71" t="s">
        <v>322</v>
      </c>
      <c r="B50" s="71"/>
      <c r="C50" s="71"/>
      <c r="D50" s="80">
        <f>B108+B144</f>
        <v>14662.031565567995</v>
      </c>
      <c r="E50" s="80">
        <f>D55</f>
        <v>33561.423133433229</v>
      </c>
      <c r="F50" s="80">
        <f t="shared" ref="F50:W50" si="19">E55</f>
        <v>46364.610884138616</v>
      </c>
      <c r="G50" s="80">
        <f t="shared" si="19"/>
        <v>47514.545901313897</v>
      </c>
      <c r="H50" s="80">
        <f t="shared" si="19"/>
        <v>45151.211318130205</v>
      </c>
      <c r="I50" s="80">
        <f t="shared" si="19"/>
        <v>39204.709259730269</v>
      </c>
      <c r="J50" s="80">
        <f t="shared" si="19"/>
        <v>33382.24840666911</v>
      </c>
      <c r="K50" s="80">
        <f t="shared" si="19"/>
        <v>26359.825180816737</v>
      </c>
      <c r="L50" s="80">
        <f t="shared" si="19"/>
        <v>16906.670631165056</v>
      </c>
      <c r="M50" s="80">
        <f t="shared" si="19"/>
        <v>10508.66238883372</v>
      </c>
      <c r="N50" s="80">
        <f t="shared" si="19"/>
        <v>6270.48015104971</v>
      </c>
      <c r="O50" s="80">
        <f t="shared" si="19"/>
        <v>3357.7492774442198</v>
      </c>
      <c r="P50" s="80">
        <f t="shared" si="19"/>
        <v>1425.0320935411473</v>
      </c>
      <c r="Q50" s="80">
        <f t="shared" si="19"/>
        <v>328.19284409255852</v>
      </c>
      <c r="R50" s="80">
        <f t="shared" si="19"/>
        <v>-1.0004441719502211E-11</v>
      </c>
      <c r="S50" s="80">
        <f t="shared" si="19"/>
        <v>-1.0004441719502211E-11</v>
      </c>
      <c r="T50" s="80">
        <f t="shared" si="19"/>
        <v>-1.0004441719502211E-11</v>
      </c>
      <c r="U50" s="80">
        <f t="shared" si="19"/>
        <v>-1.0004441719502211E-11</v>
      </c>
      <c r="V50" s="80">
        <f t="shared" si="19"/>
        <v>-1.0004441719502211E-11</v>
      </c>
      <c r="W50" s="80">
        <f t="shared" si="19"/>
        <v>-1.0004441719502211E-11</v>
      </c>
      <c r="X50" s="80">
        <f>W55</f>
        <v>-1.0004441719502211E-11</v>
      </c>
      <c r="Y50" s="80">
        <f>X55</f>
        <v>-1.0004441719502211E-11</v>
      </c>
      <c r="Z50" s="80">
        <f>Y55</f>
        <v>-1.0004441719502211E-11</v>
      </c>
      <c r="AA50" s="80">
        <f>Z55</f>
        <v>-1.0004441719502211E-11</v>
      </c>
    </row>
    <row r="51" spans="1:27" s="454" customFormat="1" outlineLevel="1" x14ac:dyDescent="0.2">
      <c r="A51" s="71" t="s">
        <v>323</v>
      </c>
      <c r="B51" s="71"/>
      <c r="C51" s="71"/>
      <c r="D51" s="80">
        <f>'Data 2009-15 (Real $2008)'!D13/10^3</f>
        <v>22906.55290616216</v>
      </c>
      <c r="E51" s="80">
        <f>'Data 2009-15 (Real $2008)'!E13/10^3</f>
        <v>19865.495396322662</v>
      </c>
      <c r="F51" s="80">
        <f>'Data 2009-15 (Real $2008)'!F13/10^3</f>
        <v>10372.068667339874</v>
      </c>
      <c r="G51" s="80">
        <f>'Data 2009-15 (Real $2008)'!G13/10^3</f>
        <v>8184.2504311594212</v>
      </c>
      <c r="H51" s="80">
        <f>'Data 2009-15 (Real $2008)'!H13/10^3</f>
        <v>5535.9412246744123</v>
      </c>
      <c r="I51" s="80">
        <f>'Data 2009-15 (Real $2008)'!I13/10^3</f>
        <v>6166.3498576883421</v>
      </c>
      <c r="J51" s="80">
        <f>'Data 2009-15 (Real $2008)'!J13/10^3</f>
        <v>4594.6998172959602</v>
      </c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</row>
    <row r="52" spans="1:27" s="454" customFormat="1" outlineLevel="1" x14ac:dyDescent="0.2">
      <c r="A52" s="71" t="s">
        <v>4</v>
      </c>
      <c r="B52" s="71"/>
      <c r="C52" s="71"/>
      <c r="D52" s="80">
        <f>'Data 2009-15 (Real $2008)'!D37/10^3</f>
        <v>0</v>
      </c>
      <c r="E52" s="80">
        <f>'Data 2009-15 (Real $2008)'!E37/10^3</f>
        <v>0</v>
      </c>
      <c r="F52" s="80">
        <f>'Data 2009-15 (Real $2008)'!F37/10^3</f>
        <v>0</v>
      </c>
      <c r="G52" s="80">
        <f>'Data 2009-15 (Real $2008)'!G37/10^3</f>
        <v>0</v>
      </c>
      <c r="H52" s="80">
        <f>'Data 2009-15 (Real $2008)'!H37/10^3</f>
        <v>0</v>
      </c>
      <c r="I52" s="80">
        <f>'Data 2009-15 (Real $2008)'!I37/10^3</f>
        <v>0</v>
      </c>
      <c r="J52" s="80">
        <f>'Data 2009-15 (Real $2008)'!J37/10^3</f>
        <v>0</v>
      </c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</row>
    <row r="53" spans="1:27" s="454" customFormat="1" outlineLevel="1" x14ac:dyDescent="0.2">
      <c r="A53" s="82" t="s">
        <v>5</v>
      </c>
      <c r="B53" s="82"/>
      <c r="C53" s="82"/>
      <c r="D53" s="80">
        <f>'Data 2009-15 (Real $2008)'!D46/10^3</f>
        <v>0</v>
      </c>
      <c r="E53" s="80">
        <f>'Data 2009-15 (Real $2008)'!E46/10^3</f>
        <v>0</v>
      </c>
      <c r="F53" s="80">
        <f>'Data 2009-15 (Real $2008)'!F46/10^3</f>
        <v>0</v>
      </c>
      <c r="G53" s="80">
        <f>'Data 2009-15 (Real $2008)'!G46/10^3</f>
        <v>0</v>
      </c>
      <c r="H53" s="80">
        <f>'Data 2009-15 (Real $2008)'!H46/10^3</f>
        <v>0</v>
      </c>
      <c r="I53" s="80">
        <f>'Data 2009-15 (Real $2008)'!I46/10^3</f>
        <v>0</v>
      </c>
      <c r="J53" s="80">
        <f>'Data 2009-15 (Real $2008)'!J46/10^3</f>
        <v>0</v>
      </c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</row>
    <row r="54" spans="1:27" s="454" customFormat="1" outlineLevel="1" x14ac:dyDescent="0.2">
      <c r="A54" s="71" t="s">
        <v>138</v>
      </c>
      <c r="B54" s="71"/>
      <c r="C54" s="71"/>
      <c r="D54" s="80">
        <f>D108+D144+D234</f>
        <v>4007.1613382969263</v>
      </c>
      <c r="E54" s="80">
        <f t="shared" ref="E54:W54" si="20">E108+E144+E234</f>
        <v>7062.3076456172703</v>
      </c>
      <c r="F54" s="80">
        <f t="shared" si="20"/>
        <v>9222.1336501645947</v>
      </c>
      <c r="G54" s="80">
        <f t="shared" si="20"/>
        <v>10547.585014343116</v>
      </c>
      <c r="H54" s="80">
        <f t="shared" si="20"/>
        <v>11482.443283074343</v>
      </c>
      <c r="I54" s="80">
        <f t="shared" si="20"/>
        <v>11988.810710749505</v>
      </c>
      <c r="J54" s="80">
        <f t="shared" si="20"/>
        <v>11617.123043148331</v>
      </c>
      <c r="K54" s="80">
        <f t="shared" si="20"/>
        <v>9453.1545496516792</v>
      </c>
      <c r="L54" s="80">
        <f t="shared" si="20"/>
        <v>6398.0082423313352</v>
      </c>
      <c r="M54" s="80">
        <f t="shared" si="20"/>
        <v>4238.1822377840099</v>
      </c>
      <c r="N54" s="80">
        <f t="shared" si="20"/>
        <v>2912.7308736054902</v>
      </c>
      <c r="O54" s="80">
        <f t="shared" si="20"/>
        <v>1932.7171839030725</v>
      </c>
      <c r="P54" s="80">
        <f t="shared" si="20"/>
        <v>1096.8392494485888</v>
      </c>
      <c r="Q54" s="80">
        <f t="shared" si="20"/>
        <v>328.19284409256852</v>
      </c>
      <c r="R54" s="80">
        <f t="shared" si="20"/>
        <v>0</v>
      </c>
      <c r="S54" s="80">
        <f t="shared" si="20"/>
        <v>0</v>
      </c>
      <c r="T54" s="80">
        <f t="shared" si="20"/>
        <v>0</v>
      </c>
      <c r="U54" s="80">
        <f t="shared" si="20"/>
        <v>0</v>
      </c>
      <c r="V54" s="80">
        <f t="shared" si="20"/>
        <v>0</v>
      </c>
      <c r="W54" s="80">
        <f t="shared" si="20"/>
        <v>0</v>
      </c>
      <c r="X54" s="80">
        <f>X108+X144+X234</f>
        <v>0</v>
      </c>
      <c r="Y54" s="80">
        <f>Y108+Y144+Y234</f>
        <v>0</v>
      </c>
      <c r="Z54" s="80">
        <f>Z108+Z144+Z234</f>
        <v>0</v>
      </c>
      <c r="AA54" s="80">
        <f>AA108+AA144+AA234</f>
        <v>0</v>
      </c>
    </row>
    <row r="55" spans="1:27" s="454" customFormat="1" outlineLevel="1" x14ac:dyDescent="0.2">
      <c r="A55" s="71" t="s">
        <v>324</v>
      </c>
      <c r="B55" s="71"/>
      <c r="C55" s="71"/>
      <c r="D55" s="107">
        <f t="shared" ref="D55:W55" si="21">D50+D51-SUM(D52:D54)</f>
        <v>33561.423133433229</v>
      </c>
      <c r="E55" s="107">
        <f t="shared" si="21"/>
        <v>46364.610884138616</v>
      </c>
      <c r="F55" s="107">
        <f t="shared" si="21"/>
        <v>47514.545901313897</v>
      </c>
      <c r="G55" s="107">
        <f t="shared" si="21"/>
        <v>45151.211318130205</v>
      </c>
      <c r="H55" s="107">
        <f t="shared" si="21"/>
        <v>39204.709259730269</v>
      </c>
      <c r="I55" s="107">
        <f t="shared" si="21"/>
        <v>33382.24840666911</v>
      </c>
      <c r="J55" s="107">
        <f t="shared" si="21"/>
        <v>26359.825180816737</v>
      </c>
      <c r="K55" s="107">
        <f t="shared" si="21"/>
        <v>16906.670631165056</v>
      </c>
      <c r="L55" s="107">
        <f t="shared" si="21"/>
        <v>10508.66238883372</v>
      </c>
      <c r="M55" s="107">
        <f t="shared" si="21"/>
        <v>6270.48015104971</v>
      </c>
      <c r="N55" s="107">
        <f t="shared" si="21"/>
        <v>3357.7492774442198</v>
      </c>
      <c r="O55" s="107">
        <f t="shared" si="21"/>
        <v>1425.0320935411473</v>
      </c>
      <c r="P55" s="107">
        <f t="shared" si="21"/>
        <v>328.19284409255852</v>
      </c>
      <c r="Q55" s="107">
        <f t="shared" si="21"/>
        <v>-1.0004441719502211E-11</v>
      </c>
      <c r="R55" s="107">
        <f t="shared" si="21"/>
        <v>-1.0004441719502211E-11</v>
      </c>
      <c r="S55" s="107">
        <f t="shared" si="21"/>
        <v>-1.0004441719502211E-11</v>
      </c>
      <c r="T55" s="107">
        <f t="shared" si="21"/>
        <v>-1.0004441719502211E-11</v>
      </c>
      <c r="U55" s="107">
        <f t="shared" si="21"/>
        <v>-1.0004441719502211E-11</v>
      </c>
      <c r="V55" s="107">
        <f t="shared" si="21"/>
        <v>-1.0004441719502211E-11</v>
      </c>
      <c r="W55" s="107">
        <f t="shared" si="21"/>
        <v>-1.0004441719502211E-11</v>
      </c>
      <c r="X55" s="107">
        <f>X50+X51-SUM(X52:X54)</f>
        <v>-1.0004441719502211E-11</v>
      </c>
      <c r="Y55" s="107">
        <f>Y50+Y51-SUM(Y52:Y54)</f>
        <v>-1.0004441719502211E-11</v>
      </c>
      <c r="Z55" s="107">
        <f>Z50+Z51-SUM(Z52:Z54)</f>
        <v>-1.0004441719502211E-11</v>
      </c>
      <c r="AA55" s="107">
        <f>AA50+AA51-SUM(AA52:AA54)</f>
        <v>-1.0004441719502211E-11</v>
      </c>
    </row>
    <row r="56" spans="1:27" s="83" customFormat="1" outlineLevel="1" x14ac:dyDescent="0.2">
      <c r="A56" s="485"/>
      <c r="C56" s="486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</row>
    <row r="57" spans="1:27" s="83" customFormat="1" outlineLevel="1" x14ac:dyDescent="0.2">
      <c r="A57" s="485"/>
      <c r="C57" s="486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</row>
    <row r="58" spans="1:27" s="454" customFormat="1" outlineLevel="1" x14ac:dyDescent="0.2">
      <c r="A58" s="344" t="s">
        <v>286</v>
      </c>
      <c r="B58" s="453"/>
      <c r="C58" s="453"/>
      <c r="D58" s="82"/>
      <c r="E58" s="82"/>
      <c r="F58" s="82"/>
      <c r="G58" s="82"/>
    </row>
    <row r="59" spans="1:27" s="454" customFormat="1" outlineLevel="1" x14ac:dyDescent="0.2">
      <c r="A59" s="344" t="str">
        <f>$A$4</f>
        <v>($000 Real 2008)</v>
      </c>
      <c r="B59" s="407"/>
      <c r="C59" s="407"/>
      <c r="D59" s="461">
        <f>D$4</f>
        <v>2009</v>
      </c>
      <c r="E59" s="461">
        <f t="shared" ref="E59:AA59" si="22">E$4</f>
        <v>2010</v>
      </c>
      <c r="F59" s="461">
        <f t="shared" si="22"/>
        <v>2011</v>
      </c>
      <c r="G59" s="461">
        <f t="shared" si="22"/>
        <v>2012</v>
      </c>
      <c r="H59" s="461">
        <f t="shared" si="22"/>
        <v>2013</v>
      </c>
      <c r="I59" s="461">
        <f t="shared" si="22"/>
        <v>2014</v>
      </c>
      <c r="J59" s="461">
        <f t="shared" si="22"/>
        <v>2015</v>
      </c>
      <c r="K59" s="461">
        <f t="shared" si="22"/>
        <v>2016</v>
      </c>
      <c r="L59" s="461">
        <f t="shared" si="22"/>
        <v>2017</v>
      </c>
      <c r="M59" s="461">
        <f t="shared" si="22"/>
        <v>2018</v>
      </c>
      <c r="N59" s="461">
        <f t="shared" si="22"/>
        <v>2019</v>
      </c>
      <c r="O59" s="461">
        <f t="shared" si="22"/>
        <v>2020</v>
      </c>
      <c r="P59" s="461">
        <f t="shared" si="22"/>
        <v>2021</v>
      </c>
      <c r="Q59" s="461">
        <f t="shared" si="22"/>
        <v>2022</v>
      </c>
      <c r="R59" s="461">
        <f t="shared" si="22"/>
        <v>2023</v>
      </c>
      <c r="S59" s="461">
        <f t="shared" si="22"/>
        <v>2024</v>
      </c>
      <c r="T59" s="461">
        <f t="shared" si="22"/>
        <v>2025</v>
      </c>
      <c r="U59" s="461">
        <f t="shared" si="22"/>
        <v>2026</v>
      </c>
      <c r="V59" s="461">
        <f t="shared" si="22"/>
        <v>2027</v>
      </c>
      <c r="W59" s="461">
        <f t="shared" si="22"/>
        <v>2028</v>
      </c>
      <c r="X59" s="461">
        <f t="shared" si="22"/>
        <v>2029</v>
      </c>
      <c r="Y59" s="461">
        <f t="shared" si="22"/>
        <v>2030</v>
      </c>
      <c r="Z59" s="461">
        <f t="shared" si="22"/>
        <v>2031</v>
      </c>
      <c r="AA59" s="461">
        <f t="shared" si="22"/>
        <v>2032</v>
      </c>
    </row>
    <row r="60" spans="1:27" s="454" customFormat="1" outlineLevel="1" x14ac:dyDescent="0.2">
      <c r="A60" s="71" t="s">
        <v>322</v>
      </c>
      <c r="B60" s="71"/>
      <c r="C60" s="71"/>
      <c r="D60" s="80">
        <f>B152</f>
        <v>363.15012165245969</v>
      </c>
      <c r="E60" s="80">
        <f>D65</f>
        <v>1143.8065567577705</v>
      </c>
      <c r="F60" s="80">
        <f t="shared" ref="F60:W60" si="23">E65</f>
        <v>3864.6157915739409</v>
      </c>
      <c r="G60" s="80">
        <f t="shared" si="23"/>
        <v>16976.651999448903</v>
      </c>
      <c r="H60" s="80">
        <f t="shared" si="23"/>
        <v>23695.02575719438</v>
      </c>
      <c r="I60" s="80">
        <f t="shared" si="23"/>
        <v>22804.57072846092</v>
      </c>
      <c r="J60" s="80">
        <f t="shared" si="23"/>
        <v>19944.176799270939</v>
      </c>
      <c r="K60" s="80">
        <f t="shared" si="23"/>
        <v>15849.552994546659</v>
      </c>
      <c r="L60" s="80">
        <f t="shared" si="23"/>
        <v>10839.119010213952</v>
      </c>
      <c r="M60" s="80">
        <f t="shared" si="23"/>
        <v>6116.5235203473385</v>
      </c>
      <c r="N60" s="80">
        <f t="shared" si="23"/>
        <v>2674.6170450777277</v>
      </c>
      <c r="O60" s="80">
        <f t="shared" si="23"/>
        <v>1017.9336268761465</v>
      </c>
      <c r="P60" s="80">
        <f t="shared" si="23"/>
        <v>344.00825632164151</v>
      </c>
      <c r="Q60" s="80">
        <f t="shared" si="23"/>
        <v>67.206195595650286</v>
      </c>
      <c r="R60" s="80">
        <f t="shared" si="23"/>
        <v>-2.5579538487363607E-12</v>
      </c>
      <c r="S60" s="80">
        <f t="shared" si="23"/>
        <v>-2.5579538487363607E-12</v>
      </c>
      <c r="T60" s="80">
        <f t="shared" si="23"/>
        <v>-2.5579538487363607E-12</v>
      </c>
      <c r="U60" s="80">
        <f t="shared" si="23"/>
        <v>-2.5579538487363607E-12</v>
      </c>
      <c r="V60" s="80">
        <f t="shared" si="23"/>
        <v>-2.5579538487363607E-12</v>
      </c>
      <c r="W60" s="80">
        <f t="shared" si="23"/>
        <v>-2.5579538487363607E-12</v>
      </c>
      <c r="X60" s="80">
        <f>W65</f>
        <v>-2.5579538487363607E-12</v>
      </c>
      <c r="Y60" s="80">
        <f>X65</f>
        <v>-2.5579538487363607E-12</v>
      </c>
      <c r="Z60" s="80">
        <f>Y65</f>
        <v>-2.5579538487363607E-12</v>
      </c>
      <c r="AA60" s="80">
        <f>Z65</f>
        <v>-2.5579538487363607E-12</v>
      </c>
    </row>
    <row r="61" spans="1:27" s="454" customFormat="1" outlineLevel="1" x14ac:dyDescent="0.2">
      <c r="A61" s="71" t="s">
        <v>323</v>
      </c>
      <c r="B61" s="71"/>
      <c r="C61" s="71"/>
      <c r="D61" s="80">
        <f>'Data 2009-15 (Real $2008)'!D14/10^3</f>
        <v>900.87381417417419</v>
      </c>
      <c r="E61" s="80">
        <f>'Data 2009-15 (Real $2008)'!E14/10^3</f>
        <v>3128.8651083511272</v>
      </c>
      <c r="F61" s="80">
        <f>'Data 2009-15 (Real $2008)'!F14/10^3</f>
        <v>14800.781096006922</v>
      </c>
      <c r="G61" s="80">
        <f>'Data 2009-15 (Real $2008)'!G14/10^3</f>
        <v>10192.341702945465</v>
      </c>
      <c r="H61" s="80">
        <f>'Data 2009-15 (Real $2008)'!H14/10^3</f>
        <v>3566.2709641136021</v>
      </c>
      <c r="I61" s="80">
        <f>'Data 2009-15 (Real $2008)'!I14/10^3</f>
        <v>1993.4553734855997</v>
      </c>
      <c r="J61" s="80">
        <f>'Data 2009-15 (Real $2008)'!J14/10^3</f>
        <v>940.88673833913867</v>
      </c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</row>
    <row r="62" spans="1:27" s="454" customFormat="1" outlineLevel="1" x14ac:dyDescent="0.2">
      <c r="A62" s="71" t="s">
        <v>4</v>
      </c>
      <c r="B62" s="71"/>
      <c r="C62" s="71"/>
      <c r="D62" s="80">
        <f>'Data 2009-15 (Real $2008)'!D38/10^3</f>
        <v>0</v>
      </c>
      <c r="E62" s="80">
        <f>'Data 2009-15 (Real $2008)'!E38/10^3</f>
        <v>0</v>
      </c>
      <c r="F62" s="80">
        <f>'Data 2009-15 (Real $2008)'!F38/10^3</f>
        <v>0</v>
      </c>
      <c r="G62" s="80">
        <f>'Data 2009-15 (Real $2008)'!G38/10^3</f>
        <v>0</v>
      </c>
      <c r="H62" s="80">
        <f>'Data 2009-15 (Real $2008)'!H38/10^3</f>
        <v>0</v>
      </c>
      <c r="I62" s="80">
        <f>'Data 2009-15 (Real $2008)'!I38/10^3</f>
        <v>0</v>
      </c>
      <c r="J62" s="80">
        <f>'Data 2009-15 (Real $2008)'!J38/10^3</f>
        <v>0</v>
      </c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</row>
    <row r="63" spans="1:27" s="454" customFormat="1" outlineLevel="1" x14ac:dyDescent="0.2">
      <c r="A63" s="82" t="s">
        <v>5</v>
      </c>
      <c r="B63" s="82"/>
      <c r="C63" s="82"/>
      <c r="D63" s="80">
        <f>'Data 2009-15 (Real $2008)'!D47/10^3</f>
        <v>0</v>
      </c>
      <c r="E63" s="80">
        <f>'Data 2009-15 (Real $2008)'!E47/10^3</f>
        <v>0</v>
      </c>
      <c r="F63" s="80">
        <f>'Data 2009-15 (Real $2008)'!F47/10^3</f>
        <v>0</v>
      </c>
      <c r="G63" s="80">
        <f>'Data 2009-15 (Real $2008)'!G47/10^3</f>
        <v>0</v>
      </c>
      <c r="H63" s="80">
        <f>'Data 2009-15 (Real $2008)'!H47/10^3</f>
        <v>0</v>
      </c>
      <c r="I63" s="80">
        <f>'Data 2009-15 (Real $2008)'!I47/10^3</f>
        <v>0</v>
      </c>
      <c r="J63" s="80">
        <f>'Data 2009-15 (Real $2008)'!J47/10^3</f>
        <v>0</v>
      </c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</row>
    <row r="64" spans="1:27" s="454" customFormat="1" outlineLevel="1" x14ac:dyDescent="0.2">
      <c r="A64" s="71" t="s">
        <v>138</v>
      </c>
      <c r="B64" s="71"/>
      <c r="C64" s="71"/>
      <c r="D64" s="80">
        <f>D152+D246</f>
        <v>120.21737906886338</v>
      </c>
      <c r="E64" s="80">
        <f t="shared" ref="E64:W64" si="24">E152+E246</f>
        <v>408.05587353495633</v>
      </c>
      <c r="F64" s="80">
        <f t="shared" si="24"/>
        <v>1688.7448881319599</v>
      </c>
      <c r="G64" s="80">
        <f t="shared" si="24"/>
        <v>3473.9679451999878</v>
      </c>
      <c r="H64" s="80">
        <f t="shared" si="24"/>
        <v>4456.7259928470639</v>
      </c>
      <c r="I64" s="80">
        <f t="shared" si="24"/>
        <v>4853.8493026755777</v>
      </c>
      <c r="J64" s="80">
        <f t="shared" si="24"/>
        <v>5035.5105430634185</v>
      </c>
      <c r="K64" s="80">
        <f t="shared" si="24"/>
        <v>5010.4339843327061</v>
      </c>
      <c r="L64" s="80">
        <f t="shared" si="24"/>
        <v>4722.5954898666132</v>
      </c>
      <c r="M64" s="80">
        <f t="shared" si="24"/>
        <v>3441.9064752696108</v>
      </c>
      <c r="N64" s="80">
        <f t="shared" si="24"/>
        <v>1656.6834182015812</v>
      </c>
      <c r="O64" s="80">
        <f t="shared" si="24"/>
        <v>673.92537055450498</v>
      </c>
      <c r="P64" s="80">
        <f t="shared" si="24"/>
        <v>276.80206072599123</v>
      </c>
      <c r="Q64" s="80">
        <f t="shared" si="24"/>
        <v>67.206195595652844</v>
      </c>
      <c r="R64" s="80">
        <f t="shared" si="24"/>
        <v>0</v>
      </c>
      <c r="S64" s="80">
        <f t="shared" si="24"/>
        <v>0</v>
      </c>
      <c r="T64" s="80">
        <f t="shared" si="24"/>
        <v>0</v>
      </c>
      <c r="U64" s="80">
        <f t="shared" si="24"/>
        <v>0</v>
      </c>
      <c r="V64" s="80">
        <f t="shared" si="24"/>
        <v>0</v>
      </c>
      <c r="W64" s="80">
        <f t="shared" si="24"/>
        <v>0</v>
      </c>
      <c r="X64" s="80">
        <f>X152+X246</f>
        <v>0</v>
      </c>
      <c r="Y64" s="80">
        <f>Y152+Y246</f>
        <v>0</v>
      </c>
      <c r="Z64" s="80">
        <f>Z152+Z246</f>
        <v>0</v>
      </c>
      <c r="AA64" s="80">
        <f>AA152+AA246</f>
        <v>0</v>
      </c>
    </row>
    <row r="65" spans="1:27" s="454" customFormat="1" outlineLevel="1" x14ac:dyDescent="0.2">
      <c r="A65" s="71" t="s">
        <v>324</v>
      </c>
      <c r="B65" s="71"/>
      <c r="C65" s="71"/>
      <c r="D65" s="107">
        <f t="shared" ref="D65:W65" si="25">D60+D61-SUM(D62:D64)</f>
        <v>1143.8065567577705</v>
      </c>
      <c r="E65" s="107">
        <f t="shared" si="25"/>
        <v>3864.6157915739409</v>
      </c>
      <c r="F65" s="107">
        <f t="shared" si="25"/>
        <v>16976.651999448903</v>
      </c>
      <c r="G65" s="107">
        <f t="shared" si="25"/>
        <v>23695.02575719438</v>
      </c>
      <c r="H65" s="107">
        <f t="shared" si="25"/>
        <v>22804.57072846092</v>
      </c>
      <c r="I65" s="107">
        <f t="shared" si="25"/>
        <v>19944.176799270939</v>
      </c>
      <c r="J65" s="107">
        <f t="shared" si="25"/>
        <v>15849.552994546659</v>
      </c>
      <c r="K65" s="107">
        <f t="shared" si="25"/>
        <v>10839.119010213952</v>
      </c>
      <c r="L65" s="107">
        <f t="shared" si="25"/>
        <v>6116.5235203473385</v>
      </c>
      <c r="M65" s="107">
        <f t="shared" si="25"/>
        <v>2674.6170450777277</v>
      </c>
      <c r="N65" s="107">
        <f t="shared" si="25"/>
        <v>1017.9336268761465</v>
      </c>
      <c r="O65" s="107">
        <f t="shared" si="25"/>
        <v>344.00825632164151</v>
      </c>
      <c r="P65" s="107">
        <f t="shared" si="25"/>
        <v>67.206195595650286</v>
      </c>
      <c r="Q65" s="107">
        <f t="shared" si="25"/>
        <v>-2.5579538487363607E-12</v>
      </c>
      <c r="R65" s="107">
        <f t="shared" si="25"/>
        <v>-2.5579538487363607E-12</v>
      </c>
      <c r="S65" s="107">
        <f t="shared" si="25"/>
        <v>-2.5579538487363607E-12</v>
      </c>
      <c r="T65" s="107">
        <f t="shared" si="25"/>
        <v>-2.5579538487363607E-12</v>
      </c>
      <c r="U65" s="107">
        <f t="shared" si="25"/>
        <v>-2.5579538487363607E-12</v>
      </c>
      <c r="V65" s="107">
        <f t="shared" si="25"/>
        <v>-2.5579538487363607E-12</v>
      </c>
      <c r="W65" s="107">
        <f t="shared" si="25"/>
        <v>-2.5579538487363607E-12</v>
      </c>
      <c r="X65" s="107">
        <f>X60+X61-SUM(X62:X64)</f>
        <v>-2.5579538487363607E-12</v>
      </c>
      <c r="Y65" s="107">
        <f>Y60+Y61-SUM(Y62:Y64)</f>
        <v>-2.5579538487363607E-12</v>
      </c>
      <c r="Z65" s="107">
        <f>Z60+Z61-SUM(Z62:Z64)</f>
        <v>-2.5579538487363607E-12</v>
      </c>
      <c r="AA65" s="107">
        <f>AA60+AA61-SUM(AA62:AA64)</f>
        <v>-2.5579538487363607E-12</v>
      </c>
    </row>
    <row r="66" spans="1:27" s="83" customFormat="1" outlineLevel="1" x14ac:dyDescent="0.2">
      <c r="A66" s="485"/>
      <c r="C66" s="486"/>
      <c r="D66" s="487"/>
      <c r="E66" s="487"/>
      <c r="F66" s="487"/>
      <c r="G66" s="487"/>
      <c r="H66" s="487"/>
      <c r="I66" s="487"/>
      <c r="J66" s="487"/>
      <c r="K66" s="487"/>
      <c r="L66" s="487"/>
      <c r="M66" s="487"/>
      <c r="N66" s="487"/>
      <c r="O66" s="487"/>
      <c r="P66" s="487"/>
      <c r="Q66" s="487"/>
      <c r="R66" s="487"/>
      <c r="S66" s="487"/>
      <c r="T66" s="487"/>
      <c r="U66" s="487"/>
      <c r="V66" s="487"/>
      <c r="W66" s="487"/>
      <c r="X66" s="487"/>
      <c r="Y66" s="487"/>
      <c r="Z66" s="487"/>
      <c r="AA66" s="487"/>
    </row>
    <row r="67" spans="1:27" s="83" customFormat="1" outlineLevel="1" x14ac:dyDescent="0.2">
      <c r="A67" s="485"/>
      <c r="C67" s="486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</row>
    <row r="68" spans="1:27" s="454" customFormat="1" outlineLevel="1" x14ac:dyDescent="0.2">
      <c r="A68" s="344" t="s">
        <v>285</v>
      </c>
      <c r="B68" s="453"/>
      <c r="C68" s="453"/>
      <c r="D68" s="82"/>
      <c r="E68" s="82"/>
      <c r="F68" s="82"/>
      <c r="G68" s="82"/>
    </row>
    <row r="69" spans="1:27" s="454" customFormat="1" outlineLevel="1" x14ac:dyDescent="0.2">
      <c r="A69" s="344" t="str">
        <f>$A$4</f>
        <v>($000 Real 2008)</v>
      </c>
      <c r="B69" s="407"/>
      <c r="C69" s="407"/>
      <c r="D69" s="461">
        <f>D$4</f>
        <v>2009</v>
      </c>
      <c r="E69" s="461">
        <f t="shared" ref="E69:AA69" si="26">E$4</f>
        <v>2010</v>
      </c>
      <c r="F69" s="461">
        <f t="shared" si="26"/>
        <v>2011</v>
      </c>
      <c r="G69" s="461">
        <f t="shared" si="26"/>
        <v>2012</v>
      </c>
      <c r="H69" s="461">
        <f t="shared" si="26"/>
        <v>2013</v>
      </c>
      <c r="I69" s="461">
        <f t="shared" si="26"/>
        <v>2014</v>
      </c>
      <c r="J69" s="461">
        <f t="shared" si="26"/>
        <v>2015</v>
      </c>
      <c r="K69" s="461">
        <f t="shared" si="26"/>
        <v>2016</v>
      </c>
      <c r="L69" s="461">
        <f t="shared" si="26"/>
        <v>2017</v>
      </c>
      <c r="M69" s="461">
        <f t="shared" si="26"/>
        <v>2018</v>
      </c>
      <c r="N69" s="461">
        <f t="shared" si="26"/>
        <v>2019</v>
      </c>
      <c r="O69" s="461">
        <f t="shared" si="26"/>
        <v>2020</v>
      </c>
      <c r="P69" s="461">
        <f t="shared" si="26"/>
        <v>2021</v>
      </c>
      <c r="Q69" s="461">
        <f t="shared" si="26"/>
        <v>2022</v>
      </c>
      <c r="R69" s="461">
        <f t="shared" si="26"/>
        <v>2023</v>
      </c>
      <c r="S69" s="461">
        <f t="shared" si="26"/>
        <v>2024</v>
      </c>
      <c r="T69" s="461">
        <f t="shared" si="26"/>
        <v>2025</v>
      </c>
      <c r="U69" s="461">
        <f t="shared" si="26"/>
        <v>2026</v>
      </c>
      <c r="V69" s="461">
        <f t="shared" si="26"/>
        <v>2027</v>
      </c>
      <c r="W69" s="461">
        <f t="shared" si="26"/>
        <v>2028</v>
      </c>
      <c r="X69" s="461">
        <f t="shared" si="26"/>
        <v>2029</v>
      </c>
      <c r="Y69" s="461">
        <f t="shared" si="26"/>
        <v>2030</v>
      </c>
      <c r="Z69" s="461">
        <f t="shared" si="26"/>
        <v>2031</v>
      </c>
      <c r="AA69" s="461">
        <f t="shared" si="26"/>
        <v>2032</v>
      </c>
    </row>
    <row r="70" spans="1:27" s="454" customFormat="1" outlineLevel="1" x14ac:dyDescent="0.2">
      <c r="A70" s="71" t="s">
        <v>322</v>
      </c>
      <c r="B70" s="71"/>
      <c r="C70" s="71"/>
      <c r="D70" s="80">
        <f>B116+B160</f>
        <v>275.7052207503632</v>
      </c>
      <c r="E70" s="80">
        <f>D75</f>
        <v>697.77952105027805</v>
      </c>
      <c r="F70" s="80">
        <f t="shared" ref="F70:W70" si="27">E75</f>
        <v>1129.5109781613612</v>
      </c>
      <c r="G70" s="80">
        <f t="shared" si="27"/>
        <v>1225.3150091261514</v>
      </c>
      <c r="H70" s="80">
        <f t="shared" si="27"/>
        <v>1122.2375026544005</v>
      </c>
      <c r="I70" s="80">
        <f t="shared" si="27"/>
        <v>884.02669961045217</v>
      </c>
      <c r="J70" s="80">
        <f t="shared" si="27"/>
        <v>717.3950497679175</v>
      </c>
      <c r="K70" s="80">
        <f t="shared" si="27"/>
        <v>565.60671957813099</v>
      </c>
      <c r="L70" s="80">
        <f t="shared" si="27"/>
        <v>341.26949538991153</v>
      </c>
      <c r="M70" s="80">
        <f t="shared" si="27"/>
        <v>195.01198455307082</v>
      </c>
      <c r="N70" s="80">
        <f t="shared" si="27"/>
        <v>113.74873763435005</v>
      </c>
      <c r="O70" s="80">
        <f t="shared" si="27"/>
        <v>66.339721114780275</v>
      </c>
      <c r="P70" s="80">
        <f t="shared" si="27"/>
        <v>32.299829362789531</v>
      </c>
      <c r="Q70" s="80">
        <f t="shared" si="27"/>
        <v>8.2239022339460632</v>
      </c>
      <c r="R70" s="80">
        <f t="shared" si="27"/>
        <v>-1.4210854715202004E-14</v>
      </c>
      <c r="S70" s="80">
        <f t="shared" si="27"/>
        <v>-1.4210854715202004E-14</v>
      </c>
      <c r="T70" s="80">
        <f t="shared" si="27"/>
        <v>-1.4210854715202004E-14</v>
      </c>
      <c r="U70" s="80">
        <f t="shared" si="27"/>
        <v>-1.4210854715202004E-14</v>
      </c>
      <c r="V70" s="80">
        <f t="shared" si="27"/>
        <v>-1.4210854715202004E-14</v>
      </c>
      <c r="W70" s="80">
        <f t="shared" si="27"/>
        <v>-1.4210854715202004E-14</v>
      </c>
      <c r="X70" s="80">
        <f>W75</f>
        <v>-1.4210854715202004E-14</v>
      </c>
      <c r="Y70" s="80">
        <f>X75</f>
        <v>-1.4210854715202004E-14</v>
      </c>
      <c r="Z70" s="80">
        <f>Y75</f>
        <v>-1.4210854715202004E-14</v>
      </c>
      <c r="AA70" s="80">
        <f>Z75</f>
        <v>-1.4210854715202004E-14</v>
      </c>
    </row>
    <row r="71" spans="1:27" s="454" customFormat="1" outlineLevel="1" x14ac:dyDescent="0.2">
      <c r="A71" s="71" t="s">
        <v>323</v>
      </c>
      <c r="B71" s="71"/>
      <c r="C71" s="71"/>
      <c r="D71" s="80">
        <f>'Data 2009-15 (Real $2008)'!D15/10^3</f>
        <v>502.68955837837836</v>
      </c>
      <c r="E71" s="80">
        <f>'Data 2009-15 (Real $2008)'!E15/10^3</f>
        <v>590.42642854092537</v>
      </c>
      <c r="F71" s="80">
        <f>'Data 2009-15 (Real $2008)'!F15/10^3</f>
        <v>319.49326631275244</v>
      </c>
      <c r="G71" s="80">
        <f>'Data 2009-15 (Real $2008)'!G15/10^3</f>
        <v>154.46595927536234</v>
      </c>
      <c r="H71" s="80">
        <f>'Data 2009-15 (Real $2008)'!H15/10^3</f>
        <v>32.701787470744009</v>
      </c>
      <c r="I71" s="80">
        <f>'Data 2009-15 (Real $2008)'!I15/10^3</f>
        <v>106.79371725331792</v>
      </c>
      <c r="J71" s="80">
        <f>'Data 2009-15 (Real $2008)'!J15/10^3</f>
        <v>115.13463127524524</v>
      </c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</row>
    <row r="72" spans="1:27" s="454" customFormat="1" outlineLevel="1" x14ac:dyDescent="0.2">
      <c r="A72" s="71" t="s">
        <v>4</v>
      </c>
      <c r="B72" s="71"/>
      <c r="C72" s="71"/>
      <c r="D72" s="80">
        <f>'Data 2009-15 (Real $2008)'!D39/10^3</f>
        <v>0</v>
      </c>
      <c r="E72" s="80">
        <f>'Data 2009-15 (Real $2008)'!E39/10^3</f>
        <v>0</v>
      </c>
      <c r="F72" s="80">
        <f>'Data 2009-15 (Real $2008)'!F39/10^3</f>
        <v>0</v>
      </c>
      <c r="G72" s="80">
        <f>'Data 2009-15 (Real $2008)'!G39/10^3</f>
        <v>0</v>
      </c>
      <c r="H72" s="80">
        <f>'Data 2009-15 (Real $2008)'!H39/10^3</f>
        <v>0</v>
      </c>
      <c r="I72" s="80">
        <f>'Data 2009-15 (Real $2008)'!I39/10^3</f>
        <v>0</v>
      </c>
      <c r="J72" s="80">
        <f>'Data 2009-15 (Real $2008)'!J39/10^3</f>
        <v>0</v>
      </c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</row>
    <row r="73" spans="1:27" s="454" customFormat="1" outlineLevel="1" x14ac:dyDescent="0.2">
      <c r="A73" s="82" t="s">
        <v>5</v>
      </c>
      <c r="B73" s="82"/>
      <c r="C73" s="82"/>
      <c r="D73" s="80">
        <f>'Data 2009-15 (Real $2008)'!D48/10^3</f>
        <v>0</v>
      </c>
      <c r="E73" s="80">
        <f>'Data 2009-15 (Real $2008)'!E48/10^3</f>
        <v>0</v>
      </c>
      <c r="F73" s="80">
        <f>'Data 2009-15 (Real $2008)'!F48/10^3</f>
        <v>0</v>
      </c>
      <c r="G73" s="80">
        <f>'Data 2009-15 (Real $2008)'!G48/10^3</f>
        <v>0</v>
      </c>
      <c r="H73" s="80">
        <f>'Data 2009-15 (Real $2008)'!H48/10^3</f>
        <v>0</v>
      </c>
      <c r="I73" s="80">
        <f>'Data 2009-15 (Real $2008)'!I48/10^3</f>
        <v>0</v>
      </c>
      <c r="J73" s="80">
        <f>'Data 2009-15 (Real $2008)'!J48/10^3</f>
        <v>0</v>
      </c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</row>
    <row r="74" spans="1:27" s="454" customFormat="1" outlineLevel="1" x14ac:dyDescent="0.2">
      <c r="A74" s="71" t="s">
        <v>138</v>
      </c>
      <c r="B74" s="71"/>
      <c r="C74" s="71"/>
      <c r="D74" s="80">
        <f>D116+D160+D258</f>
        <v>80.615258078463484</v>
      </c>
      <c r="E74" s="80">
        <f t="shared" ref="E74:W74" si="28">E116+E160+E258</f>
        <v>158.69497142984233</v>
      </c>
      <c r="F74" s="80">
        <f t="shared" si="28"/>
        <v>223.68923534796218</v>
      </c>
      <c r="G74" s="80">
        <f t="shared" si="28"/>
        <v>257.54346574711326</v>
      </c>
      <c r="H74" s="80">
        <f t="shared" si="28"/>
        <v>270.91259051469228</v>
      </c>
      <c r="I74" s="80">
        <f t="shared" si="28"/>
        <v>273.42536709585266</v>
      </c>
      <c r="J74" s="80">
        <f t="shared" si="28"/>
        <v>266.92296146503179</v>
      </c>
      <c r="K74" s="80">
        <f t="shared" si="28"/>
        <v>224.33722418821949</v>
      </c>
      <c r="L74" s="80">
        <f t="shared" si="28"/>
        <v>146.25751083684071</v>
      </c>
      <c r="M74" s="80">
        <f t="shared" si="28"/>
        <v>81.263246918720768</v>
      </c>
      <c r="N74" s="80">
        <f t="shared" si="28"/>
        <v>47.409016519569775</v>
      </c>
      <c r="O74" s="80">
        <f t="shared" si="28"/>
        <v>34.039891751990744</v>
      </c>
      <c r="P74" s="80">
        <f t="shared" si="28"/>
        <v>24.075927128843468</v>
      </c>
      <c r="Q74" s="80">
        <f t="shared" si="28"/>
        <v>8.2239022339460774</v>
      </c>
      <c r="R74" s="80">
        <f t="shared" si="28"/>
        <v>0</v>
      </c>
      <c r="S74" s="80">
        <f t="shared" si="28"/>
        <v>0</v>
      </c>
      <c r="T74" s="80">
        <f t="shared" si="28"/>
        <v>0</v>
      </c>
      <c r="U74" s="80">
        <f t="shared" si="28"/>
        <v>0</v>
      </c>
      <c r="V74" s="80">
        <f t="shared" si="28"/>
        <v>0</v>
      </c>
      <c r="W74" s="80">
        <f t="shared" si="28"/>
        <v>0</v>
      </c>
      <c r="X74" s="80">
        <f>X116+X160+X258</f>
        <v>0</v>
      </c>
      <c r="Y74" s="80">
        <f>Y116+Y160+Y258</f>
        <v>0</v>
      </c>
      <c r="Z74" s="80">
        <f>Z116+Z160+Z258</f>
        <v>0</v>
      </c>
      <c r="AA74" s="80">
        <f>AA116+AA160+AA258</f>
        <v>0</v>
      </c>
    </row>
    <row r="75" spans="1:27" s="454" customFormat="1" outlineLevel="1" x14ac:dyDescent="0.2">
      <c r="A75" s="71" t="s">
        <v>324</v>
      </c>
      <c r="B75" s="71"/>
      <c r="C75" s="71"/>
      <c r="D75" s="107">
        <f t="shared" ref="D75:W75" si="29">D70+D71-SUM(D72:D74)</f>
        <v>697.77952105027805</v>
      </c>
      <c r="E75" s="107">
        <f t="shared" si="29"/>
        <v>1129.5109781613612</v>
      </c>
      <c r="F75" s="107">
        <f t="shared" si="29"/>
        <v>1225.3150091261514</v>
      </c>
      <c r="G75" s="107">
        <f t="shared" si="29"/>
        <v>1122.2375026544005</v>
      </c>
      <c r="H75" s="107">
        <f t="shared" si="29"/>
        <v>884.02669961045217</v>
      </c>
      <c r="I75" s="107">
        <f t="shared" si="29"/>
        <v>717.3950497679175</v>
      </c>
      <c r="J75" s="107">
        <f t="shared" si="29"/>
        <v>565.60671957813099</v>
      </c>
      <c r="K75" s="107">
        <f t="shared" si="29"/>
        <v>341.26949538991153</v>
      </c>
      <c r="L75" s="107">
        <f t="shared" si="29"/>
        <v>195.01198455307082</v>
      </c>
      <c r="M75" s="107">
        <f t="shared" si="29"/>
        <v>113.74873763435005</v>
      </c>
      <c r="N75" s="107">
        <f t="shared" si="29"/>
        <v>66.339721114780275</v>
      </c>
      <c r="O75" s="107">
        <f t="shared" si="29"/>
        <v>32.299829362789531</v>
      </c>
      <c r="P75" s="107">
        <f t="shared" si="29"/>
        <v>8.2239022339460632</v>
      </c>
      <c r="Q75" s="107">
        <f t="shared" si="29"/>
        <v>-1.4210854715202004E-14</v>
      </c>
      <c r="R75" s="107">
        <f t="shared" si="29"/>
        <v>-1.4210854715202004E-14</v>
      </c>
      <c r="S75" s="107">
        <f t="shared" si="29"/>
        <v>-1.4210854715202004E-14</v>
      </c>
      <c r="T75" s="107">
        <f t="shared" si="29"/>
        <v>-1.4210854715202004E-14</v>
      </c>
      <c r="U75" s="107">
        <f t="shared" si="29"/>
        <v>-1.4210854715202004E-14</v>
      </c>
      <c r="V75" s="107">
        <f t="shared" si="29"/>
        <v>-1.4210854715202004E-14</v>
      </c>
      <c r="W75" s="107">
        <f t="shared" si="29"/>
        <v>-1.4210854715202004E-14</v>
      </c>
      <c r="X75" s="107">
        <f>X70+X71-SUM(X72:X74)</f>
        <v>-1.4210854715202004E-14</v>
      </c>
      <c r="Y75" s="107">
        <f>Y70+Y71-SUM(Y72:Y74)</f>
        <v>-1.4210854715202004E-14</v>
      </c>
      <c r="Z75" s="107">
        <f>Z70+Z71-SUM(Z72:Z74)</f>
        <v>-1.4210854715202004E-14</v>
      </c>
      <c r="AA75" s="107">
        <f>AA70+AA71-SUM(AA72:AA74)</f>
        <v>-1.4210854715202004E-14</v>
      </c>
    </row>
    <row r="76" spans="1:27" s="83" customFormat="1" outlineLevel="1" x14ac:dyDescent="0.2">
      <c r="A76" s="485"/>
      <c r="C76" s="486"/>
      <c r="D76" s="487"/>
      <c r="E76" s="487"/>
      <c r="F76" s="487"/>
      <c r="G76" s="487"/>
      <c r="H76" s="487"/>
      <c r="I76" s="487"/>
      <c r="J76" s="487"/>
      <c r="K76" s="487"/>
      <c r="L76" s="487"/>
      <c r="M76" s="487"/>
      <c r="N76" s="487"/>
      <c r="O76" s="487"/>
      <c r="P76" s="487"/>
      <c r="Q76" s="487"/>
      <c r="R76" s="487"/>
      <c r="S76" s="487"/>
      <c r="T76" s="487"/>
      <c r="U76" s="487"/>
      <c r="V76" s="487"/>
      <c r="W76" s="487"/>
      <c r="X76" s="487"/>
      <c r="Y76" s="487"/>
      <c r="Z76" s="487"/>
      <c r="AA76" s="487"/>
    </row>
    <row r="77" spans="1:27" s="99" customFormat="1" outlineLevel="1" x14ac:dyDescent="0.2">
      <c r="A77" s="543" t="s">
        <v>0</v>
      </c>
      <c r="B77" s="546"/>
      <c r="C77" s="544">
        <f>SUM(D77:AA77)</f>
        <v>0</v>
      </c>
      <c r="D77" s="547">
        <f>IF(ABS(D10-D25-D35-D45-D55-D65-D75)&lt;0.001,0,ABS(D10-D25-D35-D45-D55-D65-D75))</f>
        <v>0</v>
      </c>
      <c r="E77" s="547">
        <f t="shared" ref="E77:W77" si="30">IF(ABS(E10-E25-E35-E45-E55-E65-E75)&lt;0.001,0,ABS(E10-E25-E35-E45-E55-E65-E75))</f>
        <v>0</v>
      </c>
      <c r="F77" s="547">
        <f t="shared" si="30"/>
        <v>0</v>
      </c>
      <c r="G77" s="547">
        <f t="shared" si="30"/>
        <v>0</v>
      </c>
      <c r="H77" s="547">
        <f t="shared" si="30"/>
        <v>0</v>
      </c>
      <c r="I77" s="547">
        <f t="shared" si="30"/>
        <v>0</v>
      </c>
      <c r="J77" s="547">
        <f t="shared" si="30"/>
        <v>0</v>
      </c>
      <c r="K77" s="547">
        <f t="shared" si="30"/>
        <v>0</v>
      </c>
      <c r="L77" s="547">
        <f t="shared" si="30"/>
        <v>0</v>
      </c>
      <c r="M77" s="547">
        <f t="shared" si="30"/>
        <v>0</v>
      </c>
      <c r="N77" s="547">
        <f t="shared" si="30"/>
        <v>0</v>
      </c>
      <c r="O77" s="547">
        <f t="shared" si="30"/>
        <v>0</v>
      </c>
      <c r="P77" s="547">
        <f t="shared" si="30"/>
        <v>0</v>
      </c>
      <c r="Q77" s="547">
        <f t="shared" si="30"/>
        <v>0</v>
      </c>
      <c r="R77" s="547">
        <f t="shared" si="30"/>
        <v>0</v>
      </c>
      <c r="S77" s="547">
        <f t="shared" si="30"/>
        <v>0</v>
      </c>
      <c r="T77" s="547">
        <f t="shared" si="30"/>
        <v>0</v>
      </c>
      <c r="U77" s="547">
        <f t="shared" si="30"/>
        <v>0</v>
      </c>
      <c r="V77" s="547">
        <f t="shared" si="30"/>
        <v>0</v>
      </c>
      <c r="W77" s="547">
        <f t="shared" si="30"/>
        <v>0</v>
      </c>
      <c r="X77" s="547">
        <f>IF(ABS(X10-X25-X35-X45-X55-X65-X75)&lt;0.001,0,ABS(X10-X25-X35-X45-X55-X65-X75))</f>
        <v>0</v>
      </c>
      <c r="Y77" s="547">
        <f>IF(ABS(Y10-Y25-Y35-Y45-Y55-Y65-Y75)&lt;0.001,0,ABS(Y10-Y25-Y35-Y45-Y55-Y65-Y75))</f>
        <v>0</v>
      </c>
      <c r="Z77" s="547">
        <f>IF(ABS(Z10-Z25-Z35-Z45-Z55-Z65-Z75)&lt;0.001,0,ABS(Z10-Z25-Z35-Z45-Z55-Z65-Z75))</f>
        <v>0</v>
      </c>
      <c r="AA77" s="547">
        <f>IF(ABS(AA10-AA25-AA35-AA45-AA55-AA65-AA75)&lt;0.001,0,ABS(AA10-AA25-AA35-AA45-AA55-AA65-AA75))</f>
        <v>0</v>
      </c>
    </row>
    <row r="78" spans="1:27" s="83" customFormat="1" x14ac:dyDescent="0.2">
      <c r="A78" s="485"/>
      <c r="C78" s="486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7"/>
      <c r="O78" s="487"/>
      <c r="P78" s="487"/>
      <c r="Q78" s="487"/>
      <c r="R78" s="487"/>
      <c r="S78" s="487"/>
      <c r="T78" s="487"/>
      <c r="U78" s="487"/>
      <c r="V78" s="487"/>
      <c r="W78" s="487"/>
      <c r="X78" s="487"/>
      <c r="Y78" s="487"/>
      <c r="Z78" s="487"/>
      <c r="AA78" s="487"/>
    </row>
    <row r="79" spans="1:27" x14ac:dyDescent="0.2">
      <c r="A79" s="457" t="s">
        <v>335</v>
      </c>
      <c r="B79" s="457"/>
      <c r="C79" s="457"/>
      <c r="G79" s="58"/>
    </row>
    <row r="80" spans="1:27" x14ac:dyDescent="0.2">
      <c r="A80" s="344" t="str">
        <f>$A$4</f>
        <v>($000 Real 2008)</v>
      </c>
      <c r="B80" s="457"/>
      <c r="C80" s="457"/>
      <c r="G80" s="58"/>
    </row>
    <row r="81" spans="1:27" x14ac:dyDescent="0.2">
      <c r="A81" s="99" t="s">
        <v>331</v>
      </c>
      <c r="D81" s="461">
        <f>D$4</f>
        <v>2009</v>
      </c>
      <c r="E81" s="461">
        <f t="shared" ref="E81:AA81" si="31">E$4</f>
        <v>2010</v>
      </c>
      <c r="F81" s="461">
        <f t="shared" si="31"/>
        <v>2011</v>
      </c>
      <c r="G81" s="461">
        <f t="shared" si="31"/>
        <v>2012</v>
      </c>
      <c r="H81" s="461">
        <f t="shared" si="31"/>
        <v>2013</v>
      </c>
      <c r="I81" s="461">
        <f t="shared" si="31"/>
        <v>2014</v>
      </c>
      <c r="J81" s="461">
        <f t="shared" si="31"/>
        <v>2015</v>
      </c>
      <c r="K81" s="461">
        <f t="shared" si="31"/>
        <v>2016</v>
      </c>
      <c r="L81" s="461">
        <f t="shared" si="31"/>
        <v>2017</v>
      </c>
      <c r="M81" s="461">
        <f t="shared" si="31"/>
        <v>2018</v>
      </c>
      <c r="N81" s="461">
        <f t="shared" si="31"/>
        <v>2019</v>
      </c>
      <c r="O81" s="461">
        <f t="shared" si="31"/>
        <v>2020</v>
      </c>
      <c r="P81" s="461">
        <f t="shared" si="31"/>
        <v>2021</v>
      </c>
      <c r="Q81" s="461">
        <f t="shared" si="31"/>
        <v>2022</v>
      </c>
      <c r="R81" s="461">
        <f t="shared" si="31"/>
        <v>2023</v>
      </c>
      <c r="S81" s="461">
        <f t="shared" si="31"/>
        <v>2024</v>
      </c>
      <c r="T81" s="461">
        <f t="shared" si="31"/>
        <v>2025</v>
      </c>
      <c r="U81" s="461">
        <f t="shared" si="31"/>
        <v>2026</v>
      </c>
      <c r="V81" s="461">
        <f t="shared" si="31"/>
        <v>2027</v>
      </c>
      <c r="W81" s="461">
        <f t="shared" si="31"/>
        <v>2028</v>
      </c>
      <c r="X81" s="461">
        <f t="shared" si="31"/>
        <v>2029</v>
      </c>
      <c r="Y81" s="461">
        <f t="shared" si="31"/>
        <v>2030</v>
      </c>
      <c r="Z81" s="461">
        <f t="shared" si="31"/>
        <v>2031</v>
      </c>
      <c r="AA81" s="461">
        <f t="shared" si="31"/>
        <v>2032</v>
      </c>
    </row>
    <row r="82" spans="1:27" x14ac:dyDescent="0.2">
      <c r="A82" s="71" t="s">
        <v>172</v>
      </c>
      <c r="D82" s="85">
        <f>B119</f>
        <v>18070.062561665247</v>
      </c>
      <c r="E82" s="85">
        <f>D84</f>
        <v>14456.050049332198</v>
      </c>
      <c r="F82" s="85">
        <f t="shared" ref="F82:W82" si="32">E84</f>
        <v>10842.037536999149</v>
      </c>
      <c r="G82" s="85">
        <f t="shared" si="32"/>
        <v>7228.0250246660999</v>
      </c>
      <c r="H82" s="85">
        <f t="shared" si="32"/>
        <v>3614.0125123330508</v>
      </c>
      <c r="I82" s="85">
        <f t="shared" si="32"/>
        <v>0</v>
      </c>
      <c r="J82" s="85">
        <f t="shared" si="32"/>
        <v>4.5474735088646412E-13</v>
      </c>
      <c r="K82" s="85">
        <f t="shared" si="32"/>
        <v>4.5474735088646412E-13</v>
      </c>
      <c r="L82" s="85">
        <f t="shared" si="32"/>
        <v>4.5474735088646412E-13</v>
      </c>
      <c r="M82" s="85">
        <f t="shared" si="32"/>
        <v>4.5474735088646412E-13</v>
      </c>
      <c r="N82" s="85">
        <f t="shared" si="32"/>
        <v>4.5474735088646412E-13</v>
      </c>
      <c r="O82" s="85">
        <f t="shared" si="32"/>
        <v>4.5474735088646412E-13</v>
      </c>
      <c r="P82" s="85">
        <f t="shared" si="32"/>
        <v>4.5474735088646412E-13</v>
      </c>
      <c r="Q82" s="85">
        <f t="shared" si="32"/>
        <v>4.5474735088646412E-13</v>
      </c>
      <c r="R82" s="85">
        <f t="shared" si="32"/>
        <v>4.5474735088646412E-13</v>
      </c>
      <c r="S82" s="85">
        <f t="shared" si="32"/>
        <v>4.5474735088646412E-13</v>
      </c>
      <c r="T82" s="85">
        <f t="shared" si="32"/>
        <v>4.5474735088646412E-13</v>
      </c>
      <c r="U82" s="85">
        <f t="shared" si="32"/>
        <v>4.5474735088646412E-13</v>
      </c>
      <c r="V82" s="85">
        <f t="shared" si="32"/>
        <v>4.5474735088646412E-13</v>
      </c>
      <c r="W82" s="85">
        <f t="shared" si="32"/>
        <v>4.5474735088646412E-13</v>
      </c>
      <c r="X82" s="85">
        <f>W84</f>
        <v>4.5474735088646412E-13</v>
      </c>
      <c r="Y82" s="85">
        <f>X84</f>
        <v>4.5474735088646412E-13</v>
      </c>
      <c r="Z82" s="85">
        <f>Y84</f>
        <v>4.5474735088646412E-13</v>
      </c>
      <c r="AA82" s="85">
        <f>Z84</f>
        <v>4.5474735088646412E-13</v>
      </c>
    </row>
    <row r="83" spans="1:27" x14ac:dyDescent="0.2">
      <c r="A83" s="82" t="s">
        <v>138</v>
      </c>
      <c r="D83" s="85">
        <f>D119</f>
        <v>3614.012512333049</v>
      </c>
      <c r="E83" s="85">
        <f t="shared" ref="E83:W83" si="33">E119</f>
        <v>3614.012512333049</v>
      </c>
      <c r="F83" s="85">
        <f t="shared" si="33"/>
        <v>3614.012512333049</v>
      </c>
      <c r="G83" s="85">
        <f t="shared" si="33"/>
        <v>3614.012512333049</v>
      </c>
      <c r="H83" s="85">
        <f t="shared" si="33"/>
        <v>3614.012512333049</v>
      </c>
      <c r="I83" s="85">
        <f t="shared" si="33"/>
        <v>-4.5474735088646412E-13</v>
      </c>
      <c r="J83" s="85">
        <f t="shared" si="33"/>
        <v>0</v>
      </c>
      <c r="K83" s="85">
        <f t="shared" si="33"/>
        <v>0</v>
      </c>
      <c r="L83" s="85">
        <f t="shared" si="33"/>
        <v>0</v>
      </c>
      <c r="M83" s="85">
        <f t="shared" si="33"/>
        <v>0</v>
      </c>
      <c r="N83" s="85">
        <f t="shared" si="33"/>
        <v>0</v>
      </c>
      <c r="O83" s="85">
        <f t="shared" si="33"/>
        <v>0</v>
      </c>
      <c r="P83" s="85">
        <f t="shared" si="33"/>
        <v>0</v>
      </c>
      <c r="Q83" s="85">
        <f t="shared" si="33"/>
        <v>0</v>
      </c>
      <c r="R83" s="85">
        <f t="shared" si="33"/>
        <v>0</v>
      </c>
      <c r="S83" s="85">
        <f t="shared" si="33"/>
        <v>0</v>
      </c>
      <c r="T83" s="85">
        <f t="shared" si="33"/>
        <v>0</v>
      </c>
      <c r="U83" s="85">
        <f t="shared" si="33"/>
        <v>0</v>
      </c>
      <c r="V83" s="85">
        <f t="shared" si="33"/>
        <v>0</v>
      </c>
      <c r="W83" s="85">
        <f t="shared" si="33"/>
        <v>0</v>
      </c>
      <c r="X83" s="85">
        <f>X119</f>
        <v>0</v>
      </c>
      <c r="Y83" s="85">
        <f>Y119</f>
        <v>0</v>
      </c>
      <c r="Z83" s="85">
        <f>Z119</f>
        <v>0</v>
      </c>
      <c r="AA83" s="85">
        <f>AA119</f>
        <v>0</v>
      </c>
    </row>
    <row r="84" spans="1:27" ht="13.5" thickBot="1" x14ac:dyDescent="0.25">
      <c r="A84" s="71" t="s">
        <v>174</v>
      </c>
      <c r="D84" s="74">
        <f>D82-D83</f>
        <v>14456.050049332198</v>
      </c>
      <c r="E84" s="74">
        <f t="shared" ref="E84:W84" si="34">E82-E83</f>
        <v>10842.037536999149</v>
      </c>
      <c r="F84" s="74">
        <f t="shared" si="34"/>
        <v>7228.0250246660999</v>
      </c>
      <c r="G84" s="74">
        <f t="shared" si="34"/>
        <v>3614.0125123330508</v>
      </c>
      <c r="H84" s="74">
        <f t="shared" si="34"/>
        <v>0</v>
      </c>
      <c r="I84" s="74">
        <f t="shared" si="34"/>
        <v>4.5474735088646412E-13</v>
      </c>
      <c r="J84" s="74">
        <f t="shared" si="34"/>
        <v>4.5474735088646412E-13</v>
      </c>
      <c r="K84" s="74">
        <f t="shared" si="34"/>
        <v>4.5474735088646412E-13</v>
      </c>
      <c r="L84" s="74">
        <f t="shared" si="34"/>
        <v>4.5474735088646412E-13</v>
      </c>
      <c r="M84" s="74">
        <f t="shared" si="34"/>
        <v>4.5474735088646412E-13</v>
      </c>
      <c r="N84" s="74">
        <f t="shared" si="34"/>
        <v>4.5474735088646412E-13</v>
      </c>
      <c r="O84" s="74">
        <f t="shared" si="34"/>
        <v>4.5474735088646412E-13</v>
      </c>
      <c r="P84" s="74">
        <f t="shared" si="34"/>
        <v>4.5474735088646412E-13</v>
      </c>
      <c r="Q84" s="74">
        <f t="shared" si="34"/>
        <v>4.5474735088646412E-13</v>
      </c>
      <c r="R84" s="74">
        <f t="shared" si="34"/>
        <v>4.5474735088646412E-13</v>
      </c>
      <c r="S84" s="74">
        <f t="shared" si="34"/>
        <v>4.5474735088646412E-13</v>
      </c>
      <c r="T84" s="74">
        <f t="shared" si="34"/>
        <v>4.5474735088646412E-13</v>
      </c>
      <c r="U84" s="74">
        <f t="shared" si="34"/>
        <v>4.5474735088646412E-13</v>
      </c>
      <c r="V84" s="74">
        <f t="shared" si="34"/>
        <v>4.5474735088646412E-13</v>
      </c>
      <c r="W84" s="74">
        <f t="shared" si="34"/>
        <v>4.5474735088646412E-13</v>
      </c>
      <c r="X84" s="74">
        <f>X82-X83</f>
        <v>4.5474735088646412E-13</v>
      </c>
      <c r="Y84" s="74">
        <f>Y82-Y83</f>
        <v>4.5474735088646412E-13</v>
      </c>
      <c r="Z84" s="74">
        <f>Z82-Z83</f>
        <v>4.5474735088646412E-13</v>
      </c>
      <c r="AA84" s="74">
        <f>AA82-AA83</f>
        <v>4.5474735088646412E-13</v>
      </c>
    </row>
    <row r="85" spans="1:27" s="99" customFormat="1" ht="13.5" outlineLevel="1" thickTop="1" x14ac:dyDescent="0.2">
      <c r="A85" s="543" t="s">
        <v>0</v>
      </c>
      <c r="B85" s="477"/>
      <c r="C85" s="544">
        <f>SUM(D85:E85)</f>
        <v>0</v>
      </c>
      <c r="D85" s="545">
        <f>IF(ABS(D82-SUM(D83:AA83))&lt;0.001,0,ABS(D82-SUM(D83:AA83)))</f>
        <v>0</v>
      </c>
      <c r="E85" s="545">
        <f>IF(ABS(D82-'Offset of Costs and Rev 2006-08'!F183)&lt;0.001,0,ABS(D82-'Offset of Costs and Rev 2006-08'!F183))</f>
        <v>0</v>
      </c>
      <c r="G85" s="58"/>
    </row>
    <row r="86" spans="1:27" outlineLevel="1" x14ac:dyDescent="0.2"/>
    <row r="87" spans="1:27" outlineLevel="1" x14ac:dyDescent="0.2">
      <c r="A87" s="344" t="s">
        <v>268</v>
      </c>
      <c r="B87" s="466" t="s">
        <v>327</v>
      </c>
      <c r="C87" s="307" t="s">
        <v>330</v>
      </c>
      <c r="D87" s="461">
        <f>D$4</f>
        <v>2009</v>
      </c>
      <c r="E87" s="461">
        <f t="shared" ref="E87:AA87" si="35">E$4</f>
        <v>2010</v>
      </c>
      <c r="F87" s="461">
        <f t="shared" si="35"/>
        <v>2011</v>
      </c>
      <c r="G87" s="461">
        <f t="shared" si="35"/>
        <v>2012</v>
      </c>
      <c r="H87" s="461">
        <f t="shared" si="35"/>
        <v>2013</v>
      </c>
      <c r="I87" s="461">
        <f t="shared" si="35"/>
        <v>2014</v>
      </c>
      <c r="J87" s="461">
        <f t="shared" si="35"/>
        <v>2015</v>
      </c>
      <c r="K87" s="461">
        <f t="shared" si="35"/>
        <v>2016</v>
      </c>
      <c r="L87" s="461">
        <f t="shared" si="35"/>
        <v>2017</v>
      </c>
      <c r="M87" s="461">
        <f t="shared" si="35"/>
        <v>2018</v>
      </c>
      <c r="N87" s="461">
        <f t="shared" si="35"/>
        <v>2019</v>
      </c>
      <c r="O87" s="461">
        <f t="shared" si="35"/>
        <v>2020</v>
      </c>
      <c r="P87" s="461">
        <f t="shared" si="35"/>
        <v>2021</v>
      </c>
      <c r="Q87" s="461">
        <f t="shared" si="35"/>
        <v>2022</v>
      </c>
      <c r="R87" s="461">
        <f t="shared" si="35"/>
        <v>2023</v>
      </c>
      <c r="S87" s="461">
        <f t="shared" si="35"/>
        <v>2024</v>
      </c>
      <c r="T87" s="461">
        <f t="shared" si="35"/>
        <v>2025</v>
      </c>
      <c r="U87" s="461">
        <f t="shared" si="35"/>
        <v>2026</v>
      </c>
      <c r="V87" s="461">
        <f t="shared" si="35"/>
        <v>2027</v>
      </c>
      <c r="W87" s="461">
        <f t="shared" si="35"/>
        <v>2028</v>
      </c>
      <c r="X87" s="461">
        <f t="shared" si="35"/>
        <v>2029</v>
      </c>
      <c r="Y87" s="461">
        <f t="shared" si="35"/>
        <v>2030</v>
      </c>
      <c r="Z87" s="461">
        <f t="shared" si="35"/>
        <v>2031</v>
      </c>
      <c r="AA87" s="461">
        <f t="shared" si="35"/>
        <v>2032</v>
      </c>
    </row>
    <row r="88" spans="1:27" outlineLevel="1" x14ac:dyDescent="0.2">
      <c r="A88" s="344" t="str">
        <f>$A$4</f>
        <v>($000 Real 2008)</v>
      </c>
      <c r="B88" s="467" t="s">
        <v>328</v>
      </c>
      <c r="C88" s="468" t="s">
        <v>329</v>
      </c>
      <c r="D88" s="453"/>
      <c r="E88" s="453"/>
      <c r="F88" s="453"/>
      <c r="G88" s="453"/>
      <c r="H88" s="453"/>
      <c r="I88" s="453"/>
      <c r="J88" s="453"/>
      <c r="K88" s="453"/>
      <c r="L88" s="453"/>
      <c r="M88" s="453"/>
      <c r="N88" s="453"/>
      <c r="O88" s="453"/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/>
    </row>
    <row r="89" spans="1:27" outlineLevel="1" x14ac:dyDescent="0.2">
      <c r="A89" s="462">
        <v>2006</v>
      </c>
      <c r="B89" s="464">
        <f>'Offset of Costs and Rev 2006-08'!D$140-SUM('Offset of Costs and Rev 2006-08'!D206:F206)</f>
        <v>2744.195881429559</v>
      </c>
      <c r="C89" s="460">
        <f>IF('Data 2006-08'!C$34="",5,('Data 2006-08'!C$34-D$87+1))</f>
        <v>5</v>
      </c>
      <c r="D89" s="85">
        <f>IF(C89&lt;1,B89,B89/C89)</f>
        <v>548.83917628591178</v>
      </c>
      <c r="E89" s="85">
        <f>IF((SUM($D89:D89)+$B89/$C89)&gt;$B89,$B89-SUM($D89:D89),$B89/$C89)</f>
        <v>548.83917628591178</v>
      </c>
      <c r="F89" s="85">
        <f>IF((SUM($D89:E89)+$B89/$C89)&gt;$B89,$B89-SUM($D89:E89),$B89/$C89)</f>
        <v>548.83917628591178</v>
      </c>
      <c r="G89" s="85">
        <f>IF((SUM($D89:F89)+$B89/$C89)&gt;$B89,$B89-SUM($D89:F89),$B89/$C89)</f>
        <v>548.83917628591178</v>
      </c>
      <c r="H89" s="85">
        <f>IF((SUM($D89:G89)+$B89/$C89)&gt;$B89,$B89-SUM($D89:G89),$B89/$C89)</f>
        <v>548.83917628591178</v>
      </c>
      <c r="I89" s="85">
        <f>IF((SUM($D89:H89)+$B89/$C89)&gt;$B89,$B89-SUM($D89:H89),$B89/$C89)</f>
        <v>0</v>
      </c>
      <c r="J89" s="85">
        <f>IF((SUM($D89:I89)+$B89/$C89)&gt;$B89,$B89-SUM($D89:I89),$B89/$C89)</f>
        <v>0</v>
      </c>
      <c r="K89" s="85">
        <f>IF((SUM($D89:J89)+$B89/$C89)&gt;$B89,$B89-SUM($D89:J89),$B89/$C89)</f>
        <v>0</v>
      </c>
      <c r="L89" s="85">
        <f>IF((SUM($D89:K89)+$B89/$C89)&gt;$B89,$B89-SUM($D89:K89),$B89/$C89)</f>
        <v>0</v>
      </c>
      <c r="M89" s="85">
        <f>IF((SUM($D89:L89)+$B89/$C89)&gt;$B89,$B89-SUM($D89:L89),$B89/$C89)</f>
        <v>0</v>
      </c>
      <c r="N89" s="85">
        <f>IF((SUM($D89:M89)+$B89/$C89)&gt;$B89,$B89-SUM($D89:M89),$B89/$C89)</f>
        <v>0</v>
      </c>
      <c r="O89" s="85">
        <f>IF((SUM($D89:N89)+$B89/$C89)&gt;$B89,$B89-SUM($D89:N89),$B89/$C89)</f>
        <v>0</v>
      </c>
      <c r="P89" s="85">
        <f>IF((SUM($D89:O89)+$B89/$C89)&gt;$B89,$B89-SUM($D89:O89),$B89/$C89)</f>
        <v>0</v>
      </c>
      <c r="Q89" s="85">
        <f>IF((SUM($D89:P89)+$B89/$C89)&gt;$B89,$B89-SUM($D89:P89),$B89/$C89)</f>
        <v>0</v>
      </c>
      <c r="R89" s="85">
        <f>IF((SUM($D89:Q89)+$B89/$C89)&gt;$B89,$B89-SUM($D89:Q89),$B89/$C89)</f>
        <v>0</v>
      </c>
      <c r="S89" s="85">
        <f>IF((SUM($D89:R89)+$B89/$C89)&gt;$B89,$B89-SUM($D89:R89),$B89/$C89)</f>
        <v>0</v>
      </c>
      <c r="T89" s="85">
        <f>IF((SUM($D89:S89)+$B89/$C89)&gt;$B89,$B89-SUM($D89:S89),$B89/$C89)</f>
        <v>0</v>
      </c>
      <c r="U89" s="85">
        <f>IF((SUM($D89:T89)+$B89/$C89)&gt;$B89,$B89-SUM($D89:T89),$B89/$C89)</f>
        <v>0</v>
      </c>
      <c r="V89" s="85">
        <f>IF((SUM($D89:U89)+$B89/$C89)&gt;$B89,$B89-SUM($D89:U89),$B89/$C89)</f>
        <v>0</v>
      </c>
      <c r="W89" s="85">
        <f>IF((SUM($D89:V89)+$B89/$C89)&gt;$B89,$B89-SUM($D89:V89),$B89/$C89)</f>
        <v>0</v>
      </c>
      <c r="X89" s="85">
        <f>IF((SUM($D89:W89)+$B89/$C89)&gt;$B89,$B89-SUM($D89:W89),$B89/$C89)</f>
        <v>0</v>
      </c>
      <c r="Y89" s="85">
        <f>IF((SUM($D89:X89)+$B89/$C89)&gt;$B89,$B89-SUM($D89:X89),$B89/$C89)</f>
        <v>0</v>
      </c>
      <c r="Z89" s="85">
        <f>IF((SUM($D89:Y89)+$B89/$C89)&gt;$B89,$B89-SUM($D89:Y89),$B89/$C89)</f>
        <v>0</v>
      </c>
      <c r="AA89" s="85">
        <f>IF((SUM($D89:Z89)+$B89/$C89)&gt;$B89,$B89-SUM($D89:Z89),$B89/$C89)</f>
        <v>0</v>
      </c>
    </row>
    <row r="90" spans="1:27" outlineLevel="1" x14ac:dyDescent="0.2">
      <c r="A90" s="462">
        <v>2007</v>
      </c>
      <c r="B90" s="464">
        <f>'Offset of Costs and Rev 2006-08'!E$140-SUM('Offset of Costs and Rev 2006-08'!D207:F207)</f>
        <v>3046.1474538989828</v>
      </c>
      <c r="C90" s="460">
        <f>IF('Data 2006-08'!C$34="",5,('Data 2006-08'!C$34-D$87+1))</f>
        <v>5</v>
      </c>
      <c r="D90" s="85">
        <f>IF(C90&lt;1,B90,B90/C90)</f>
        <v>609.22949077979661</v>
      </c>
      <c r="E90" s="85">
        <f>IF((SUM($D90:D90)+$B90/$C90)&gt;$B90,$B90-SUM($D90:D90),$B90/$C90)</f>
        <v>609.22949077979661</v>
      </c>
      <c r="F90" s="85">
        <f>IF((SUM($D90:E90)+$B90/$C90)&gt;$B90,$B90-SUM($D90:E90),$B90/$C90)</f>
        <v>609.22949077979661</v>
      </c>
      <c r="G90" s="85">
        <f>IF((SUM($D90:F90)+$B90/$C90)&gt;$B90,$B90-SUM($D90:F90),$B90/$C90)</f>
        <v>609.22949077979661</v>
      </c>
      <c r="H90" s="85">
        <f>IF((SUM($D90:G90)+$B90/$C90)&gt;$B90,$B90-SUM($D90:G90),$B90/$C90)</f>
        <v>609.22949077979661</v>
      </c>
      <c r="I90" s="85">
        <f>IF((SUM($D90:H90)+$B90/$C90)&gt;$B90,$B90-SUM($D90:H90),$B90/$C90)</f>
        <v>-4.5474735088646412E-13</v>
      </c>
      <c r="J90" s="85">
        <f>IF((SUM($D90:I90)+$B90/$C90)&gt;$B90,$B90-SUM($D90:I90),$B90/$C90)</f>
        <v>0</v>
      </c>
      <c r="K90" s="85">
        <f>IF((SUM($D90:J90)+$B90/$C90)&gt;$B90,$B90-SUM($D90:J90),$B90/$C90)</f>
        <v>0</v>
      </c>
      <c r="L90" s="85">
        <f>IF((SUM($D90:K90)+$B90/$C90)&gt;$B90,$B90-SUM($D90:K90),$B90/$C90)</f>
        <v>0</v>
      </c>
      <c r="M90" s="85">
        <f>IF((SUM($D90:L90)+$B90/$C90)&gt;$B90,$B90-SUM($D90:L90),$B90/$C90)</f>
        <v>0</v>
      </c>
      <c r="N90" s="85">
        <f>IF((SUM($D90:M90)+$B90/$C90)&gt;$B90,$B90-SUM($D90:M90),$B90/$C90)</f>
        <v>0</v>
      </c>
      <c r="O90" s="85">
        <f>IF((SUM($D90:N90)+$B90/$C90)&gt;$B90,$B90-SUM($D90:N90),$B90/$C90)</f>
        <v>0</v>
      </c>
      <c r="P90" s="85">
        <f>IF((SUM($D90:O90)+$B90/$C90)&gt;$B90,$B90-SUM($D90:O90),$B90/$C90)</f>
        <v>0</v>
      </c>
      <c r="Q90" s="85">
        <f>IF((SUM($D90:P90)+$B90/$C90)&gt;$B90,$B90-SUM($D90:P90),$B90/$C90)</f>
        <v>0</v>
      </c>
      <c r="R90" s="85">
        <f>IF((SUM($D90:Q90)+$B90/$C90)&gt;$B90,$B90-SUM($D90:Q90),$B90/$C90)</f>
        <v>0</v>
      </c>
      <c r="S90" s="85">
        <f>IF((SUM($D90:R90)+$B90/$C90)&gt;$B90,$B90-SUM($D90:R90),$B90/$C90)</f>
        <v>0</v>
      </c>
      <c r="T90" s="85">
        <f>IF((SUM($D90:S90)+$B90/$C90)&gt;$B90,$B90-SUM($D90:S90),$B90/$C90)</f>
        <v>0</v>
      </c>
      <c r="U90" s="85">
        <f>IF((SUM($D90:T90)+$B90/$C90)&gt;$B90,$B90-SUM($D90:T90),$B90/$C90)</f>
        <v>0</v>
      </c>
      <c r="V90" s="85">
        <f>IF((SUM($D90:U90)+$B90/$C90)&gt;$B90,$B90-SUM($D90:U90),$B90/$C90)</f>
        <v>0</v>
      </c>
      <c r="W90" s="85">
        <f>IF((SUM($D90:V90)+$B90/$C90)&gt;$B90,$B90-SUM($D90:V90),$B90/$C90)</f>
        <v>0</v>
      </c>
      <c r="X90" s="85">
        <f>IF((SUM($D90:W90)+$B90/$C90)&gt;$B90,$B90-SUM($D90:W90),$B90/$C90)</f>
        <v>0</v>
      </c>
      <c r="Y90" s="85">
        <f>IF((SUM($D90:X90)+$B90/$C90)&gt;$B90,$B90-SUM($D90:X90),$B90/$C90)</f>
        <v>0</v>
      </c>
      <c r="Z90" s="85">
        <f>IF((SUM($D90:Y90)+$B90/$C90)&gt;$B90,$B90-SUM($D90:Y90),$B90/$C90)</f>
        <v>0</v>
      </c>
      <c r="AA90" s="85">
        <f>IF((SUM($D90:Z90)+$B90/$C90)&gt;$B90,$B90-SUM($D90:Z90),$B90/$C90)</f>
        <v>0</v>
      </c>
    </row>
    <row r="91" spans="1:27" outlineLevel="1" x14ac:dyDescent="0.2">
      <c r="A91" s="462">
        <v>2008</v>
      </c>
      <c r="B91" s="464">
        <f>'Offset of Costs and Rev 2006-08'!F$140-SUM('Offset of Costs and Rev 2006-08'!D208:F208)</f>
        <v>3403.2044603778281</v>
      </c>
      <c r="C91" s="460">
        <f>IF('Data 2006-08'!C$34="",5,('Data 2006-08'!C$34-D$87+1))</f>
        <v>5</v>
      </c>
      <c r="D91" s="85">
        <f>IF(C91&lt;1,B91,B91/C91)</f>
        <v>680.6408920755656</v>
      </c>
      <c r="E91" s="85">
        <f>IF((SUM($D91:D91)+$B91/$C91)&gt;$B91,$B91-SUM($D91:D91),$B91/$C91)</f>
        <v>680.6408920755656</v>
      </c>
      <c r="F91" s="85">
        <f>IF((SUM($D91:E91)+$B91/$C91)&gt;$B91,$B91-SUM($D91:E91),$B91/$C91)</f>
        <v>680.6408920755656</v>
      </c>
      <c r="G91" s="85">
        <f>IF((SUM($D91:F91)+$B91/$C91)&gt;$B91,$B91-SUM($D91:F91),$B91/$C91)</f>
        <v>680.6408920755656</v>
      </c>
      <c r="H91" s="85">
        <f>IF((SUM($D91:G91)+$B91/$C91)&gt;$B91,$B91-SUM($D91:G91),$B91/$C91)</f>
        <v>680.6408920755656</v>
      </c>
      <c r="I91" s="85">
        <f>IF((SUM($D91:H91)+$B91/$C91)&gt;$B91,$B91-SUM($D91:H91),$B91/$C91)</f>
        <v>0</v>
      </c>
      <c r="J91" s="85">
        <f>IF((SUM($D91:I91)+$B91/$C91)&gt;$B91,$B91-SUM($D91:I91),$B91/$C91)</f>
        <v>0</v>
      </c>
      <c r="K91" s="85">
        <f>IF((SUM($D91:J91)+$B91/$C91)&gt;$B91,$B91-SUM($D91:J91),$B91/$C91)</f>
        <v>0</v>
      </c>
      <c r="L91" s="85">
        <f>IF((SUM($D91:K91)+$B91/$C91)&gt;$B91,$B91-SUM($D91:K91),$B91/$C91)</f>
        <v>0</v>
      </c>
      <c r="M91" s="85">
        <f>IF((SUM($D91:L91)+$B91/$C91)&gt;$B91,$B91-SUM($D91:L91),$B91/$C91)</f>
        <v>0</v>
      </c>
      <c r="N91" s="85">
        <f>IF((SUM($D91:M91)+$B91/$C91)&gt;$B91,$B91-SUM($D91:M91),$B91/$C91)</f>
        <v>0</v>
      </c>
      <c r="O91" s="85">
        <f>IF((SUM($D91:N91)+$B91/$C91)&gt;$B91,$B91-SUM($D91:N91),$B91/$C91)</f>
        <v>0</v>
      </c>
      <c r="P91" s="85">
        <f>IF((SUM($D91:O91)+$B91/$C91)&gt;$B91,$B91-SUM($D91:O91),$B91/$C91)</f>
        <v>0</v>
      </c>
      <c r="Q91" s="85">
        <f>IF((SUM($D91:P91)+$B91/$C91)&gt;$B91,$B91-SUM($D91:P91),$B91/$C91)</f>
        <v>0</v>
      </c>
      <c r="R91" s="85">
        <f>IF((SUM($D91:Q91)+$B91/$C91)&gt;$B91,$B91-SUM($D91:Q91),$B91/$C91)</f>
        <v>0</v>
      </c>
      <c r="S91" s="85">
        <f>IF((SUM($D91:R91)+$B91/$C91)&gt;$B91,$B91-SUM($D91:R91),$B91/$C91)</f>
        <v>0</v>
      </c>
      <c r="T91" s="85">
        <f>IF((SUM($D91:S91)+$B91/$C91)&gt;$B91,$B91-SUM($D91:S91),$B91/$C91)</f>
        <v>0</v>
      </c>
      <c r="U91" s="85">
        <f>IF((SUM($D91:T91)+$B91/$C91)&gt;$B91,$B91-SUM($D91:T91),$B91/$C91)</f>
        <v>0</v>
      </c>
      <c r="V91" s="85">
        <f>IF((SUM($D91:U91)+$B91/$C91)&gt;$B91,$B91-SUM($D91:U91),$B91/$C91)</f>
        <v>0</v>
      </c>
      <c r="W91" s="85">
        <f>IF((SUM($D91:V91)+$B91/$C91)&gt;$B91,$B91-SUM($D91:V91),$B91/$C91)</f>
        <v>0</v>
      </c>
      <c r="X91" s="85">
        <f>IF((SUM($D91:W91)+$B91/$C91)&gt;$B91,$B91-SUM($D91:W91),$B91/$C91)</f>
        <v>0</v>
      </c>
      <c r="Y91" s="85">
        <f>IF((SUM($D91:X91)+$B91/$C91)&gt;$B91,$B91-SUM($D91:X91),$B91/$C91)</f>
        <v>0</v>
      </c>
      <c r="Z91" s="85">
        <f>IF((SUM($D91:Y91)+$B91/$C91)&gt;$B91,$B91-SUM($D91:Y91),$B91/$C91)</f>
        <v>0</v>
      </c>
      <c r="AA91" s="85">
        <f>IF((SUM($D91:Z91)+$B91/$C91)&gt;$B91,$B91-SUM($D91:Z91),$B91/$C91)</f>
        <v>0</v>
      </c>
    </row>
    <row r="92" spans="1:27" outlineLevel="1" x14ac:dyDescent="0.2">
      <c r="A92" s="354"/>
      <c r="B92" s="465">
        <f>SUM(B89:B91)</f>
        <v>9193.5477957063704</v>
      </c>
      <c r="D92" s="107">
        <f>SUM(D89:D91)</f>
        <v>1838.709559141274</v>
      </c>
      <c r="E92" s="107">
        <f t="shared" ref="E92:W92" si="36">SUM(E89:E91)</f>
        <v>1838.709559141274</v>
      </c>
      <c r="F92" s="107">
        <f t="shared" si="36"/>
        <v>1838.709559141274</v>
      </c>
      <c r="G92" s="107">
        <f t="shared" si="36"/>
        <v>1838.709559141274</v>
      </c>
      <c r="H92" s="107">
        <f t="shared" si="36"/>
        <v>1838.709559141274</v>
      </c>
      <c r="I92" s="107">
        <f t="shared" si="36"/>
        <v>-4.5474735088646412E-13</v>
      </c>
      <c r="J92" s="107">
        <f t="shared" si="36"/>
        <v>0</v>
      </c>
      <c r="K92" s="107">
        <f t="shared" si="36"/>
        <v>0</v>
      </c>
      <c r="L92" s="107">
        <f t="shared" si="36"/>
        <v>0</v>
      </c>
      <c r="M92" s="107">
        <f t="shared" si="36"/>
        <v>0</v>
      </c>
      <c r="N92" s="107">
        <f t="shared" si="36"/>
        <v>0</v>
      </c>
      <c r="O92" s="107">
        <f t="shared" si="36"/>
        <v>0</v>
      </c>
      <c r="P92" s="107">
        <f t="shared" si="36"/>
        <v>0</v>
      </c>
      <c r="Q92" s="107">
        <f t="shared" si="36"/>
        <v>0</v>
      </c>
      <c r="R92" s="107">
        <f t="shared" si="36"/>
        <v>0</v>
      </c>
      <c r="S92" s="107">
        <f t="shared" si="36"/>
        <v>0</v>
      </c>
      <c r="T92" s="107">
        <f t="shared" si="36"/>
        <v>0</v>
      </c>
      <c r="U92" s="107">
        <f t="shared" si="36"/>
        <v>0</v>
      </c>
      <c r="V92" s="107">
        <f t="shared" si="36"/>
        <v>0</v>
      </c>
      <c r="W92" s="107">
        <f t="shared" si="36"/>
        <v>0</v>
      </c>
      <c r="X92" s="107">
        <f>SUM(X89:X91)</f>
        <v>0</v>
      </c>
      <c r="Y92" s="107">
        <f>SUM(Y89:Y91)</f>
        <v>0</v>
      </c>
      <c r="Z92" s="107">
        <f>SUM(Z89:Z91)</f>
        <v>0</v>
      </c>
      <c r="AA92" s="107">
        <f>SUM(AA89:AA91)</f>
        <v>0</v>
      </c>
    </row>
    <row r="93" spans="1:27" outlineLevel="1" x14ac:dyDescent="0.2"/>
    <row r="94" spans="1:27" outlineLevel="1" x14ac:dyDescent="0.2"/>
    <row r="95" spans="1:27" outlineLevel="1" x14ac:dyDescent="0.2">
      <c r="A95" s="344" t="s">
        <v>267</v>
      </c>
      <c r="B95" s="466" t="s">
        <v>327</v>
      </c>
      <c r="C95" s="307" t="s">
        <v>330</v>
      </c>
      <c r="D95" s="461">
        <f>D$4</f>
        <v>2009</v>
      </c>
      <c r="E95" s="461">
        <f t="shared" ref="E95:AA95" si="37">E$4</f>
        <v>2010</v>
      </c>
      <c r="F95" s="461">
        <f t="shared" si="37"/>
        <v>2011</v>
      </c>
      <c r="G95" s="461">
        <f t="shared" si="37"/>
        <v>2012</v>
      </c>
      <c r="H95" s="461">
        <f t="shared" si="37"/>
        <v>2013</v>
      </c>
      <c r="I95" s="461">
        <f t="shared" si="37"/>
        <v>2014</v>
      </c>
      <c r="J95" s="461">
        <f t="shared" si="37"/>
        <v>2015</v>
      </c>
      <c r="K95" s="461">
        <f t="shared" si="37"/>
        <v>2016</v>
      </c>
      <c r="L95" s="461">
        <f t="shared" si="37"/>
        <v>2017</v>
      </c>
      <c r="M95" s="461">
        <f t="shared" si="37"/>
        <v>2018</v>
      </c>
      <c r="N95" s="461">
        <f t="shared" si="37"/>
        <v>2019</v>
      </c>
      <c r="O95" s="461">
        <f t="shared" si="37"/>
        <v>2020</v>
      </c>
      <c r="P95" s="461">
        <f t="shared" si="37"/>
        <v>2021</v>
      </c>
      <c r="Q95" s="461">
        <f t="shared" si="37"/>
        <v>2022</v>
      </c>
      <c r="R95" s="461">
        <f t="shared" si="37"/>
        <v>2023</v>
      </c>
      <c r="S95" s="461">
        <f t="shared" si="37"/>
        <v>2024</v>
      </c>
      <c r="T95" s="461">
        <f t="shared" si="37"/>
        <v>2025</v>
      </c>
      <c r="U95" s="461">
        <f t="shared" si="37"/>
        <v>2026</v>
      </c>
      <c r="V95" s="461">
        <f t="shared" si="37"/>
        <v>2027</v>
      </c>
      <c r="W95" s="461">
        <f t="shared" si="37"/>
        <v>2028</v>
      </c>
      <c r="X95" s="461">
        <f t="shared" si="37"/>
        <v>2029</v>
      </c>
      <c r="Y95" s="461">
        <f t="shared" si="37"/>
        <v>2030</v>
      </c>
      <c r="Z95" s="461">
        <f t="shared" si="37"/>
        <v>2031</v>
      </c>
      <c r="AA95" s="461">
        <f t="shared" si="37"/>
        <v>2032</v>
      </c>
    </row>
    <row r="96" spans="1:27" outlineLevel="1" x14ac:dyDescent="0.2">
      <c r="A96" s="344" t="str">
        <f>$A$4</f>
        <v>($000 Real 2008)</v>
      </c>
      <c r="B96" s="467" t="s">
        <v>328</v>
      </c>
      <c r="C96" s="468" t="s">
        <v>329</v>
      </c>
      <c r="D96" s="453"/>
      <c r="E96" s="453"/>
      <c r="F96" s="453"/>
      <c r="G96" s="453"/>
      <c r="H96" s="453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outlineLevel="1" x14ac:dyDescent="0.2">
      <c r="A97" s="462">
        <v>2006</v>
      </c>
      <c r="B97" s="464">
        <f>'Offset of Costs and Rev 2006-08'!D$150-'Offset of Costs and Rev 2006-08'!D$151-SUM('Offset of Costs and Rev 2006-08'!D214:F214)</f>
        <v>3457.1177456690057</v>
      </c>
      <c r="C97" s="460">
        <f>IF('Data 2006-08'!C$34="",5,('Data 2006-08'!C$34-D$95+1))</f>
        <v>5</v>
      </c>
      <c r="D97" s="85">
        <f>IF(C97&lt;1,B97,B97/C97)</f>
        <v>691.42354913380109</v>
      </c>
      <c r="E97" s="85">
        <f>IF((SUM($D97:D97)+$B97/$C97)&gt;$B97,$B97-SUM($D97:D97),$B97/$C97)</f>
        <v>691.42354913380109</v>
      </c>
      <c r="F97" s="85">
        <f>IF((SUM($D97:E97)+$B97/$C97)&gt;$B97,$B97-SUM($D97:E97),$B97/$C97)</f>
        <v>691.42354913380109</v>
      </c>
      <c r="G97" s="85">
        <f>IF((SUM($D97:F97)+$B97/$C97)&gt;$B97,$B97-SUM($D97:F97),$B97/$C97)</f>
        <v>691.42354913380109</v>
      </c>
      <c r="H97" s="85">
        <f>IF((SUM($D97:G97)+$B97/$C97)&gt;$B97,$B97-SUM($D97:G97),$B97/$C97)</f>
        <v>691.42354913380109</v>
      </c>
      <c r="I97" s="85">
        <f>IF((SUM($D97:H97)+$B97/$C97)&gt;$B97,$B97-SUM($D97:H97),$B97/$C97)</f>
        <v>0</v>
      </c>
      <c r="J97" s="85">
        <f>IF((SUM($D97:I97)+$B97/$C97)&gt;$B97,$B97-SUM($D97:I97),$B97/$C97)</f>
        <v>0</v>
      </c>
      <c r="K97" s="85">
        <f>IF((SUM($D97:J97)+$B97/$C97)&gt;$B97,$B97-SUM($D97:J97),$B97/$C97)</f>
        <v>0</v>
      </c>
      <c r="L97" s="85">
        <f>IF((SUM($D97:K97)+$B97/$C97)&gt;$B97,$B97-SUM($D97:K97),$B97/$C97)</f>
        <v>0</v>
      </c>
      <c r="M97" s="85">
        <f>IF((SUM($D97:L97)+$B97/$C97)&gt;$B97,$B97-SUM($D97:L97),$B97/$C97)</f>
        <v>0</v>
      </c>
      <c r="N97" s="85">
        <f>IF((SUM($D97:M97)+$B97/$C97)&gt;$B97,$B97-SUM($D97:M97),$B97/$C97)</f>
        <v>0</v>
      </c>
      <c r="O97" s="85">
        <f>IF((SUM($D97:N97)+$B97/$C97)&gt;$B97,$B97-SUM($D97:N97),$B97/$C97)</f>
        <v>0</v>
      </c>
      <c r="P97" s="85">
        <f>IF((SUM($D97:O97)+$B97/$C97)&gt;$B97,$B97-SUM($D97:O97),$B97/$C97)</f>
        <v>0</v>
      </c>
      <c r="Q97" s="85">
        <f>IF((SUM($D97:P97)+$B97/$C97)&gt;$B97,$B97-SUM($D97:P97),$B97/$C97)</f>
        <v>0</v>
      </c>
      <c r="R97" s="85">
        <f>IF((SUM($D97:Q97)+$B97/$C97)&gt;$B97,$B97-SUM($D97:Q97),$B97/$C97)</f>
        <v>0</v>
      </c>
      <c r="S97" s="85">
        <f>IF((SUM($D97:R97)+$B97/$C97)&gt;$B97,$B97-SUM($D97:R97),$B97/$C97)</f>
        <v>0</v>
      </c>
      <c r="T97" s="85">
        <f>IF((SUM($D97:S97)+$B97/$C97)&gt;$B97,$B97-SUM($D97:S97),$B97/$C97)</f>
        <v>0</v>
      </c>
      <c r="U97" s="85">
        <f>IF((SUM($D97:T97)+$B97/$C97)&gt;$B97,$B97-SUM($D97:T97),$B97/$C97)</f>
        <v>0</v>
      </c>
      <c r="V97" s="85">
        <f>IF((SUM($D97:U97)+$B97/$C97)&gt;$B97,$B97-SUM($D97:U97),$B97/$C97)</f>
        <v>0</v>
      </c>
      <c r="W97" s="85">
        <f>IF((SUM($D97:V97)+$B97/$C97)&gt;$B97,$B97-SUM($D97:V97),$B97/$C97)</f>
        <v>0</v>
      </c>
      <c r="X97" s="85">
        <f>IF((SUM($D97:W97)+$B97/$C97)&gt;$B97,$B97-SUM($D97:W97),$B97/$C97)</f>
        <v>0</v>
      </c>
      <c r="Y97" s="85">
        <f>IF((SUM($D97:X97)+$B97/$C97)&gt;$B97,$B97-SUM($D97:X97),$B97/$C97)</f>
        <v>0</v>
      </c>
      <c r="Z97" s="85">
        <f>IF((SUM($D97:Y97)+$B97/$C97)&gt;$B97,$B97-SUM($D97:Y97),$B97/$C97)</f>
        <v>0</v>
      </c>
      <c r="AA97" s="85">
        <f>IF((SUM($D97:Z97)+$B97/$C97)&gt;$B97,$B97-SUM($D97:Z97),$B97/$C97)</f>
        <v>0</v>
      </c>
    </row>
    <row r="98" spans="1:27" outlineLevel="1" x14ac:dyDescent="0.2">
      <c r="A98" s="462">
        <v>2007</v>
      </c>
      <c r="B98" s="464">
        <f>'Offset of Costs and Rev 2006-08'!E$150-'Offset of Costs and Rev 2006-08'!E$151-SUM('Offset of Costs and Rev 2006-08'!D215:F215)</f>
        <v>3398.0766346979008</v>
      </c>
      <c r="C98" s="460">
        <f>IF('Data 2006-08'!C$34="",5,('Data 2006-08'!C$34-D$95+1))</f>
        <v>5</v>
      </c>
      <c r="D98" s="85">
        <f>IF(C98&lt;1,B98,B98/C98)</f>
        <v>679.6153269395802</v>
      </c>
      <c r="E98" s="85">
        <f>IF((SUM($D98:D98)+$B98/$C98)&gt;$B98,$B98-SUM($D98:D98),$B98/$C98)</f>
        <v>679.6153269395802</v>
      </c>
      <c r="F98" s="85">
        <f>IF((SUM($D98:E98)+$B98/$C98)&gt;$B98,$B98-SUM($D98:E98),$B98/$C98)</f>
        <v>679.6153269395802</v>
      </c>
      <c r="G98" s="85">
        <f>IF((SUM($D98:F98)+$B98/$C98)&gt;$B98,$B98-SUM($D98:F98),$B98/$C98)</f>
        <v>679.6153269395802</v>
      </c>
      <c r="H98" s="85">
        <f>IF((SUM($D98:G98)+$B98/$C98)&gt;$B98,$B98-SUM($D98:G98),$B98/$C98)</f>
        <v>679.6153269395802</v>
      </c>
      <c r="I98" s="85">
        <f>IF((SUM($D98:H98)+$B98/$C98)&gt;$B98,$B98-SUM($D98:H98),$B98/$C98)</f>
        <v>0</v>
      </c>
      <c r="J98" s="85">
        <f>IF((SUM($D98:I98)+$B98/$C98)&gt;$B98,$B98-SUM($D98:I98),$B98/$C98)</f>
        <v>0</v>
      </c>
      <c r="K98" s="85">
        <f>IF((SUM($D98:J98)+$B98/$C98)&gt;$B98,$B98-SUM($D98:J98),$B98/$C98)</f>
        <v>0</v>
      </c>
      <c r="L98" s="85">
        <f>IF((SUM($D98:K98)+$B98/$C98)&gt;$B98,$B98-SUM($D98:K98),$B98/$C98)</f>
        <v>0</v>
      </c>
      <c r="M98" s="85">
        <f>IF((SUM($D98:L98)+$B98/$C98)&gt;$B98,$B98-SUM($D98:L98),$B98/$C98)</f>
        <v>0</v>
      </c>
      <c r="N98" s="85">
        <f>IF((SUM($D98:M98)+$B98/$C98)&gt;$B98,$B98-SUM($D98:M98),$B98/$C98)</f>
        <v>0</v>
      </c>
      <c r="O98" s="85">
        <f>IF((SUM($D98:N98)+$B98/$C98)&gt;$B98,$B98-SUM($D98:N98),$B98/$C98)</f>
        <v>0</v>
      </c>
      <c r="P98" s="85">
        <f>IF((SUM($D98:O98)+$B98/$C98)&gt;$B98,$B98-SUM($D98:O98),$B98/$C98)</f>
        <v>0</v>
      </c>
      <c r="Q98" s="85">
        <f>IF((SUM($D98:P98)+$B98/$C98)&gt;$B98,$B98-SUM($D98:P98),$B98/$C98)</f>
        <v>0</v>
      </c>
      <c r="R98" s="85">
        <f>IF((SUM($D98:Q98)+$B98/$C98)&gt;$B98,$B98-SUM($D98:Q98),$B98/$C98)</f>
        <v>0</v>
      </c>
      <c r="S98" s="85">
        <f>IF((SUM($D98:R98)+$B98/$C98)&gt;$B98,$B98-SUM($D98:R98),$B98/$C98)</f>
        <v>0</v>
      </c>
      <c r="T98" s="85">
        <f>IF((SUM($D98:S98)+$B98/$C98)&gt;$B98,$B98-SUM($D98:S98),$B98/$C98)</f>
        <v>0</v>
      </c>
      <c r="U98" s="85">
        <f>IF((SUM($D98:T98)+$B98/$C98)&gt;$B98,$B98-SUM($D98:T98),$B98/$C98)</f>
        <v>0</v>
      </c>
      <c r="V98" s="85">
        <f>IF((SUM($D98:U98)+$B98/$C98)&gt;$B98,$B98-SUM($D98:U98),$B98/$C98)</f>
        <v>0</v>
      </c>
      <c r="W98" s="85">
        <f>IF((SUM($D98:V98)+$B98/$C98)&gt;$B98,$B98-SUM($D98:V98),$B98/$C98)</f>
        <v>0</v>
      </c>
      <c r="X98" s="85">
        <f>IF((SUM($D98:W98)+$B98/$C98)&gt;$B98,$B98-SUM($D98:W98),$B98/$C98)</f>
        <v>0</v>
      </c>
      <c r="Y98" s="85">
        <f>IF((SUM($D98:X98)+$B98/$C98)&gt;$B98,$B98-SUM($D98:X98),$B98/$C98)</f>
        <v>0</v>
      </c>
      <c r="Z98" s="85">
        <f>IF((SUM($D98:Y98)+$B98/$C98)&gt;$B98,$B98-SUM($D98:Y98),$B98/$C98)</f>
        <v>0</v>
      </c>
      <c r="AA98" s="85">
        <f>IF((SUM($D98:Z98)+$B98/$C98)&gt;$B98,$B98-SUM($D98:Z98),$B98/$C98)</f>
        <v>0</v>
      </c>
    </row>
    <row r="99" spans="1:27" outlineLevel="1" x14ac:dyDescent="0.2">
      <c r="A99" s="462">
        <v>2008</v>
      </c>
      <c r="B99" s="464">
        <f>'Offset of Costs and Rev 2006-08'!F$150-'Offset of Costs and Rev 2006-08'!F$151-SUM('Offset of Costs and Rev 2006-08'!D216:F216)</f>
        <v>2021.3203855919696</v>
      </c>
      <c r="C99" s="460">
        <f>IF('Data 2006-08'!C$34="",5,('Data 2006-08'!C$34-D$95+1))</f>
        <v>5</v>
      </c>
      <c r="D99" s="85">
        <f>IF(C99&lt;1,B99,B99/C99)</f>
        <v>404.26407711839391</v>
      </c>
      <c r="E99" s="85">
        <f>IF((SUM($D99:D99)+$B99/$C99)&gt;$B99,$B99-SUM($D99:D99),$B99/$C99)</f>
        <v>404.26407711839391</v>
      </c>
      <c r="F99" s="85">
        <f>IF((SUM($D99:E99)+$B99/$C99)&gt;$B99,$B99-SUM($D99:E99),$B99/$C99)</f>
        <v>404.26407711839391</v>
      </c>
      <c r="G99" s="85">
        <f>IF((SUM($D99:F99)+$B99/$C99)&gt;$B99,$B99-SUM($D99:F99),$B99/$C99)</f>
        <v>404.26407711839391</v>
      </c>
      <c r="H99" s="85">
        <f>IF((SUM($D99:G99)+$B99/$C99)&gt;$B99,$B99-SUM($D99:G99),$B99/$C99)</f>
        <v>404.26407711839391</v>
      </c>
      <c r="I99" s="85">
        <f>IF((SUM($D99:H99)+$B99/$C99)&gt;$B99,$B99-SUM($D99:H99),$B99/$C99)</f>
        <v>0</v>
      </c>
      <c r="J99" s="85">
        <f>IF((SUM($D99:I99)+$B99/$C99)&gt;$B99,$B99-SUM($D99:I99),$B99/$C99)</f>
        <v>0</v>
      </c>
      <c r="K99" s="85">
        <f>IF((SUM($D99:J99)+$B99/$C99)&gt;$B99,$B99-SUM($D99:J99),$B99/$C99)</f>
        <v>0</v>
      </c>
      <c r="L99" s="85">
        <f>IF((SUM($D99:K99)+$B99/$C99)&gt;$B99,$B99-SUM($D99:K99),$B99/$C99)</f>
        <v>0</v>
      </c>
      <c r="M99" s="85">
        <f>IF((SUM($D99:L99)+$B99/$C99)&gt;$B99,$B99-SUM($D99:L99),$B99/$C99)</f>
        <v>0</v>
      </c>
      <c r="N99" s="85">
        <f>IF((SUM($D99:M99)+$B99/$C99)&gt;$B99,$B99-SUM($D99:M99),$B99/$C99)</f>
        <v>0</v>
      </c>
      <c r="O99" s="85">
        <f>IF((SUM($D99:N99)+$B99/$C99)&gt;$B99,$B99-SUM($D99:N99),$B99/$C99)</f>
        <v>0</v>
      </c>
      <c r="P99" s="85">
        <f>IF((SUM($D99:O99)+$B99/$C99)&gt;$B99,$B99-SUM($D99:O99),$B99/$C99)</f>
        <v>0</v>
      </c>
      <c r="Q99" s="85">
        <f>IF((SUM($D99:P99)+$B99/$C99)&gt;$B99,$B99-SUM($D99:P99),$B99/$C99)</f>
        <v>0</v>
      </c>
      <c r="R99" s="85">
        <f>IF((SUM($D99:Q99)+$B99/$C99)&gt;$B99,$B99-SUM($D99:Q99),$B99/$C99)</f>
        <v>0</v>
      </c>
      <c r="S99" s="85">
        <f>IF((SUM($D99:R99)+$B99/$C99)&gt;$B99,$B99-SUM($D99:R99),$B99/$C99)</f>
        <v>0</v>
      </c>
      <c r="T99" s="85">
        <f>IF((SUM($D99:S99)+$B99/$C99)&gt;$B99,$B99-SUM($D99:S99),$B99/$C99)</f>
        <v>0</v>
      </c>
      <c r="U99" s="85">
        <f>IF((SUM($D99:T99)+$B99/$C99)&gt;$B99,$B99-SUM($D99:T99),$B99/$C99)</f>
        <v>0</v>
      </c>
      <c r="V99" s="85">
        <f>IF((SUM($D99:U99)+$B99/$C99)&gt;$B99,$B99-SUM($D99:U99),$B99/$C99)</f>
        <v>0</v>
      </c>
      <c r="W99" s="85">
        <f>IF((SUM($D99:V99)+$B99/$C99)&gt;$B99,$B99-SUM($D99:V99),$B99/$C99)</f>
        <v>0</v>
      </c>
      <c r="X99" s="85">
        <f>IF((SUM($D99:W99)+$B99/$C99)&gt;$B99,$B99-SUM($D99:W99),$B99/$C99)</f>
        <v>0</v>
      </c>
      <c r="Y99" s="85">
        <f>IF((SUM($D99:X99)+$B99/$C99)&gt;$B99,$B99-SUM($D99:X99),$B99/$C99)</f>
        <v>0</v>
      </c>
      <c r="Z99" s="85">
        <f>IF((SUM($D99:Y99)+$B99/$C99)&gt;$B99,$B99-SUM($D99:Y99),$B99/$C99)</f>
        <v>0</v>
      </c>
      <c r="AA99" s="85">
        <f>IF((SUM($D99:Z99)+$B99/$C99)&gt;$B99,$B99-SUM($D99:Z99),$B99/$C99)</f>
        <v>0</v>
      </c>
    </row>
    <row r="100" spans="1:27" outlineLevel="1" x14ac:dyDescent="0.2">
      <c r="A100" s="354"/>
      <c r="B100" s="465">
        <f>SUM(B97:B99)</f>
        <v>8876.5147659588765</v>
      </c>
      <c r="D100" s="107">
        <f>SUM(D97:D99)</f>
        <v>1775.3029531917753</v>
      </c>
      <c r="E100" s="107">
        <f t="shared" ref="E100:W100" si="38">SUM(E97:E99)</f>
        <v>1775.3029531917753</v>
      </c>
      <c r="F100" s="107">
        <f t="shared" si="38"/>
        <v>1775.3029531917753</v>
      </c>
      <c r="G100" s="107">
        <f t="shared" si="38"/>
        <v>1775.3029531917753</v>
      </c>
      <c r="H100" s="107">
        <f t="shared" si="38"/>
        <v>1775.3029531917753</v>
      </c>
      <c r="I100" s="107">
        <f t="shared" si="38"/>
        <v>0</v>
      </c>
      <c r="J100" s="107">
        <f t="shared" si="38"/>
        <v>0</v>
      </c>
      <c r="K100" s="107">
        <f t="shared" si="38"/>
        <v>0</v>
      </c>
      <c r="L100" s="107">
        <f t="shared" si="38"/>
        <v>0</v>
      </c>
      <c r="M100" s="107">
        <f t="shared" si="38"/>
        <v>0</v>
      </c>
      <c r="N100" s="107">
        <f t="shared" si="38"/>
        <v>0</v>
      </c>
      <c r="O100" s="107">
        <f t="shared" si="38"/>
        <v>0</v>
      </c>
      <c r="P100" s="107">
        <f t="shared" si="38"/>
        <v>0</v>
      </c>
      <c r="Q100" s="107">
        <f t="shared" si="38"/>
        <v>0</v>
      </c>
      <c r="R100" s="107">
        <f t="shared" si="38"/>
        <v>0</v>
      </c>
      <c r="S100" s="107">
        <f t="shared" si="38"/>
        <v>0</v>
      </c>
      <c r="T100" s="107">
        <f t="shared" si="38"/>
        <v>0</v>
      </c>
      <c r="U100" s="107">
        <f t="shared" si="38"/>
        <v>0</v>
      </c>
      <c r="V100" s="107">
        <f t="shared" si="38"/>
        <v>0</v>
      </c>
      <c r="W100" s="107">
        <f t="shared" si="38"/>
        <v>0</v>
      </c>
      <c r="X100" s="107">
        <f>SUM(X97:X99)</f>
        <v>0</v>
      </c>
      <c r="Y100" s="107">
        <f>SUM(Y97:Y99)</f>
        <v>0</v>
      </c>
      <c r="Z100" s="107">
        <f>SUM(Z97:Z99)</f>
        <v>0</v>
      </c>
      <c r="AA100" s="107">
        <f>SUM(AA97:AA99)</f>
        <v>0</v>
      </c>
    </row>
    <row r="101" spans="1:27" outlineLevel="1" x14ac:dyDescent="0.2"/>
    <row r="102" spans="1:27" outlineLevel="1" x14ac:dyDescent="0.2"/>
    <row r="103" spans="1:27" outlineLevel="1" x14ac:dyDescent="0.2">
      <c r="A103" s="344" t="s">
        <v>284</v>
      </c>
      <c r="B103" s="466" t="s">
        <v>327</v>
      </c>
      <c r="C103" s="307" t="s">
        <v>330</v>
      </c>
      <c r="D103" s="461">
        <f>D$4</f>
        <v>2009</v>
      </c>
      <c r="E103" s="461">
        <f t="shared" ref="E103:AA103" si="39">E$4</f>
        <v>2010</v>
      </c>
      <c r="F103" s="461">
        <f t="shared" si="39"/>
        <v>2011</v>
      </c>
      <c r="G103" s="461">
        <f t="shared" si="39"/>
        <v>2012</v>
      </c>
      <c r="H103" s="461">
        <f t="shared" si="39"/>
        <v>2013</v>
      </c>
      <c r="I103" s="461">
        <f t="shared" si="39"/>
        <v>2014</v>
      </c>
      <c r="J103" s="461">
        <f t="shared" si="39"/>
        <v>2015</v>
      </c>
      <c r="K103" s="461">
        <f t="shared" si="39"/>
        <v>2016</v>
      </c>
      <c r="L103" s="461">
        <f t="shared" si="39"/>
        <v>2017</v>
      </c>
      <c r="M103" s="461">
        <f t="shared" si="39"/>
        <v>2018</v>
      </c>
      <c r="N103" s="461">
        <f t="shared" si="39"/>
        <v>2019</v>
      </c>
      <c r="O103" s="461">
        <f t="shared" si="39"/>
        <v>2020</v>
      </c>
      <c r="P103" s="461">
        <f t="shared" si="39"/>
        <v>2021</v>
      </c>
      <c r="Q103" s="461">
        <f t="shared" si="39"/>
        <v>2022</v>
      </c>
      <c r="R103" s="461">
        <f t="shared" si="39"/>
        <v>2023</v>
      </c>
      <c r="S103" s="461">
        <f t="shared" si="39"/>
        <v>2024</v>
      </c>
      <c r="T103" s="461">
        <f t="shared" si="39"/>
        <v>2025</v>
      </c>
      <c r="U103" s="461">
        <f t="shared" si="39"/>
        <v>2026</v>
      </c>
      <c r="V103" s="461">
        <f t="shared" si="39"/>
        <v>2027</v>
      </c>
      <c r="W103" s="461">
        <f t="shared" si="39"/>
        <v>2028</v>
      </c>
      <c r="X103" s="461">
        <f t="shared" si="39"/>
        <v>2029</v>
      </c>
      <c r="Y103" s="461">
        <f t="shared" si="39"/>
        <v>2030</v>
      </c>
      <c r="Z103" s="461">
        <f t="shared" si="39"/>
        <v>2031</v>
      </c>
      <c r="AA103" s="461">
        <f t="shared" si="39"/>
        <v>2032</v>
      </c>
    </row>
    <row r="104" spans="1:27" outlineLevel="1" x14ac:dyDescent="0.2">
      <c r="A104" s="344" t="str">
        <f>$A$4</f>
        <v>($000 Real 2008)</v>
      </c>
      <c r="B104" s="467" t="s">
        <v>328</v>
      </c>
      <c r="C104" s="468" t="s">
        <v>329</v>
      </c>
      <c r="D104" s="453"/>
      <c r="E104" s="453"/>
      <c r="F104" s="453"/>
      <c r="G104" s="453"/>
      <c r="H104" s="453"/>
      <c r="I104" s="453"/>
      <c r="J104" s="453"/>
      <c r="K104" s="453"/>
      <c r="L104" s="453"/>
      <c r="M104" s="453"/>
      <c r="N104" s="453"/>
      <c r="O104" s="453"/>
      <c r="P104" s="453"/>
      <c r="Q104" s="453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</row>
    <row r="105" spans="1:27" outlineLevel="1" x14ac:dyDescent="0.2">
      <c r="A105" s="462">
        <v>2006</v>
      </c>
      <c r="B105" s="464">
        <f>'Offset of Costs and Rev 2006-08'!D$160-SUM('Offset of Costs and Rev 2006-08'!D222:F222)</f>
        <v>0</v>
      </c>
      <c r="C105" s="463">
        <f>'Offset of Costs and Rev 2006-08'!C222-(D$103-A105-0.5)</f>
        <v>2.5</v>
      </c>
      <c r="D105" s="85">
        <f>IF(C105&lt;1,B105,B105/C105)</f>
        <v>0</v>
      </c>
      <c r="E105" s="85">
        <f>IF((SUM($D105:D105)+$B105/$C105)&gt;$B105,$B105-SUM($D105:D105),$B105/$C105)</f>
        <v>0</v>
      </c>
      <c r="F105" s="85">
        <f>IF((SUM($D105:E105)+$B105/$C105)&gt;$B105,$B105-SUM($D105:E105),$B105/$C105)</f>
        <v>0</v>
      </c>
      <c r="G105" s="85">
        <f>IF((SUM($D105:F105)+$B105/$C105)&gt;$B105,$B105-SUM($D105:F105),$B105/$C105)</f>
        <v>0</v>
      </c>
      <c r="H105" s="85">
        <f>IF((SUM($D105:G105)+$B105/$C105)&gt;$B105,$B105-SUM($D105:G105),$B105/$C105)</f>
        <v>0</v>
      </c>
      <c r="I105" s="85">
        <f>IF((SUM($D105:H105)+$B105/$C105)&gt;$B105,$B105-SUM($D105:H105),$B105/$C105)</f>
        <v>0</v>
      </c>
      <c r="J105" s="85">
        <f>IF((SUM($D105:I105)+$B105/$C105)&gt;$B105,$B105-SUM($D105:I105),$B105/$C105)</f>
        <v>0</v>
      </c>
      <c r="K105" s="85">
        <f>IF((SUM($D105:J105)+$B105/$C105)&gt;$B105,$B105-SUM($D105:J105),$B105/$C105)</f>
        <v>0</v>
      </c>
      <c r="L105" s="85">
        <f>IF((SUM($D105:K105)+$B105/$C105)&gt;$B105,$B105-SUM($D105:K105),$B105/$C105)</f>
        <v>0</v>
      </c>
      <c r="M105" s="85">
        <f>IF((SUM($D105:L105)+$B105/$C105)&gt;$B105,$B105-SUM($D105:L105),$B105/$C105)</f>
        <v>0</v>
      </c>
      <c r="N105" s="85">
        <f>IF((SUM($D105:M105)+$B105/$C105)&gt;$B105,$B105-SUM($D105:M105),$B105/$C105)</f>
        <v>0</v>
      </c>
      <c r="O105" s="85">
        <f>IF((SUM($D105:N105)+$B105/$C105)&gt;$B105,$B105-SUM($D105:N105),$B105/$C105)</f>
        <v>0</v>
      </c>
      <c r="P105" s="85">
        <f>IF((SUM($D105:O105)+$B105/$C105)&gt;$B105,$B105-SUM($D105:O105),$B105/$C105)</f>
        <v>0</v>
      </c>
      <c r="Q105" s="85">
        <f>IF((SUM($D105:P105)+$B105/$C105)&gt;$B105,$B105-SUM($D105:P105),$B105/$C105)</f>
        <v>0</v>
      </c>
      <c r="R105" s="85">
        <f>IF((SUM($D105:Q105)+$B105/$C105)&gt;$B105,$B105-SUM($D105:Q105),$B105/$C105)</f>
        <v>0</v>
      </c>
      <c r="S105" s="85">
        <f>IF((SUM($D105:R105)+$B105/$C105)&gt;$B105,$B105-SUM($D105:R105),$B105/$C105)</f>
        <v>0</v>
      </c>
      <c r="T105" s="85">
        <f>IF((SUM($D105:S105)+$B105/$C105)&gt;$B105,$B105-SUM($D105:S105),$B105/$C105)</f>
        <v>0</v>
      </c>
      <c r="U105" s="85">
        <f>IF((SUM($D105:T105)+$B105/$C105)&gt;$B105,$B105-SUM($D105:T105),$B105/$C105)</f>
        <v>0</v>
      </c>
      <c r="V105" s="85">
        <f>IF((SUM($D105:U105)+$B105/$C105)&gt;$B105,$B105-SUM($D105:U105),$B105/$C105)</f>
        <v>0</v>
      </c>
      <c r="W105" s="85">
        <f>IF((SUM($D105:V105)+$B105/$C105)&gt;$B105,$B105-SUM($D105:V105),$B105/$C105)</f>
        <v>0</v>
      </c>
      <c r="X105" s="85">
        <f>IF((SUM($D105:W105)+$B105/$C105)&gt;$B105,$B105-SUM($D105:W105),$B105/$C105)</f>
        <v>0</v>
      </c>
      <c r="Y105" s="85">
        <f>IF((SUM($D105:X105)+$B105/$C105)&gt;$B105,$B105-SUM($D105:X105),$B105/$C105)</f>
        <v>0</v>
      </c>
      <c r="Z105" s="85">
        <f>IF((SUM($D105:Y105)+$B105/$C105)&gt;$B105,$B105-SUM($D105:Y105),$B105/$C105)</f>
        <v>0</v>
      </c>
      <c r="AA105" s="85">
        <f>IF((SUM($D105:Z105)+$B105/$C105)&gt;$B105,$B105-SUM($D105:Z105),$B105/$C105)</f>
        <v>0</v>
      </c>
    </row>
    <row r="106" spans="1:27" outlineLevel="1" x14ac:dyDescent="0.2">
      <c r="A106" s="462">
        <v>2007</v>
      </c>
      <c r="B106" s="464">
        <f>'Offset of Costs and Rev 2006-08'!E$160-SUM('Offset of Costs and Rev 2006-08'!D223:F223)</f>
        <v>0</v>
      </c>
      <c r="C106" s="463">
        <f>'Offset of Costs and Rev 2006-08'!C223-(D$103-A106-0.5)</f>
        <v>3.5</v>
      </c>
      <c r="D106" s="85">
        <f>IF(C106&lt;1,B106,B106/C106)</f>
        <v>0</v>
      </c>
      <c r="E106" s="85">
        <f>IF((SUM($D106:D106)+$B106/$C106)&gt;$B106,$B106-SUM($D106:D106),$B106/$C106)</f>
        <v>0</v>
      </c>
      <c r="F106" s="85">
        <f>IF((SUM($D106:E106)+$B106/$C106)&gt;$B106,$B106-SUM($D106:E106),$B106/$C106)</f>
        <v>0</v>
      </c>
      <c r="G106" s="85">
        <f>IF((SUM($D106:F106)+$B106/$C106)&gt;$B106,$B106-SUM($D106:F106),$B106/$C106)</f>
        <v>0</v>
      </c>
      <c r="H106" s="85">
        <f>IF((SUM($D106:G106)+$B106/$C106)&gt;$B106,$B106-SUM($D106:G106),$B106/$C106)</f>
        <v>0</v>
      </c>
      <c r="I106" s="85">
        <f>IF((SUM($D106:H106)+$B106/$C106)&gt;$B106,$B106-SUM($D106:H106),$B106/$C106)</f>
        <v>0</v>
      </c>
      <c r="J106" s="85">
        <f>IF((SUM($D106:I106)+$B106/$C106)&gt;$B106,$B106-SUM($D106:I106),$B106/$C106)</f>
        <v>0</v>
      </c>
      <c r="K106" s="85">
        <f>IF((SUM($D106:J106)+$B106/$C106)&gt;$B106,$B106-SUM($D106:J106),$B106/$C106)</f>
        <v>0</v>
      </c>
      <c r="L106" s="85">
        <f>IF((SUM($D106:K106)+$B106/$C106)&gt;$B106,$B106-SUM($D106:K106),$B106/$C106)</f>
        <v>0</v>
      </c>
      <c r="M106" s="85">
        <f>IF((SUM($D106:L106)+$B106/$C106)&gt;$B106,$B106-SUM($D106:L106),$B106/$C106)</f>
        <v>0</v>
      </c>
      <c r="N106" s="85">
        <f>IF((SUM($D106:M106)+$B106/$C106)&gt;$B106,$B106-SUM($D106:M106),$B106/$C106)</f>
        <v>0</v>
      </c>
      <c r="O106" s="85">
        <f>IF((SUM($D106:N106)+$B106/$C106)&gt;$B106,$B106-SUM($D106:N106),$B106/$C106)</f>
        <v>0</v>
      </c>
      <c r="P106" s="85">
        <f>IF((SUM($D106:O106)+$B106/$C106)&gt;$B106,$B106-SUM($D106:O106),$B106/$C106)</f>
        <v>0</v>
      </c>
      <c r="Q106" s="85">
        <f>IF((SUM($D106:P106)+$B106/$C106)&gt;$B106,$B106-SUM($D106:P106),$B106/$C106)</f>
        <v>0</v>
      </c>
      <c r="R106" s="85">
        <f>IF((SUM($D106:Q106)+$B106/$C106)&gt;$B106,$B106-SUM($D106:Q106),$B106/$C106)</f>
        <v>0</v>
      </c>
      <c r="S106" s="85">
        <f>IF((SUM($D106:R106)+$B106/$C106)&gt;$B106,$B106-SUM($D106:R106),$B106/$C106)</f>
        <v>0</v>
      </c>
      <c r="T106" s="85">
        <f>IF((SUM($D106:S106)+$B106/$C106)&gt;$B106,$B106-SUM($D106:S106),$B106/$C106)</f>
        <v>0</v>
      </c>
      <c r="U106" s="85">
        <f>IF((SUM($D106:T106)+$B106/$C106)&gt;$B106,$B106-SUM($D106:T106),$B106/$C106)</f>
        <v>0</v>
      </c>
      <c r="V106" s="85">
        <f>IF((SUM($D106:U106)+$B106/$C106)&gt;$B106,$B106-SUM($D106:U106),$B106/$C106)</f>
        <v>0</v>
      </c>
      <c r="W106" s="85">
        <f>IF((SUM($D106:V106)+$B106/$C106)&gt;$B106,$B106-SUM($D106:V106),$B106/$C106)</f>
        <v>0</v>
      </c>
      <c r="X106" s="85">
        <f>IF((SUM($D106:W106)+$B106/$C106)&gt;$B106,$B106-SUM($D106:W106),$B106/$C106)</f>
        <v>0</v>
      </c>
      <c r="Y106" s="85">
        <f>IF((SUM($D106:X106)+$B106/$C106)&gt;$B106,$B106-SUM($D106:X106),$B106/$C106)</f>
        <v>0</v>
      </c>
      <c r="Z106" s="85">
        <f>IF((SUM($D106:Y106)+$B106/$C106)&gt;$B106,$B106-SUM($D106:Y106),$B106/$C106)</f>
        <v>0</v>
      </c>
      <c r="AA106" s="85">
        <f>IF((SUM($D106:Z106)+$B106/$C106)&gt;$B106,$B106-SUM($D106:Z106),$B106/$C106)</f>
        <v>0</v>
      </c>
    </row>
    <row r="107" spans="1:27" outlineLevel="1" x14ac:dyDescent="0.2">
      <c r="A107" s="462">
        <v>2008</v>
      </c>
      <c r="B107" s="464">
        <f>'Offset of Costs and Rev 2006-08'!F$160-SUM('Offset of Costs and Rev 2006-08'!D224:F224)</f>
        <v>0</v>
      </c>
      <c r="C107" s="463">
        <f>'Offset of Costs and Rev 2006-08'!C224-(D$103-A107-0.5)</f>
        <v>4.5</v>
      </c>
      <c r="D107" s="85">
        <f>IF(C107&lt;1,B107,B107/C107)</f>
        <v>0</v>
      </c>
      <c r="E107" s="85">
        <f>IF((SUM($D107:D107)+$B107/$C107)&gt;$B107,$B107-SUM($D107:D107),$B107/$C107)</f>
        <v>0</v>
      </c>
      <c r="F107" s="85">
        <f>IF((SUM($D107:E107)+$B107/$C107)&gt;$B107,$B107-SUM($D107:E107),$B107/$C107)</f>
        <v>0</v>
      </c>
      <c r="G107" s="85">
        <f>IF((SUM($D107:F107)+$B107/$C107)&gt;$B107,$B107-SUM($D107:F107),$B107/$C107)</f>
        <v>0</v>
      </c>
      <c r="H107" s="85">
        <f>IF((SUM($D107:G107)+$B107/$C107)&gt;$B107,$B107-SUM($D107:G107),$B107/$C107)</f>
        <v>0</v>
      </c>
      <c r="I107" s="85">
        <f>IF((SUM($D107:H107)+$B107/$C107)&gt;$B107,$B107-SUM($D107:H107),$B107/$C107)</f>
        <v>0</v>
      </c>
      <c r="J107" s="85">
        <f>IF((SUM($D107:I107)+$B107/$C107)&gt;$B107,$B107-SUM($D107:I107),$B107/$C107)</f>
        <v>0</v>
      </c>
      <c r="K107" s="85">
        <f>IF((SUM($D107:J107)+$B107/$C107)&gt;$B107,$B107-SUM($D107:J107),$B107/$C107)</f>
        <v>0</v>
      </c>
      <c r="L107" s="85">
        <f>IF((SUM($D107:K107)+$B107/$C107)&gt;$B107,$B107-SUM($D107:K107),$B107/$C107)</f>
        <v>0</v>
      </c>
      <c r="M107" s="85">
        <f>IF((SUM($D107:L107)+$B107/$C107)&gt;$B107,$B107-SUM($D107:L107),$B107/$C107)</f>
        <v>0</v>
      </c>
      <c r="N107" s="85">
        <f>IF((SUM($D107:M107)+$B107/$C107)&gt;$B107,$B107-SUM($D107:M107),$B107/$C107)</f>
        <v>0</v>
      </c>
      <c r="O107" s="85">
        <f>IF((SUM($D107:N107)+$B107/$C107)&gt;$B107,$B107-SUM($D107:N107),$B107/$C107)</f>
        <v>0</v>
      </c>
      <c r="P107" s="85">
        <f>IF((SUM($D107:O107)+$B107/$C107)&gt;$B107,$B107-SUM($D107:O107),$B107/$C107)</f>
        <v>0</v>
      </c>
      <c r="Q107" s="85">
        <f>IF((SUM($D107:P107)+$B107/$C107)&gt;$B107,$B107-SUM($D107:P107),$B107/$C107)</f>
        <v>0</v>
      </c>
      <c r="R107" s="85">
        <f>IF((SUM($D107:Q107)+$B107/$C107)&gt;$B107,$B107-SUM($D107:Q107),$B107/$C107)</f>
        <v>0</v>
      </c>
      <c r="S107" s="85">
        <f>IF((SUM($D107:R107)+$B107/$C107)&gt;$B107,$B107-SUM($D107:R107),$B107/$C107)</f>
        <v>0</v>
      </c>
      <c r="T107" s="85">
        <f>IF((SUM($D107:S107)+$B107/$C107)&gt;$B107,$B107-SUM($D107:S107),$B107/$C107)</f>
        <v>0</v>
      </c>
      <c r="U107" s="85">
        <f>IF((SUM($D107:T107)+$B107/$C107)&gt;$B107,$B107-SUM($D107:T107),$B107/$C107)</f>
        <v>0</v>
      </c>
      <c r="V107" s="85">
        <f>IF((SUM($D107:U107)+$B107/$C107)&gt;$B107,$B107-SUM($D107:U107),$B107/$C107)</f>
        <v>0</v>
      </c>
      <c r="W107" s="85">
        <f>IF((SUM($D107:V107)+$B107/$C107)&gt;$B107,$B107-SUM($D107:V107),$B107/$C107)</f>
        <v>0</v>
      </c>
      <c r="X107" s="85">
        <f>IF((SUM($D107:W107)+$B107/$C107)&gt;$B107,$B107-SUM($D107:W107),$B107/$C107)</f>
        <v>0</v>
      </c>
      <c r="Y107" s="85">
        <f>IF((SUM($D107:X107)+$B107/$C107)&gt;$B107,$B107-SUM($D107:X107),$B107/$C107)</f>
        <v>0</v>
      </c>
      <c r="Z107" s="85">
        <f>IF((SUM($D107:Y107)+$B107/$C107)&gt;$B107,$B107-SUM($D107:Y107),$B107/$C107)</f>
        <v>0</v>
      </c>
      <c r="AA107" s="85">
        <f>IF((SUM($D107:Z107)+$B107/$C107)&gt;$B107,$B107-SUM($D107:Z107),$B107/$C107)</f>
        <v>0</v>
      </c>
    </row>
    <row r="108" spans="1:27" outlineLevel="1" x14ac:dyDescent="0.2">
      <c r="B108" s="465">
        <f>SUM(B105:B107)</f>
        <v>0</v>
      </c>
      <c r="D108" s="107">
        <f>SUM(D105:D107)</f>
        <v>0</v>
      </c>
      <c r="E108" s="107">
        <f t="shared" ref="E108:W108" si="40">SUM(E105:E107)</f>
        <v>0</v>
      </c>
      <c r="F108" s="107">
        <f t="shared" si="40"/>
        <v>0</v>
      </c>
      <c r="G108" s="107">
        <f t="shared" si="40"/>
        <v>0</v>
      </c>
      <c r="H108" s="107">
        <f t="shared" si="40"/>
        <v>0</v>
      </c>
      <c r="I108" s="107">
        <f t="shared" si="40"/>
        <v>0</v>
      </c>
      <c r="J108" s="107">
        <f t="shared" si="40"/>
        <v>0</v>
      </c>
      <c r="K108" s="107">
        <f t="shared" si="40"/>
        <v>0</v>
      </c>
      <c r="L108" s="107">
        <f t="shared" si="40"/>
        <v>0</v>
      </c>
      <c r="M108" s="107">
        <f t="shared" si="40"/>
        <v>0</v>
      </c>
      <c r="N108" s="107">
        <f t="shared" si="40"/>
        <v>0</v>
      </c>
      <c r="O108" s="107">
        <f t="shared" si="40"/>
        <v>0</v>
      </c>
      <c r="P108" s="107">
        <f t="shared" si="40"/>
        <v>0</v>
      </c>
      <c r="Q108" s="107">
        <f t="shared" si="40"/>
        <v>0</v>
      </c>
      <c r="R108" s="107">
        <f t="shared" si="40"/>
        <v>0</v>
      </c>
      <c r="S108" s="107">
        <f t="shared" si="40"/>
        <v>0</v>
      </c>
      <c r="T108" s="107">
        <f t="shared" si="40"/>
        <v>0</v>
      </c>
      <c r="U108" s="107">
        <f t="shared" si="40"/>
        <v>0</v>
      </c>
      <c r="V108" s="107">
        <f t="shared" si="40"/>
        <v>0</v>
      </c>
      <c r="W108" s="107">
        <f t="shared" si="40"/>
        <v>0</v>
      </c>
      <c r="X108" s="107">
        <f>SUM(X105:X107)</f>
        <v>0</v>
      </c>
      <c r="Y108" s="107">
        <f>SUM(Y105:Y107)</f>
        <v>0</v>
      </c>
      <c r="Z108" s="107">
        <f>SUM(Z105:Z107)</f>
        <v>0</v>
      </c>
      <c r="AA108" s="107">
        <f>SUM(AA105:AA107)</f>
        <v>0</v>
      </c>
    </row>
    <row r="109" spans="1:27" outlineLevel="1" x14ac:dyDescent="0.2"/>
    <row r="110" spans="1:27" outlineLevel="1" x14ac:dyDescent="0.2"/>
    <row r="111" spans="1:27" outlineLevel="1" x14ac:dyDescent="0.2">
      <c r="A111" s="344" t="s">
        <v>285</v>
      </c>
      <c r="B111" s="466" t="s">
        <v>327</v>
      </c>
      <c r="C111" s="307" t="s">
        <v>330</v>
      </c>
      <c r="D111" s="461">
        <f>D$4</f>
        <v>2009</v>
      </c>
      <c r="E111" s="461">
        <f t="shared" ref="E111:AA111" si="41">E$4</f>
        <v>2010</v>
      </c>
      <c r="F111" s="461">
        <f t="shared" si="41"/>
        <v>2011</v>
      </c>
      <c r="G111" s="461">
        <f t="shared" si="41"/>
        <v>2012</v>
      </c>
      <c r="H111" s="461">
        <f t="shared" si="41"/>
        <v>2013</v>
      </c>
      <c r="I111" s="461">
        <f t="shared" si="41"/>
        <v>2014</v>
      </c>
      <c r="J111" s="461">
        <f t="shared" si="41"/>
        <v>2015</v>
      </c>
      <c r="K111" s="461">
        <f t="shared" si="41"/>
        <v>2016</v>
      </c>
      <c r="L111" s="461">
        <f t="shared" si="41"/>
        <v>2017</v>
      </c>
      <c r="M111" s="461">
        <f t="shared" si="41"/>
        <v>2018</v>
      </c>
      <c r="N111" s="461">
        <f t="shared" si="41"/>
        <v>2019</v>
      </c>
      <c r="O111" s="461">
        <f t="shared" si="41"/>
        <v>2020</v>
      </c>
      <c r="P111" s="461">
        <f t="shared" si="41"/>
        <v>2021</v>
      </c>
      <c r="Q111" s="461">
        <f t="shared" si="41"/>
        <v>2022</v>
      </c>
      <c r="R111" s="461">
        <f t="shared" si="41"/>
        <v>2023</v>
      </c>
      <c r="S111" s="461">
        <f t="shared" si="41"/>
        <v>2024</v>
      </c>
      <c r="T111" s="461">
        <f t="shared" si="41"/>
        <v>2025</v>
      </c>
      <c r="U111" s="461">
        <f t="shared" si="41"/>
        <v>2026</v>
      </c>
      <c r="V111" s="461">
        <f t="shared" si="41"/>
        <v>2027</v>
      </c>
      <c r="W111" s="461">
        <f t="shared" si="41"/>
        <v>2028</v>
      </c>
      <c r="X111" s="461">
        <f t="shared" si="41"/>
        <v>2029</v>
      </c>
      <c r="Y111" s="461">
        <f t="shared" si="41"/>
        <v>2030</v>
      </c>
      <c r="Z111" s="461">
        <f t="shared" si="41"/>
        <v>2031</v>
      </c>
      <c r="AA111" s="461">
        <f t="shared" si="41"/>
        <v>2032</v>
      </c>
    </row>
    <row r="112" spans="1:27" outlineLevel="1" x14ac:dyDescent="0.2">
      <c r="A112" s="344" t="str">
        <f>$A$4</f>
        <v>($000 Real 2008)</v>
      </c>
      <c r="B112" s="467" t="s">
        <v>328</v>
      </c>
      <c r="C112" s="468" t="s">
        <v>329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53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</row>
    <row r="113" spans="1:27" outlineLevel="1" x14ac:dyDescent="0.2">
      <c r="A113" s="462">
        <v>2006</v>
      </c>
      <c r="B113" s="464">
        <f>'Offset of Costs and Rev 2006-08'!D$170-SUM('Offset of Costs and Rev 2006-08'!D230:F230)</f>
        <v>0</v>
      </c>
      <c r="C113" s="463">
        <f>'Offset of Costs and Rev 2006-08'!C230-(D$111-A113-0.5)</f>
        <v>2.5</v>
      </c>
      <c r="D113" s="85">
        <f>IF(C113&lt;1,B113,B113/C113)</f>
        <v>0</v>
      </c>
      <c r="E113" s="85">
        <f>IF((SUM($D113:D113)+$B113/$C113)&gt;$B113,$B113-SUM($D113:D113),$B113/$C113)</f>
        <v>0</v>
      </c>
      <c r="F113" s="85">
        <f>IF((SUM($D113:E113)+$B113/$C113)&gt;$B113,$B113-SUM($D113:E113),$B113/$C113)</f>
        <v>0</v>
      </c>
      <c r="G113" s="85">
        <f>IF((SUM($D113:F113)+$B113/$C113)&gt;$B113,$B113-SUM($D113:F113),$B113/$C113)</f>
        <v>0</v>
      </c>
      <c r="H113" s="85">
        <f>IF((SUM($D113:G113)+$B113/$C113)&gt;$B113,$B113-SUM($D113:G113),$B113/$C113)</f>
        <v>0</v>
      </c>
      <c r="I113" s="85">
        <f>IF((SUM($D113:H113)+$B113/$C113)&gt;$B113,$B113-SUM($D113:H113),$B113/$C113)</f>
        <v>0</v>
      </c>
      <c r="J113" s="85">
        <f>IF((SUM($D113:I113)+$B113/$C113)&gt;$B113,$B113-SUM($D113:I113),$B113/$C113)</f>
        <v>0</v>
      </c>
      <c r="K113" s="85">
        <f>IF((SUM($D113:J113)+$B113/$C113)&gt;$B113,$B113-SUM($D113:J113),$B113/$C113)</f>
        <v>0</v>
      </c>
      <c r="L113" s="85">
        <f>IF((SUM($D113:K113)+$B113/$C113)&gt;$B113,$B113-SUM($D113:K113),$B113/$C113)</f>
        <v>0</v>
      </c>
      <c r="M113" s="85">
        <f>IF((SUM($D113:L113)+$B113/$C113)&gt;$B113,$B113-SUM($D113:L113),$B113/$C113)</f>
        <v>0</v>
      </c>
      <c r="N113" s="85">
        <f>IF((SUM($D113:M113)+$B113/$C113)&gt;$B113,$B113-SUM($D113:M113),$B113/$C113)</f>
        <v>0</v>
      </c>
      <c r="O113" s="85">
        <f>IF((SUM($D113:N113)+$B113/$C113)&gt;$B113,$B113-SUM($D113:N113),$B113/$C113)</f>
        <v>0</v>
      </c>
      <c r="P113" s="85">
        <f>IF((SUM($D113:O113)+$B113/$C113)&gt;$B113,$B113-SUM($D113:O113),$B113/$C113)</f>
        <v>0</v>
      </c>
      <c r="Q113" s="85">
        <f>IF((SUM($D113:P113)+$B113/$C113)&gt;$B113,$B113-SUM($D113:P113),$B113/$C113)</f>
        <v>0</v>
      </c>
      <c r="R113" s="85">
        <f>IF((SUM($D113:Q113)+$B113/$C113)&gt;$B113,$B113-SUM($D113:Q113),$B113/$C113)</f>
        <v>0</v>
      </c>
      <c r="S113" s="85">
        <f>IF((SUM($D113:R113)+$B113/$C113)&gt;$B113,$B113-SUM($D113:R113),$B113/$C113)</f>
        <v>0</v>
      </c>
      <c r="T113" s="85">
        <f>IF((SUM($D113:S113)+$B113/$C113)&gt;$B113,$B113-SUM($D113:S113),$B113/$C113)</f>
        <v>0</v>
      </c>
      <c r="U113" s="85">
        <f>IF((SUM($D113:T113)+$B113/$C113)&gt;$B113,$B113-SUM($D113:T113),$B113/$C113)</f>
        <v>0</v>
      </c>
      <c r="V113" s="85">
        <f>IF((SUM($D113:U113)+$B113/$C113)&gt;$B113,$B113-SUM($D113:U113),$B113/$C113)</f>
        <v>0</v>
      </c>
      <c r="W113" s="85">
        <f>IF((SUM($D113:V113)+$B113/$C113)&gt;$B113,$B113-SUM($D113:V113),$B113/$C113)</f>
        <v>0</v>
      </c>
      <c r="X113" s="85">
        <f>IF((SUM($D113:W113)+$B113/$C113)&gt;$B113,$B113-SUM($D113:W113),$B113/$C113)</f>
        <v>0</v>
      </c>
      <c r="Y113" s="85">
        <f>IF((SUM($D113:X113)+$B113/$C113)&gt;$B113,$B113-SUM($D113:X113),$B113/$C113)</f>
        <v>0</v>
      </c>
      <c r="Z113" s="85">
        <f>IF((SUM($D113:Y113)+$B113/$C113)&gt;$B113,$B113-SUM($D113:Y113),$B113/$C113)</f>
        <v>0</v>
      </c>
      <c r="AA113" s="85">
        <f>IF((SUM($D113:Z113)+$B113/$C113)&gt;$B113,$B113-SUM($D113:Z113),$B113/$C113)</f>
        <v>0</v>
      </c>
    </row>
    <row r="114" spans="1:27" outlineLevel="1" x14ac:dyDescent="0.2">
      <c r="A114" s="462">
        <v>2007</v>
      </c>
      <c r="B114" s="464">
        <f>'Offset of Costs and Rev 2006-08'!E$170-SUM('Offset of Costs and Rev 2006-08'!D231:F231)</f>
        <v>0</v>
      </c>
      <c r="C114" s="463">
        <f>'Offset of Costs and Rev 2006-08'!C231-(D$111-A114-0.5)</f>
        <v>3.5</v>
      </c>
      <c r="D114" s="85">
        <f>IF(C114&lt;1,B114,B114/C114)</f>
        <v>0</v>
      </c>
      <c r="E114" s="85">
        <f>IF((SUM($D114:D114)+$B114/$C114)&gt;$B114,$B114-SUM($D114:D114),$B114/$C114)</f>
        <v>0</v>
      </c>
      <c r="F114" s="85">
        <f>IF((SUM($D114:E114)+$B114/$C114)&gt;$B114,$B114-SUM($D114:E114),$B114/$C114)</f>
        <v>0</v>
      </c>
      <c r="G114" s="85">
        <f>IF((SUM($D114:F114)+$B114/$C114)&gt;$B114,$B114-SUM($D114:F114),$B114/$C114)</f>
        <v>0</v>
      </c>
      <c r="H114" s="85">
        <f>IF((SUM($D114:G114)+$B114/$C114)&gt;$B114,$B114-SUM($D114:G114),$B114/$C114)</f>
        <v>0</v>
      </c>
      <c r="I114" s="85">
        <f>IF((SUM($D114:H114)+$B114/$C114)&gt;$B114,$B114-SUM($D114:H114),$B114/$C114)</f>
        <v>0</v>
      </c>
      <c r="J114" s="85">
        <f>IF((SUM($D114:I114)+$B114/$C114)&gt;$B114,$B114-SUM($D114:I114),$B114/$C114)</f>
        <v>0</v>
      </c>
      <c r="K114" s="85">
        <f>IF((SUM($D114:J114)+$B114/$C114)&gt;$B114,$B114-SUM($D114:J114),$B114/$C114)</f>
        <v>0</v>
      </c>
      <c r="L114" s="85">
        <f>IF((SUM($D114:K114)+$B114/$C114)&gt;$B114,$B114-SUM($D114:K114),$B114/$C114)</f>
        <v>0</v>
      </c>
      <c r="M114" s="85">
        <f>IF((SUM($D114:L114)+$B114/$C114)&gt;$B114,$B114-SUM($D114:L114),$B114/$C114)</f>
        <v>0</v>
      </c>
      <c r="N114" s="85">
        <f>IF((SUM($D114:M114)+$B114/$C114)&gt;$B114,$B114-SUM($D114:M114),$B114/$C114)</f>
        <v>0</v>
      </c>
      <c r="O114" s="85">
        <f>IF((SUM($D114:N114)+$B114/$C114)&gt;$B114,$B114-SUM($D114:N114),$B114/$C114)</f>
        <v>0</v>
      </c>
      <c r="P114" s="85">
        <f>IF((SUM($D114:O114)+$B114/$C114)&gt;$B114,$B114-SUM($D114:O114),$B114/$C114)</f>
        <v>0</v>
      </c>
      <c r="Q114" s="85">
        <f>IF((SUM($D114:P114)+$B114/$C114)&gt;$B114,$B114-SUM($D114:P114),$B114/$C114)</f>
        <v>0</v>
      </c>
      <c r="R114" s="85">
        <f>IF((SUM($D114:Q114)+$B114/$C114)&gt;$B114,$B114-SUM($D114:Q114),$B114/$C114)</f>
        <v>0</v>
      </c>
      <c r="S114" s="85">
        <f>IF((SUM($D114:R114)+$B114/$C114)&gt;$B114,$B114-SUM($D114:R114),$B114/$C114)</f>
        <v>0</v>
      </c>
      <c r="T114" s="85">
        <f>IF((SUM($D114:S114)+$B114/$C114)&gt;$B114,$B114-SUM($D114:S114),$B114/$C114)</f>
        <v>0</v>
      </c>
      <c r="U114" s="85">
        <f>IF((SUM($D114:T114)+$B114/$C114)&gt;$B114,$B114-SUM($D114:T114),$B114/$C114)</f>
        <v>0</v>
      </c>
      <c r="V114" s="85">
        <f>IF((SUM($D114:U114)+$B114/$C114)&gt;$B114,$B114-SUM($D114:U114),$B114/$C114)</f>
        <v>0</v>
      </c>
      <c r="W114" s="85">
        <f>IF((SUM($D114:V114)+$B114/$C114)&gt;$B114,$B114-SUM($D114:V114),$B114/$C114)</f>
        <v>0</v>
      </c>
      <c r="X114" s="85">
        <f>IF((SUM($D114:W114)+$B114/$C114)&gt;$B114,$B114-SUM($D114:W114),$B114/$C114)</f>
        <v>0</v>
      </c>
      <c r="Y114" s="85">
        <f>IF((SUM($D114:X114)+$B114/$C114)&gt;$B114,$B114-SUM($D114:X114),$B114/$C114)</f>
        <v>0</v>
      </c>
      <c r="Z114" s="85">
        <f>IF((SUM($D114:Y114)+$B114/$C114)&gt;$B114,$B114-SUM($D114:Y114),$B114/$C114)</f>
        <v>0</v>
      </c>
      <c r="AA114" s="85">
        <f>IF((SUM($D114:Z114)+$B114/$C114)&gt;$B114,$B114-SUM($D114:Z114),$B114/$C114)</f>
        <v>0</v>
      </c>
    </row>
    <row r="115" spans="1:27" outlineLevel="1" x14ac:dyDescent="0.2">
      <c r="A115" s="462">
        <v>2008</v>
      </c>
      <c r="B115" s="464">
        <f>'Offset of Costs and Rev 2006-08'!F$170-SUM('Offset of Costs and Rev 2006-08'!D232:F232)</f>
        <v>0</v>
      </c>
      <c r="C115" s="463">
        <f>'Offset of Costs and Rev 2006-08'!C232-(D$111-A115-0.5)</f>
        <v>4.5</v>
      </c>
      <c r="D115" s="85">
        <f>IF(C115&lt;1,B115,B115/C115)</f>
        <v>0</v>
      </c>
      <c r="E115" s="85">
        <f>IF((SUM($D115:D115)+$B115/$C115)&gt;$B115,$B115-SUM($D115:D115),$B115/$C115)</f>
        <v>0</v>
      </c>
      <c r="F115" s="85">
        <f>IF((SUM($D115:E115)+$B115/$C115)&gt;$B115,$B115-SUM($D115:E115),$B115/$C115)</f>
        <v>0</v>
      </c>
      <c r="G115" s="85">
        <f>IF((SUM($D115:F115)+$B115/$C115)&gt;$B115,$B115-SUM($D115:F115),$B115/$C115)</f>
        <v>0</v>
      </c>
      <c r="H115" s="85">
        <f>IF((SUM($D115:G115)+$B115/$C115)&gt;$B115,$B115-SUM($D115:G115),$B115/$C115)</f>
        <v>0</v>
      </c>
      <c r="I115" s="85">
        <f>IF((SUM($D115:H115)+$B115/$C115)&gt;$B115,$B115-SUM($D115:H115),$B115/$C115)</f>
        <v>0</v>
      </c>
      <c r="J115" s="85">
        <f>IF((SUM($D115:I115)+$B115/$C115)&gt;$B115,$B115-SUM($D115:I115),$B115/$C115)</f>
        <v>0</v>
      </c>
      <c r="K115" s="85">
        <f>IF((SUM($D115:J115)+$B115/$C115)&gt;$B115,$B115-SUM($D115:J115),$B115/$C115)</f>
        <v>0</v>
      </c>
      <c r="L115" s="85">
        <f>IF((SUM($D115:K115)+$B115/$C115)&gt;$B115,$B115-SUM($D115:K115),$B115/$C115)</f>
        <v>0</v>
      </c>
      <c r="M115" s="85">
        <f>IF((SUM($D115:L115)+$B115/$C115)&gt;$B115,$B115-SUM($D115:L115),$B115/$C115)</f>
        <v>0</v>
      </c>
      <c r="N115" s="85">
        <f>IF((SUM($D115:M115)+$B115/$C115)&gt;$B115,$B115-SUM($D115:M115),$B115/$C115)</f>
        <v>0</v>
      </c>
      <c r="O115" s="85">
        <f>IF((SUM($D115:N115)+$B115/$C115)&gt;$B115,$B115-SUM($D115:N115),$B115/$C115)</f>
        <v>0</v>
      </c>
      <c r="P115" s="85">
        <f>IF((SUM($D115:O115)+$B115/$C115)&gt;$B115,$B115-SUM($D115:O115),$B115/$C115)</f>
        <v>0</v>
      </c>
      <c r="Q115" s="85">
        <f>IF((SUM($D115:P115)+$B115/$C115)&gt;$B115,$B115-SUM($D115:P115),$B115/$C115)</f>
        <v>0</v>
      </c>
      <c r="R115" s="85">
        <f>IF((SUM($D115:Q115)+$B115/$C115)&gt;$B115,$B115-SUM($D115:Q115),$B115/$C115)</f>
        <v>0</v>
      </c>
      <c r="S115" s="85">
        <f>IF((SUM($D115:R115)+$B115/$C115)&gt;$B115,$B115-SUM($D115:R115),$B115/$C115)</f>
        <v>0</v>
      </c>
      <c r="T115" s="85">
        <f>IF((SUM($D115:S115)+$B115/$C115)&gt;$B115,$B115-SUM($D115:S115),$B115/$C115)</f>
        <v>0</v>
      </c>
      <c r="U115" s="85">
        <f>IF((SUM($D115:T115)+$B115/$C115)&gt;$B115,$B115-SUM($D115:T115),$B115/$C115)</f>
        <v>0</v>
      </c>
      <c r="V115" s="85">
        <f>IF((SUM($D115:U115)+$B115/$C115)&gt;$B115,$B115-SUM($D115:U115),$B115/$C115)</f>
        <v>0</v>
      </c>
      <c r="W115" s="85">
        <f>IF((SUM($D115:V115)+$B115/$C115)&gt;$B115,$B115-SUM($D115:V115),$B115/$C115)</f>
        <v>0</v>
      </c>
      <c r="X115" s="85">
        <f>IF((SUM($D115:W115)+$B115/$C115)&gt;$B115,$B115-SUM($D115:W115),$B115/$C115)</f>
        <v>0</v>
      </c>
      <c r="Y115" s="85">
        <f>IF((SUM($D115:X115)+$B115/$C115)&gt;$B115,$B115-SUM($D115:X115),$B115/$C115)</f>
        <v>0</v>
      </c>
      <c r="Z115" s="85">
        <f>IF((SUM($D115:Y115)+$B115/$C115)&gt;$B115,$B115-SUM($D115:Y115),$B115/$C115)</f>
        <v>0</v>
      </c>
      <c r="AA115" s="85">
        <f>IF((SUM($D115:Z115)+$B115/$C115)&gt;$B115,$B115-SUM($D115:Z115),$B115/$C115)</f>
        <v>0</v>
      </c>
    </row>
    <row r="116" spans="1:27" outlineLevel="1" x14ac:dyDescent="0.2">
      <c r="B116" s="465">
        <f>SUM(B113:B115)</f>
        <v>0</v>
      </c>
      <c r="D116" s="107">
        <f>SUM(D113:D115)</f>
        <v>0</v>
      </c>
      <c r="E116" s="107">
        <f t="shared" ref="E116:W116" si="42">SUM(E113:E115)</f>
        <v>0</v>
      </c>
      <c r="F116" s="107">
        <f t="shared" si="42"/>
        <v>0</v>
      </c>
      <c r="G116" s="107">
        <f t="shared" si="42"/>
        <v>0</v>
      </c>
      <c r="H116" s="107">
        <f t="shared" si="42"/>
        <v>0</v>
      </c>
      <c r="I116" s="107">
        <f t="shared" si="42"/>
        <v>0</v>
      </c>
      <c r="J116" s="107">
        <f t="shared" si="42"/>
        <v>0</v>
      </c>
      <c r="K116" s="107">
        <f t="shared" si="42"/>
        <v>0</v>
      </c>
      <c r="L116" s="107">
        <f t="shared" si="42"/>
        <v>0</v>
      </c>
      <c r="M116" s="107">
        <f t="shared" si="42"/>
        <v>0</v>
      </c>
      <c r="N116" s="107">
        <f t="shared" si="42"/>
        <v>0</v>
      </c>
      <c r="O116" s="107">
        <f t="shared" si="42"/>
        <v>0</v>
      </c>
      <c r="P116" s="107">
        <f t="shared" si="42"/>
        <v>0</v>
      </c>
      <c r="Q116" s="107">
        <f t="shared" si="42"/>
        <v>0</v>
      </c>
      <c r="R116" s="107">
        <f t="shared" si="42"/>
        <v>0</v>
      </c>
      <c r="S116" s="107">
        <f t="shared" si="42"/>
        <v>0</v>
      </c>
      <c r="T116" s="107">
        <f t="shared" si="42"/>
        <v>0</v>
      </c>
      <c r="U116" s="107">
        <f t="shared" si="42"/>
        <v>0</v>
      </c>
      <c r="V116" s="107">
        <f t="shared" si="42"/>
        <v>0</v>
      </c>
      <c r="W116" s="107">
        <f t="shared" si="42"/>
        <v>0</v>
      </c>
      <c r="X116" s="107">
        <f>SUM(X113:X115)</f>
        <v>0</v>
      </c>
      <c r="Y116" s="107">
        <f>SUM(Y113:Y115)</f>
        <v>0</v>
      </c>
      <c r="Z116" s="107">
        <f>SUM(Z113:Z115)</f>
        <v>0</v>
      </c>
      <c r="AA116" s="107">
        <f>SUM(AA113:AA115)</f>
        <v>0</v>
      </c>
    </row>
    <row r="117" spans="1:27" outlineLevel="1" x14ac:dyDescent="0.2">
      <c r="B117" s="471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</row>
    <row r="118" spans="1:27" outlineLevel="1" x14ac:dyDescent="0.2"/>
    <row r="119" spans="1:27" ht="13.5" outlineLevel="1" thickBot="1" x14ac:dyDescent="0.25">
      <c r="A119" s="469" t="s">
        <v>45</v>
      </c>
      <c r="B119" s="470">
        <f>SUM(B92,B100,B108,B116)</f>
        <v>18070.062561665247</v>
      </c>
      <c r="C119" s="469"/>
      <c r="D119" s="470">
        <f t="shared" ref="D119:W119" si="43">SUM(D92,D100,D108,D116)</f>
        <v>3614.012512333049</v>
      </c>
      <c r="E119" s="470">
        <f t="shared" si="43"/>
        <v>3614.012512333049</v>
      </c>
      <c r="F119" s="470">
        <f t="shared" si="43"/>
        <v>3614.012512333049</v>
      </c>
      <c r="G119" s="470">
        <f t="shared" si="43"/>
        <v>3614.012512333049</v>
      </c>
      <c r="H119" s="470">
        <f t="shared" si="43"/>
        <v>3614.012512333049</v>
      </c>
      <c r="I119" s="470">
        <f t="shared" si="43"/>
        <v>-4.5474735088646412E-13</v>
      </c>
      <c r="J119" s="470">
        <f t="shared" si="43"/>
        <v>0</v>
      </c>
      <c r="K119" s="470">
        <f t="shared" si="43"/>
        <v>0</v>
      </c>
      <c r="L119" s="470">
        <f t="shared" si="43"/>
        <v>0</v>
      </c>
      <c r="M119" s="470">
        <f t="shared" si="43"/>
        <v>0</v>
      </c>
      <c r="N119" s="470">
        <f t="shared" si="43"/>
        <v>0</v>
      </c>
      <c r="O119" s="470">
        <f t="shared" si="43"/>
        <v>0</v>
      </c>
      <c r="P119" s="470">
        <f t="shared" si="43"/>
        <v>0</v>
      </c>
      <c r="Q119" s="470">
        <f t="shared" si="43"/>
        <v>0</v>
      </c>
      <c r="R119" s="470">
        <f t="shared" si="43"/>
        <v>0</v>
      </c>
      <c r="S119" s="470">
        <f t="shared" si="43"/>
        <v>0</v>
      </c>
      <c r="T119" s="470">
        <f t="shared" si="43"/>
        <v>0</v>
      </c>
      <c r="U119" s="470">
        <f t="shared" si="43"/>
        <v>0</v>
      </c>
      <c r="V119" s="470">
        <f t="shared" si="43"/>
        <v>0</v>
      </c>
      <c r="W119" s="470">
        <f t="shared" si="43"/>
        <v>0</v>
      </c>
      <c r="X119" s="470">
        <f>SUM(X92,X100,X108,X116)</f>
        <v>0</v>
      </c>
      <c r="Y119" s="470">
        <f>SUM(Y92,Y100,Y108,Y116)</f>
        <v>0</v>
      </c>
      <c r="Z119" s="470">
        <f>SUM(Z92,Z100,Z108,Z116)</f>
        <v>0</v>
      </c>
      <c r="AA119" s="470">
        <f>SUM(AA92,AA100,AA108,AA116)</f>
        <v>0</v>
      </c>
    </row>
    <row r="120" spans="1:27" ht="13.5" outlineLevel="1" thickTop="1" x14ac:dyDescent="0.2"/>
    <row r="121" spans="1:27" outlineLevel="1" x14ac:dyDescent="0.2"/>
    <row r="123" spans="1:27" x14ac:dyDescent="0.2">
      <c r="A123" s="457" t="s">
        <v>336</v>
      </c>
      <c r="B123" s="457"/>
      <c r="C123" s="457"/>
      <c r="J123" s="459"/>
    </row>
    <row r="124" spans="1:27" x14ac:dyDescent="0.2">
      <c r="A124" s="344" t="str">
        <f>$A$4</f>
        <v>($000 Real 2008)</v>
      </c>
      <c r="B124" s="457"/>
      <c r="C124" s="457"/>
      <c r="J124" s="459"/>
    </row>
    <row r="125" spans="1:27" x14ac:dyDescent="0.2">
      <c r="A125" s="99" t="s">
        <v>331</v>
      </c>
      <c r="D125" s="461">
        <f>D$4</f>
        <v>2009</v>
      </c>
      <c r="E125" s="461">
        <f t="shared" ref="E125:AA125" si="44">E$4</f>
        <v>2010</v>
      </c>
      <c r="F125" s="461">
        <f t="shared" si="44"/>
        <v>2011</v>
      </c>
      <c r="G125" s="461">
        <f t="shared" si="44"/>
        <v>2012</v>
      </c>
      <c r="H125" s="461">
        <f t="shared" si="44"/>
        <v>2013</v>
      </c>
      <c r="I125" s="461">
        <f t="shared" si="44"/>
        <v>2014</v>
      </c>
      <c r="J125" s="461">
        <f t="shared" si="44"/>
        <v>2015</v>
      </c>
      <c r="K125" s="461">
        <f t="shared" si="44"/>
        <v>2016</v>
      </c>
      <c r="L125" s="461">
        <f t="shared" si="44"/>
        <v>2017</v>
      </c>
      <c r="M125" s="461">
        <f t="shared" si="44"/>
        <v>2018</v>
      </c>
      <c r="N125" s="461">
        <f t="shared" si="44"/>
        <v>2019</v>
      </c>
      <c r="O125" s="461">
        <f t="shared" si="44"/>
        <v>2020</v>
      </c>
      <c r="P125" s="461">
        <f t="shared" si="44"/>
        <v>2021</v>
      </c>
      <c r="Q125" s="461">
        <f t="shared" si="44"/>
        <v>2022</v>
      </c>
      <c r="R125" s="461">
        <f t="shared" si="44"/>
        <v>2023</v>
      </c>
      <c r="S125" s="461">
        <f t="shared" si="44"/>
        <v>2024</v>
      </c>
      <c r="T125" s="461">
        <f t="shared" si="44"/>
        <v>2025</v>
      </c>
      <c r="U125" s="461">
        <f t="shared" si="44"/>
        <v>2026</v>
      </c>
      <c r="V125" s="461">
        <f t="shared" si="44"/>
        <v>2027</v>
      </c>
      <c r="W125" s="461">
        <f t="shared" si="44"/>
        <v>2028</v>
      </c>
      <c r="X125" s="461">
        <f t="shared" si="44"/>
        <v>2029</v>
      </c>
      <c r="Y125" s="461">
        <f t="shared" si="44"/>
        <v>2030</v>
      </c>
      <c r="Z125" s="461">
        <f t="shared" si="44"/>
        <v>2031</v>
      </c>
      <c r="AA125" s="461">
        <f t="shared" si="44"/>
        <v>2032</v>
      </c>
    </row>
    <row r="126" spans="1:27" x14ac:dyDescent="0.2">
      <c r="A126" s="71" t="s">
        <v>172</v>
      </c>
      <c r="D126" s="85">
        <f>B163</f>
        <v>15300.886907970818</v>
      </c>
      <c r="E126" s="85">
        <f>D128</f>
        <v>12829.329809577615</v>
      </c>
      <c r="F126" s="85">
        <f t="shared" ref="F126:W126" si="45">E128</f>
        <v>10357.772711184414</v>
      </c>
      <c r="G126" s="85">
        <f t="shared" si="45"/>
        <v>7886.2156127912122</v>
      </c>
      <c r="H126" s="85">
        <f t="shared" si="45"/>
        <v>5414.6585143980101</v>
      </c>
      <c r="I126" s="85">
        <f t="shared" si="45"/>
        <v>2988.2568369759983</v>
      </c>
      <c r="J126" s="85">
        <f t="shared" si="45"/>
        <v>898.81685437529359</v>
      </c>
      <c r="K126" s="85">
        <f t="shared" si="45"/>
        <v>-1.2505552149377763E-12</v>
      </c>
      <c r="L126" s="85">
        <f t="shared" si="45"/>
        <v>-1.2505552149377763E-12</v>
      </c>
      <c r="M126" s="85">
        <f t="shared" si="45"/>
        <v>-1.2505552149377763E-12</v>
      </c>
      <c r="N126" s="85">
        <f t="shared" si="45"/>
        <v>-1.2505552149377763E-12</v>
      </c>
      <c r="O126" s="85">
        <f t="shared" si="45"/>
        <v>-1.2505552149377763E-12</v>
      </c>
      <c r="P126" s="85">
        <f t="shared" si="45"/>
        <v>-1.2505552149377763E-12</v>
      </c>
      <c r="Q126" s="85">
        <f t="shared" si="45"/>
        <v>-1.2505552149377763E-12</v>
      </c>
      <c r="R126" s="85">
        <f t="shared" si="45"/>
        <v>-1.2505552149377763E-12</v>
      </c>
      <c r="S126" s="85">
        <f t="shared" si="45"/>
        <v>-1.2505552149377763E-12</v>
      </c>
      <c r="T126" s="85">
        <f t="shared" si="45"/>
        <v>-1.2505552149377763E-12</v>
      </c>
      <c r="U126" s="85">
        <f t="shared" si="45"/>
        <v>-1.2505552149377763E-12</v>
      </c>
      <c r="V126" s="85">
        <f t="shared" si="45"/>
        <v>-1.2505552149377763E-12</v>
      </c>
      <c r="W126" s="85">
        <f t="shared" si="45"/>
        <v>-1.2505552149377763E-12</v>
      </c>
      <c r="X126" s="85">
        <f>W128</f>
        <v>-1.2505552149377763E-12</v>
      </c>
      <c r="Y126" s="85">
        <f>X128</f>
        <v>-1.2505552149377763E-12</v>
      </c>
      <c r="Z126" s="85">
        <f>Y128</f>
        <v>-1.2505552149377763E-12</v>
      </c>
      <c r="AA126" s="85">
        <f>Z128</f>
        <v>-1.2505552149377763E-12</v>
      </c>
    </row>
    <row r="127" spans="1:27" x14ac:dyDescent="0.2">
      <c r="A127" s="82" t="s">
        <v>138</v>
      </c>
      <c r="D127" s="85">
        <f>D163</f>
        <v>2471.5570983932021</v>
      </c>
      <c r="E127" s="85">
        <f t="shared" ref="E127:W127" si="46">E163</f>
        <v>2471.5570983932021</v>
      </c>
      <c r="F127" s="85">
        <f t="shared" si="46"/>
        <v>2471.5570983932021</v>
      </c>
      <c r="G127" s="85">
        <f t="shared" si="46"/>
        <v>2471.5570983932021</v>
      </c>
      <c r="H127" s="85">
        <f t="shared" si="46"/>
        <v>2426.4016774220117</v>
      </c>
      <c r="I127" s="85">
        <f t="shared" si="46"/>
        <v>2089.4399826007048</v>
      </c>
      <c r="J127" s="85">
        <f t="shared" si="46"/>
        <v>898.81685437529484</v>
      </c>
      <c r="K127" s="85">
        <f t="shared" si="46"/>
        <v>0</v>
      </c>
      <c r="L127" s="85">
        <f t="shared" si="46"/>
        <v>0</v>
      </c>
      <c r="M127" s="85">
        <f t="shared" si="46"/>
        <v>0</v>
      </c>
      <c r="N127" s="85">
        <f t="shared" si="46"/>
        <v>0</v>
      </c>
      <c r="O127" s="85">
        <f t="shared" si="46"/>
        <v>0</v>
      </c>
      <c r="P127" s="85">
        <f t="shared" si="46"/>
        <v>0</v>
      </c>
      <c r="Q127" s="85">
        <f t="shared" si="46"/>
        <v>0</v>
      </c>
      <c r="R127" s="85">
        <f t="shared" si="46"/>
        <v>0</v>
      </c>
      <c r="S127" s="85">
        <f t="shared" si="46"/>
        <v>0</v>
      </c>
      <c r="T127" s="85">
        <f t="shared" si="46"/>
        <v>0</v>
      </c>
      <c r="U127" s="85">
        <f t="shared" si="46"/>
        <v>0</v>
      </c>
      <c r="V127" s="85">
        <f t="shared" si="46"/>
        <v>0</v>
      </c>
      <c r="W127" s="85">
        <f t="shared" si="46"/>
        <v>0</v>
      </c>
      <c r="X127" s="85">
        <f>X163</f>
        <v>0</v>
      </c>
      <c r="Y127" s="85">
        <f>Y163</f>
        <v>0</v>
      </c>
      <c r="Z127" s="85">
        <f>Z163</f>
        <v>0</v>
      </c>
      <c r="AA127" s="85">
        <f>AA163</f>
        <v>0</v>
      </c>
    </row>
    <row r="128" spans="1:27" ht="13.5" thickBot="1" x14ac:dyDescent="0.25">
      <c r="A128" s="71" t="s">
        <v>174</v>
      </c>
      <c r="D128" s="74">
        <f>D126-D127</f>
        <v>12829.329809577615</v>
      </c>
      <c r="E128" s="74">
        <f t="shared" ref="E128:W128" si="47">E126-E127</f>
        <v>10357.772711184414</v>
      </c>
      <c r="F128" s="74">
        <f t="shared" si="47"/>
        <v>7886.2156127912122</v>
      </c>
      <c r="G128" s="74">
        <f t="shared" si="47"/>
        <v>5414.6585143980101</v>
      </c>
      <c r="H128" s="74">
        <f t="shared" si="47"/>
        <v>2988.2568369759983</v>
      </c>
      <c r="I128" s="74">
        <f t="shared" si="47"/>
        <v>898.81685437529359</v>
      </c>
      <c r="J128" s="74">
        <f t="shared" si="47"/>
        <v>-1.2505552149377763E-12</v>
      </c>
      <c r="K128" s="74">
        <f t="shared" si="47"/>
        <v>-1.2505552149377763E-12</v>
      </c>
      <c r="L128" s="74">
        <f t="shared" si="47"/>
        <v>-1.2505552149377763E-12</v>
      </c>
      <c r="M128" s="74">
        <f t="shared" si="47"/>
        <v>-1.2505552149377763E-12</v>
      </c>
      <c r="N128" s="74">
        <f t="shared" si="47"/>
        <v>-1.2505552149377763E-12</v>
      </c>
      <c r="O128" s="74">
        <f t="shared" si="47"/>
        <v>-1.2505552149377763E-12</v>
      </c>
      <c r="P128" s="74">
        <f t="shared" si="47"/>
        <v>-1.2505552149377763E-12</v>
      </c>
      <c r="Q128" s="74">
        <f t="shared" si="47"/>
        <v>-1.2505552149377763E-12</v>
      </c>
      <c r="R128" s="74">
        <f t="shared" si="47"/>
        <v>-1.2505552149377763E-12</v>
      </c>
      <c r="S128" s="74">
        <f t="shared" si="47"/>
        <v>-1.2505552149377763E-12</v>
      </c>
      <c r="T128" s="74">
        <f t="shared" si="47"/>
        <v>-1.2505552149377763E-12</v>
      </c>
      <c r="U128" s="74">
        <f t="shared" si="47"/>
        <v>-1.2505552149377763E-12</v>
      </c>
      <c r="V128" s="74">
        <f t="shared" si="47"/>
        <v>-1.2505552149377763E-12</v>
      </c>
      <c r="W128" s="74">
        <f t="shared" si="47"/>
        <v>-1.2505552149377763E-12</v>
      </c>
      <c r="X128" s="74">
        <f>X126-X127</f>
        <v>-1.2505552149377763E-12</v>
      </c>
      <c r="Y128" s="74">
        <f>Y126-Y127</f>
        <v>-1.2505552149377763E-12</v>
      </c>
      <c r="Z128" s="74">
        <f>Z126-Z127</f>
        <v>-1.2505552149377763E-12</v>
      </c>
      <c r="AA128" s="74">
        <f>AA126-AA127</f>
        <v>-1.2505552149377763E-12</v>
      </c>
    </row>
    <row r="129" spans="1:27" s="99" customFormat="1" ht="13.5" outlineLevel="1" thickTop="1" x14ac:dyDescent="0.2">
      <c r="A129" s="543" t="s">
        <v>0</v>
      </c>
      <c r="B129" s="477"/>
      <c r="C129" s="544">
        <f>SUM(D129:E129)</f>
        <v>0</v>
      </c>
      <c r="D129" s="545">
        <f>IF(ABS(D126-SUM(D127:AA127))&lt;0.001,0,ABS(D126-SUM(D127:AA127)))</f>
        <v>0</v>
      </c>
      <c r="E129" s="545">
        <f>IF(ABS(D126-('Data 2006-08'!D88*'Data 2006-08'!D156*(1+'Data 2006-08'!C141)^2.5+'Data 2006-08'!E88*'Data 2006-08'!E156*(1+'Data 2006-08'!C141)^1.5+'Data 2006-08'!F88*(1+'Data 2006-08'!C141)^0.5)/10^3)&lt;0.001,0,ABS(D126-('Data 2006-08'!D88*'Data 2006-08'!D156*(1+'Data 2006-08'!C141)^2.5+'Data 2006-08'!E88*'Data 2006-08'!E156*(1+'Data 2006-08'!C141)^1.5+'Data 2006-08'!F88*(1+'Data 2006-08'!C141)^0.5)/10^3))</f>
        <v>0</v>
      </c>
      <c r="G129" s="58"/>
    </row>
    <row r="130" spans="1:27" outlineLevel="1" x14ac:dyDescent="0.2"/>
    <row r="131" spans="1:27" outlineLevel="1" x14ac:dyDescent="0.2">
      <c r="A131" s="344" t="str">
        <f>'Data 2009-15 (Real $2008)'!A$154</f>
        <v>Remotely read interval meters &amp; transformers</v>
      </c>
      <c r="B131" s="466" t="s">
        <v>327</v>
      </c>
      <c r="C131" s="307" t="s">
        <v>330</v>
      </c>
      <c r="D131" s="461">
        <f>D$4</f>
        <v>2009</v>
      </c>
      <c r="E131" s="461">
        <f t="shared" ref="E131:AA131" si="48">E$4</f>
        <v>2010</v>
      </c>
      <c r="F131" s="461">
        <f t="shared" si="48"/>
        <v>2011</v>
      </c>
      <c r="G131" s="461">
        <f t="shared" si="48"/>
        <v>2012</v>
      </c>
      <c r="H131" s="461">
        <f t="shared" si="48"/>
        <v>2013</v>
      </c>
      <c r="I131" s="461">
        <f t="shared" si="48"/>
        <v>2014</v>
      </c>
      <c r="J131" s="461">
        <f t="shared" si="48"/>
        <v>2015</v>
      </c>
      <c r="K131" s="461">
        <f t="shared" si="48"/>
        <v>2016</v>
      </c>
      <c r="L131" s="461">
        <f t="shared" si="48"/>
        <v>2017</v>
      </c>
      <c r="M131" s="461">
        <f t="shared" si="48"/>
        <v>2018</v>
      </c>
      <c r="N131" s="461">
        <f t="shared" si="48"/>
        <v>2019</v>
      </c>
      <c r="O131" s="461">
        <f t="shared" si="48"/>
        <v>2020</v>
      </c>
      <c r="P131" s="461">
        <f t="shared" si="48"/>
        <v>2021</v>
      </c>
      <c r="Q131" s="461">
        <f t="shared" si="48"/>
        <v>2022</v>
      </c>
      <c r="R131" s="461">
        <f t="shared" si="48"/>
        <v>2023</v>
      </c>
      <c r="S131" s="461">
        <f t="shared" si="48"/>
        <v>2024</v>
      </c>
      <c r="T131" s="461">
        <f t="shared" si="48"/>
        <v>2025</v>
      </c>
      <c r="U131" s="461">
        <f t="shared" si="48"/>
        <v>2026</v>
      </c>
      <c r="V131" s="461">
        <f t="shared" si="48"/>
        <v>2027</v>
      </c>
      <c r="W131" s="461">
        <f t="shared" si="48"/>
        <v>2028</v>
      </c>
      <c r="X131" s="461">
        <f t="shared" si="48"/>
        <v>2029</v>
      </c>
      <c r="Y131" s="461">
        <f t="shared" si="48"/>
        <v>2030</v>
      </c>
      <c r="Z131" s="461">
        <f t="shared" si="48"/>
        <v>2031</v>
      </c>
      <c r="AA131" s="461">
        <f t="shared" si="48"/>
        <v>2032</v>
      </c>
    </row>
    <row r="132" spans="1:27" outlineLevel="1" x14ac:dyDescent="0.2">
      <c r="A132" s="344" t="str">
        <f>$A$4</f>
        <v>($000 Real 2008)</v>
      </c>
      <c r="B132" s="467" t="s">
        <v>328</v>
      </c>
      <c r="C132" s="468" t="s">
        <v>329</v>
      </c>
      <c r="D132" s="453"/>
      <c r="E132" s="453"/>
      <c r="F132" s="453"/>
      <c r="G132" s="453"/>
      <c r="H132" s="453"/>
      <c r="I132" s="453"/>
      <c r="J132" s="453"/>
      <c r="K132" s="99"/>
      <c r="L132" s="99"/>
      <c r="M132" s="99"/>
      <c r="N132" s="99"/>
    </row>
    <row r="133" spans="1:27" outlineLevel="1" x14ac:dyDescent="0.2">
      <c r="A133" s="462">
        <v>2006</v>
      </c>
      <c r="B133" s="464">
        <f>'Data 2006-08'!D$84*'Data 2006-08'!D156/10^3*(1+'Data 2006-08'!C$141)^2.5</f>
        <v>0</v>
      </c>
      <c r="C133" s="463">
        <f>'Data 2009-15 (Real $2008)'!C$154-(D$131-A133-0.5)</f>
        <v>12.5</v>
      </c>
      <c r="D133" s="85">
        <f>IF(C133&lt;1,B133,B133/C133)</f>
        <v>0</v>
      </c>
      <c r="E133" s="85">
        <f>IF((SUM($D133:D133)+$B133/$C133)&gt;$B133,$B133-SUM($D133:D133),$B133/$C133)</f>
        <v>0</v>
      </c>
      <c r="F133" s="85">
        <f>IF((SUM($D133:E133)+$B133/$C133)&gt;$B133,$B133-SUM($D133:E133),$B133/$C133)</f>
        <v>0</v>
      </c>
      <c r="G133" s="85">
        <f>IF((SUM($D133:F133)+$B133/$C133)&gt;$B133,$B133-SUM($D133:F133),$B133/$C133)</f>
        <v>0</v>
      </c>
      <c r="H133" s="85">
        <f>IF((SUM($D133:G133)+$B133/$C133)&gt;$B133,$B133-SUM($D133:G133),$B133/$C133)</f>
        <v>0</v>
      </c>
      <c r="I133" s="85">
        <f>IF((SUM($D133:H133)+$B133/$C133)&gt;$B133,$B133-SUM($D133:H133),$B133/$C133)</f>
        <v>0</v>
      </c>
      <c r="J133" s="85">
        <f>IF((SUM($D133:I133)+$B133/$C133)&gt;$B133,$B133-SUM($D133:I133),$B133/$C133)</f>
        <v>0</v>
      </c>
      <c r="K133" s="85">
        <f>IF((SUM($D133:J133)+$B133/$C133)&gt;$B133,$B133-SUM($D133:J133),$B133/$C133)</f>
        <v>0</v>
      </c>
      <c r="L133" s="85">
        <f>IF((SUM($D133:K133)+$B133/$C133)&gt;$B133,$B133-SUM($D133:K133),$B133/$C133)</f>
        <v>0</v>
      </c>
      <c r="M133" s="85">
        <f>IF((SUM($D133:L133)+$B133/$C133)&gt;$B133,$B133-SUM($D133:L133),$B133/$C133)</f>
        <v>0</v>
      </c>
      <c r="N133" s="85">
        <f>IF((SUM($D133:M133)+$B133/$C133)&gt;$B133,$B133-SUM($D133:M133),$B133/$C133)</f>
        <v>0</v>
      </c>
      <c r="O133" s="85">
        <f>IF((SUM($D133:N133)+$B133/$C133)&gt;$B133,$B133-SUM($D133:N133),$B133/$C133)</f>
        <v>0</v>
      </c>
      <c r="P133" s="85">
        <f>IF((SUM($D133:O133)+$B133/$C133)&gt;$B133,$B133-SUM($D133:O133),$B133/$C133)</f>
        <v>0</v>
      </c>
      <c r="Q133" s="85">
        <f>IF((SUM($D133:P133)+$B133/$C133)&gt;$B133,$B133-SUM($D133:P133),$B133/$C133)</f>
        <v>0</v>
      </c>
      <c r="R133" s="85">
        <f>IF((SUM($D133:Q133)+$B133/$C133)&gt;$B133,$B133-SUM($D133:Q133),$B133/$C133)</f>
        <v>0</v>
      </c>
      <c r="S133" s="85">
        <f>IF((SUM($D133:R133)+$B133/$C133)&gt;$B133,$B133-SUM($D133:R133),$B133/$C133)</f>
        <v>0</v>
      </c>
      <c r="T133" s="85">
        <f>IF((SUM($D133:S133)+$B133/$C133)&gt;$B133,$B133-SUM($D133:S133),$B133/$C133)</f>
        <v>0</v>
      </c>
      <c r="U133" s="85">
        <f>IF((SUM($D133:T133)+$B133/$C133)&gt;$B133,$B133-SUM($D133:T133),$B133/$C133)</f>
        <v>0</v>
      </c>
      <c r="V133" s="85">
        <f>IF((SUM($D133:U133)+$B133/$C133)&gt;$B133,$B133-SUM($D133:U133),$B133/$C133)</f>
        <v>0</v>
      </c>
      <c r="W133" s="85">
        <f>IF((SUM($D133:V133)+$B133/$C133)&gt;$B133,$B133-SUM($D133:V133),$B133/$C133)</f>
        <v>0</v>
      </c>
      <c r="X133" s="85">
        <f>IF((SUM($D133:W133)+$B133/$C133)&gt;$B133,$B133-SUM($D133:W133),$B133/$C133)</f>
        <v>0</v>
      </c>
      <c r="Y133" s="85">
        <f>IF((SUM($D133:X133)+$B133/$C133)&gt;$B133,$B133-SUM($D133:X133),$B133/$C133)</f>
        <v>0</v>
      </c>
      <c r="Z133" s="85">
        <f>IF((SUM($D133:Y133)+$B133/$C133)&gt;$B133,$B133-SUM($D133:Y133),$B133/$C133)</f>
        <v>0</v>
      </c>
      <c r="AA133" s="85">
        <f>IF((SUM($D133:Z133)+$B133/$C133)&gt;$B133,$B133-SUM($D133:Z133),$B133/$C133)</f>
        <v>0</v>
      </c>
    </row>
    <row r="134" spans="1:27" outlineLevel="1" x14ac:dyDescent="0.2">
      <c r="A134" s="462">
        <v>2007</v>
      </c>
      <c r="B134" s="464">
        <f>'Data 2006-08'!E$84*'Data 2006-08'!E156/10^3*(1+'Data 2006-08'!C$141)^1.5</f>
        <v>0</v>
      </c>
      <c r="C134" s="463">
        <f>'Data 2009-15 (Real $2008)'!C$154-(D$131-A134-0.5)</f>
        <v>13.5</v>
      </c>
      <c r="D134" s="85">
        <f>IF(C134&lt;1,B134,B134/C134)</f>
        <v>0</v>
      </c>
      <c r="E134" s="85">
        <f>IF((SUM($D134:D134)+$B134/$C134)&gt;$B134,$B134-SUM($D134:D134),$B134/$C134)</f>
        <v>0</v>
      </c>
      <c r="F134" s="85">
        <f>IF((SUM($D134:E134)+$B134/$C134)&gt;$B134,$B134-SUM($D134:E134),$B134/$C134)</f>
        <v>0</v>
      </c>
      <c r="G134" s="85">
        <f>IF((SUM($D134:F134)+$B134/$C134)&gt;$B134,$B134-SUM($D134:F134),$B134/$C134)</f>
        <v>0</v>
      </c>
      <c r="H134" s="85">
        <f>IF((SUM($D134:G134)+$B134/$C134)&gt;$B134,$B134-SUM($D134:G134),$B134/$C134)</f>
        <v>0</v>
      </c>
      <c r="I134" s="85">
        <f>IF((SUM($D134:H134)+$B134/$C134)&gt;$B134,$B134-SUM($D134:H134),$B134/$C134)</f>
        <v>0</v>
      </c>
      <c r="J134" s="85">
        <f>IF((SUM($D134:I134)+$B134/$C134)&gt;$B134,$B134-SUM($D134:I134),$B134/$C134)</f>
        <v>0</v>
      </c>
      <c r="K134" s="85">
        <f>IF((SUM($D134:J134)+$B134/$C134)&gt;$B134,$B134-SUM($D134:J134),$B134/$C134)</f>
        <v>0</v>
      </c>
      <c r="L134" s="85">
        <f>IF((SUM($D134:K134)+$B134/$C134)&gt;$B134,$B134-SUM($D134:K134),$B134/$C134)</f>
        <v>0</v>
      </c>
      <c r="M134" s="85">
        <f>IF((SUM($D134:L134)+$B134/$C134)&gt;$B134,$B134-SUM($D134:L134),$B134/$C134)</f>
        <v>0</v>
      </c>
      <c r="N134" s="85">
        <f>IF((SUM($D134:M134)+$B134/$C134)&gt;$B134,$B134-SUM($D134:M134),$B134/$C134)</f>
        <v>0</v>
      </c>
      <c r="O134" s="85">
        <f>IF((SUM($D134:N134)+$B134/$C134)&gt;$B134,$B134-SUM($D134:N134),$B134/$C134)</f>
        <v>0</v>
      </c>
      <c r="P134" s="85">
        <f>IF((SUM($D134:O134)+$B134/$C134)&gt;$B134,$B134-SUM($D134:O134),$B134/$C134)</f>
        <v>0</v>
      </c>
      <c r="Q134" s="85">
        <f>IF((SUM($D134:P134)+$B134/$C134)&gt;$B134,$B134-SUM($D134:P134),$B134/$C134)</f>
        <v>0</v>
      </c>
      <c r="R134" s="85">
        <f>IF((SUM($D134:Q134)+$B134/$C134)&gt;$B134,$B134-SUM($D134:Q134),$B134/$C134)</f>
        <v>0</v>
      </c>
      <c r="S134" s="85">
        <f>IF((SUM($D134:R134)+$B134/$C134)&gt;$B134,$B134-SUM($D134:R134),$B134/$C134)</f>
        <v>0</v>
      </c>
      <c r="T134" s="85">
        <f>IF((SUM($D134:S134)+$B134/$C134)&gt;$B134,$B134-SUM($D134:S134),$B134/$C134)</f>
        <v>0</v>
      </c>
      <c r="U134" s="85">
        <f>IF((SUM($D134:T134)+$B134/$C134)&gt;$B134,$B134-SUM($D134:T134),$B134/$C134)</f>
        <v>0</v>
      </c>
      <c r="V134" s="85">
        <f>IF((SUM($D134:U134)+$B134/$C134)&gt;$B134,$B134-SUM($D134:U134),$B134/$C134)</f>
        <v>0</v>
      </c>
      <c r="W134" s="85">
        <f>IF((SUM($D134:V134)+$B134/$C134)&gt;$B134,$B134-SUM($D134:V134),$B134/$C134)</f>
        <v>0</v>
      </c>
      <c r="X134" s="85">
        <f>IF((SUM($D134:W134)+$B134/$C134)&gt;$B134,$B134-SUM($D134:W134),$B134/$C134)</f>
        <v>0</v>
      </c>
      <c r="Y134" s="85">
        <f>IF((SUM($D134:X134)+$B134/$C134)&gt;$B134,$B134-SUM($D134:X134),$B134/$C134)</f>
        <v>0</v>
      </c>
      <c r="Z134" s="85">
        <f>IF((SUM($D134:Y134)+$B134/$C134)&gt;$B134,$B134-SUM($D134:Y134),$B134/$C134)</f>
        <v>0</v>
      </c>
      <c r="AA134" s="85">
        <f>IF((SUM($D134:Z134)+$B134/$C134)&gt;$B134,$B134-SUM($D134:Z134),$B134/$C134)</f>
        <v>0</v>
      </c>
    </row>
    <row r="135" spans="1:27" outlineLevel="1" x14ac:dyDescent="0.2">
      <c r="A135" s="462">
        <v>2008</v>
      </c>
      <c r="B135" s="464">
        <f>'Data 2006-08'!F$84/10^3*(1+'Data 2006-08'!C$141)^0.5</f>
        <v>0</v>
      </c>
      <c r="C135" s="463">
        <f>'Data 2009-15 (Real $2008)'!C$154-(D$131-A135-0.5)</f>
        <v>14.5</v>
      </c>
      <c r="D135" s="85">
        <f>IF(C135&lt;1,B135,B135/C135)</f>
        <v>0</v>
      </c>
      <c r="E135" s="85">
        <f>IF((SUM($D135:D135)+$B135/$C135)&gt;$B135,$B135-SUM($D135:D135),$B135/$C135)</f>
        <v>0</v>
      </c>
      <c r="F135" s="85">
        <f>IF((SUM($D135:E135)+$B135/$C135)&gt;$B135,$B135-SUM($D135:E135),$B135/$C135)</f>
        <v>0</v>
      </c>
      <c r="G135" s="85">
        <f>IF((SUM($D135:F135)+$B135/$C135)&gt;$B135,$B135-SUM($D135:F135),$B135/$C135)</f>
        <v>0</v>
      </c>
      <c r="H135" s="85">
        <f>IF((SUM($D135:G135)+$B135/$C135)&gt;$B135,$B135-SUM($D135:G135),$B135/$C135)</f>
        <v>0</v>
      </c>
      <c r="I135" s="85">
        <f>IF((SUM($D135:H135)+$B135/$C135)&gt;$B135,$B135-SUM($D135:H135),$B135/$C135)</f>
        <v>0</v>
      </c>
      <c r="J135" s="85">
        <f>IF((SUM($D135:I135)+$B135/$C135)&gt;$B135,$B135-SUM($D135:I135),$B135/$C135)</f>
        <v>0</v>
      </c>
      <c r="K135" s="85">
        <f>IF((SUM($D135:J135)+$B135/$C135)&gt;$B135,$B135-SUM($D135:J135),$B135/$C135)</f>
        <v>0</v>
      </c>
      <c r="L135" s="85">
        <f>IF((SUM($D135:K135)+$B135/$C135)&gt;$B135,$B135-SUM($D135:K135),$B135/$C135)</f>
        <v>0</v>
      </c>
      <c r="M135" s="85">
        <f>IF((SUM($D135:L135)+$B135/$C135)&gt;$B135,$B135-SUM($D135:L135),$B135/$C135)</f>
        <v>0</v>
      </c>
      <c r="N135" s="85">
        <f>IF((SUM($D135:M135)+$B135/$C135)&gt;$B135,$B135-SUM($D135:M135),$B135/$C135)</f>
        <v>0</v>
      </c>
      <c r="O135" s="85">
        <f>IF((SUM($D135:N135)+$B135/$C135)&gt;$B135,$B135-SUM($D135:N135),$B135/$C135)</f>
        <v>0</v>
      </c>
      <c r="P135" s="85">
        <f>IF((SUM($D135:O135)+$B135/$C135)&gt;$B135,$B135-SUM($D135:O135),$B135/$C135)</f>
        <v>0</v>
      </c>
      <c r="Q135" s="85">
        <f>IF((SUM($D135:P135)+$B135/$C135)&gt;$B135,$B135-SUM($D135:P135),$B135/$C135)</f>
        <v>0</v>
      </c>
      <c r="R135" s="85">
        <f>IF((SUM($D135:Q135)+$B135/$C135)&gt;$B135,$B135-SUM($D135:Q135),$B135/$C135)</f>
        <v>0</v>
      </c>
      <c r="S135" s="85">
        <f>IF((SUM($D135:R135)+$B135/$C135)&gt;$B135,$B135-SUM($D135:R135),$B135/$C135)</f>
        <v>0</v>
      </c>
      <c r="T135" s="85">
        <f>IF((SUM($D135:S135)+$B135/$C135)&gt;$B135,$B135-SUM($D135:S135),$B135/$C135)</f>
        <v>0</v>
      </c>
      <c r="U135" s="85">
        <f>IF((SUM($D135:T135)+$B135/$C135)&gt;$B135,$B135-SUM($D135:T135),$B135/$C135)</f>
        <v>0</v>
      </c>
      <c r="V135" s="85">
        <f>IF((SUM($D135:U135)+$B135/$C135)&gt;$B135,$B135-SUM($D135:U135),$B135/$C135)</f>
        <v>0</v>
      </c>
      <c r="W135" s="85">
        <f>IF((SUM($D135:V135)+$B135/$C135)&gt;$B135,$B135-SUM($D135:V135),$B135/$C135)</f>
        <v>0</v>
      </c>
      <c r="X135" s="85">
        <f>IF((SUM($D135:W135)+$B135/$C135)&gt;$B135,$B135-SUM($D135:W135),$B135/$C135)</f>
        <v>0</v>
      </c>
      <c r="Y135" s="85">
        <f>IF((SUM($D135:X135)+$B135/$C135)&gt;$B135,$B135-SUM($D135:X135),$B135/$C135)</f>
        <v>0</v>
      </c>
      <c r="Z135" s="85">
        <f>IF((SUM($D135:Y135)+$B135/$C135)&gt;$B135,$B135-SUM($D135:Y135),$B135/$C135)</f>
        <v>0</v>
      </c>
      <c r="AA135" s="85">
        <f>IF((SUM($D135:Z135)+$B135/$C135)&gt;$B135,$B135-SUM($D135:Z135),$B135/$C135)</f>
        <v>0</v>
      </c>
    </row>
    <row r="136" spans="1:27" outlineLevel="1" x14ac:dyDescent="0.2">
      <c r="A136" s="354"/>
      <c r="B136" s="465">
        <f>SUM(B133:B135)</f>
        <v>0</v>
      </c>
      <c r="D136" s="107">
        <f>SUM(D133:D135)</f>
        <v>0</v>
      </c>
      <c r="E136" s="107">
        <f t="shared" ref="E136:W136" si="49">SUM(E133:E135)</f>
        <v>0</v>
      </c>
      <c r="F136" s="107">
        <f t="shared" si="49"/>
        <v>0</v>
      </c>
      <c r="G136" s="107">
        <f t="shared" si="49"/>
        <v>0</v>
      </c>
      <c r="H136" s="107">
        <f t="shared" si="49"/>
        <v>0</v>
      </c>
      <c r="I136" s="107">
        <f t="shared" si="49"/>
        <v>0</v>
      </c>
      <c r="J136" s="107">
        <f t="shared" si="49"/>
        <v>0</v>
      </c>
      <c r="K136" s="107">
        <f t="shared" si="49"/>
        <v>0</v>
      </c>
      <c r="L136" s="107">
        <f t="shared" si="49"/>
        <v>0</v>
      </c>
      <c r="M136" s="107">
        <f t="shared" si="49"/>
        <v>0</v>
      </c>
      <c r="N136" s="107">
        <f t="shared" si="49"/>
        <v>0</v>
      </c>
      <c r="O136" s="107">
        <f t="shared" si="49"/>
        <v>0</v>
      </c>
      <c r="P136" s="107">
        <f t="shared" si="49"/>
        <v>0</v>
      </c>
      <c r="Q136" s="107">
        <f t="shared" si="49"/>
        <v>0</v>
      </c>
      <c r="R136" s="107">
        <f t="shared" si="49"/>
        <v>0</v>
      </c>
      <c r="S136" s="107">
        <f t="shared" si="49"/>
        <v>0</v>
      </c>
      <c r="T136" s="107">
        <f t="shared" si="49"/>
        <v>0</v>
      </c>
      <c r="U136" s="107">
        <f t="shared" si="49"/>
        <v>0</v>
      </c>
      <c r="V136" s="107">
        <f t="shared" si="49"/>
        <v>0</v>
      </c>
      <c r="W136" s="107">
        <f t="shared" si="49"/>
        <v>0</v>
      </c>
      <c r="X136" s="107">
        <f>SUM(X133:X135)</f>
        <v>0</v>
      </c>
      <c r="Y136" s="107">
        <f>SUM(Y133:Y135)</f>
        <v>0</v>
      </c>
      <c r="Z136" s="107">
        <f>SUM(Z133:Z135)</f>
        <v>0</v>
      </c>
      <c r="AA136" s="107">
        <f>SUM(AA133:AA135)</f>
        <v>0</v>
      </c>
    </row>
    <row r="137" spans="1:27" outlineLevel="1" x14ac:dyDescent="0.2"/>
    <row r="138" spans="1:27" outlineLevel="1" x14ac:dyDescent="0.2"/>
    <row r="139" spans="1:27" outlineLevel="1" x14ac:dyDescent="0.2">
      <c r="A139" s="344" t="s">
        <v>284</v>
      </c>
      <c r="B139" s="466" t="s">
        <v>327</v>
      </c>
      <c r="C139" s="307" t="s">
        <v>330</v>
      </c>
      <c r="D139" s="461">
        <f>D$4</f>
        <v>2009</v>
      </c>
      <c r="E139" s="461">
        <f t="shared" ref="E139:AA139" si="50">E$4</f>
        <v>2010</v>
      </c>
      <c r="F139" s="461">
        <f t="shared" si="50"/>
        <v>2011</v>
      </c>
      <c r="G139" s="461">
        <f t="shared" si="50"/>
        <v>2012</v>
      </c>
      <c r="H139" s="461">
        <f t="shared" si="50"/>
        <v>2013</v>
      </c>
      <c r="I139" s="461">
        <f t="shared" si="50"/>
        <v>2014</v>
      </c>
      <c r="J139" s="461">
        <f t="shared" si="50"/>
        <v>2015</v>
      </c>
      <c r="K139" s="461">
        <f t="shared" si="50"/>
        <v>2016</v>
      </c>
      <c r="L139" s="461">
        <f t="shared" si="50"/>
        <v>2017</v>
      </c>
      <c r="M139" s="461">
        <f t="shared" si="50"/>
        <v>2018</v>
      </c>
      <c r="N139" s="461">
        <f t="shared" si="50"/>
        <v>2019</v>
      </c>
      <c r="O139" s="461">
        <f t="shared" si="50"/>
        <v>2020</v>
      </c>
      <c r="P139" s="461">
        <f t="shared" si="50"/>
        <v>2021</v>
      </c>
      <c r="Q139" s="461">
        <f t="shared" si="50"/>
        <v>2022</v>
      </c>
      <c r="R139" s="461">
        <f t="shared" si="50"/>
        <v>2023</v>
      </c>
      <c r="S139" s="461">
        <f t="shared" si="50"/>
        <v>2024</v>
      </c>
      <c r="T139" s="461">
        <f t="shared" si="50"/>
        <v>2025</v>
      </c>
      <c r="U139" s="461">
        <f t="shared" si="50"/>
        <v>2026</v>
      </c>
      <c r="V139" s="461">
        <f t="shared" si="50"/>
        <v>2027</v>
      </c>
      <c r="W139" s="461">
        <f t="shared" si="50"/>
        <v>2028</v>
      </c>
      <c r="X139" s="461">
        <f t="shared" si="50"/>
        <v>2029</v>
      </c>
      <c r="Y139" s="461">
        <f t="shared" si="50"/>
        <v>2030</v>
      </c>
      <c r="Z139" s="461">
        <f t="shared" si="50"/>
        <v>2031</v>
      </c>
      <c r="AA139" s="461">
        <f t="shared" si="50"/>
        <v>2032</v>
      </c>
    </row>
    <row r="140" spans="1:27" outlineLevel="1" x14ac:dyDescent="0.2">
      <c r="A140" s="344" t="str">
        <f>$A$4</f>
        <v>($000 Real 2008)</v>
      </c>
      <c r="B140" s="467" t="s">
        <v>328</v>
      </c>
      <c r="C140" s="468" t="s">
        <v>329</v>
      </c>
      <c r="D140" s="453"/>
      <c r="E140" s="453"/>
      <c r="F140" s="453"/>
      <c r="G140" s="453"/>
      <c r="H140" s="453"/>
      <c r="I140" s="453"/>
      <c r="J140" s="453"/>
    </row>
    <row r="141" spans="1:27" outlineLevel="1" x14ac:dyDescent="0.2">
      <c r="A141" s="462">
        <v>2006</v>
      </c>
      <c r="B141" s="464">
        <f>'Data 2006-08'!D$85*'Data 2006-08'!D156/10^3*(1+'Data 2006-08'!C$141)^2.5</f>
        <v>406.3987887407161</v>
      </c>
      <c r="C141" s="463">
        <f>'Data 2009-15 (Real $2008)'!C$155-(D$139-A141-0.5)</f>
        <v>4.5</v>
      </c>
      <c r="D141" s="85">
        <f>IF(C141&lt;1,B141,B141/C141)</f>
        <v>90.310841942381359</v>
      </c>
      <c r="E141" s="85">
        <f>IF((SUM($D141:D141)+$B141/$C141)&gt;$B141,$B141-SUM($D141:D141),$B141/$C141)</f>
        <v>90.310841942381359</v>
      </c>
      <c r="F141" s="85">
        <f>IF((SUM($D141:E141)+$B141/$C141)&gt;$B141,$B141-SUM($D141:E141),$B141/$C141)</f>
        <v>90.310841942381359</v>
      </c>
      <c r="G141" s="85">
        <f>IF((SUM($D141:F141)+$B141/$C141)&gt;$B141,$B141-SUM($D141:F141),$B141/$C141)</f>
        <v>90.310841942381359</v>
      </c>
      <c r="H141" s="85">
        <f>IF((SUM($D141:G141)+$B141/$C141)&gt;$B141,$B141-SUM($D141:G141),$B141/$C141)</f>
        <v>45.155420971190665</v>
      </c>
      <c r="I141" s="85">
        <f>IF((SUM($D141:H141)+$B141/$C141)&gt;$B141,$B141-SUM($D141:H141),$B141/$C141)</f>
        <v>0</v>
      </c>
      <c r="J141" s="85">
        <f>IF((SUM($D141:I141)+$B141/$C141)&gt;$B141,$B141-SUM($D141:I141),$B141/$C141)</f>
        <v>0</v>
      </c>
      <c r="K141" s="85">
        <f>IF((SUM($D141:J141)+$B141/$C141)&gt;$B141,$B141-SUM($D141:J141),$B141/$C141)</f>
        <v>0</v>
      </c>
      <c r="L141" s="85">
        <f>IF((SUM($D141:K141)+$B141/$C141)&gt;$B141,$B141-SUM($D141:K141),$B141/$C141)</f>
        <v>0</v>
      </c>
      <c r="M141" s="85">
        <f>IF((SUM($D141:L141)+$B141/$C141)&gt;$B141,$B141-SUM($D141:L141),$B141/$C141)</f>
        <v>0</v>
      </c>
      <c r="N141" s="85">
        <f>IF((SUM($D141:M141)+$B141/$C141)&gt;$B141,$B141-SUM($D141:M141),$B141/$C141)</f>
        <v>0</v>
      </c>
      <c r="O141" s="85">
        <f>IF((SUM($D141:N141)+$B141/$C141)&gt;$B141,$B141-SUM($D141:N141),$B141/$C141)</f>
        <v>0</v>
      </c>
      <c r="P141" s="85">
        <f>IF((SUM($D141:O141)+$B141/$C141)&gt;$B141,$B141-SUM($D141:O141),$B141/$C141)</f>
        <v>0</v>
      </c>
      <c r="Q141" s="85">
        <f>IF((SUM($D141:P141)+$B141/$C141)&gt;$B141,$B141-SUM($D141:P141),$B141/$C141)</f>
        <v>0</v>
      </c>
      <c r="R141" s="85">
        <f>IF((SUM($D141:Q141)+$B141/$C141)&gt;$B141,$B141-SUM($D141:Q141),$B141/$C141)</f>
        <v>0</v>
      </c>
      <c r="S141" s="85">
        <f>IF((SUM($D141:R141)+$B141/$C141)&gt;$B141,$B141-SUM($D141:R141),$B141/$C141)</f>
        <v>0</v>
      </c>
      <c r="T141" s="85">
        <f>IF((SUM($D141:S141)+$B141/$C141)&gt;$B141,$B141-SUM($D141:S141),$B141/$C141)</f>
        <v>0</v>
      </c>
      <c r="U141" s="85">
        <f>IF((SUM($D141:T141)+$B141/$C141)&gt;$B141,$B141-SUM($D141:T141),$B141/$C141)</f>
        <v>0</v>
      </c>
      <c r="V141" s="85">
        <f>IF((SUM($D141:U141)+$B141/$C141)&gt;$B141,$B141-SUM($D141:U141),$B141/$C141)</f>
        <v>0</v>
      </c>
      <c r="W141" s="85">
        <f>IF((SUM($D141:V141)+$B141/$C141)&gt;$B141,$B141-SUM($D141:V141),$B141/$C141)</f>
        <v>0</v>
      </c>
      <c r="X141" s="85">
        <f>IF((SUM($D141:W141)+$B141/$C141)&gt;$B141,$B141-SUM($D141:W141),$B141/$C141)</f>
        <v>0</v>
      </c>
      <c r="Y141" s="85">
        <f>IF((SUM($D141:X141)+$B141/$C141)&gt;$B141,$B141-SUM($D141:X141),$B141/$C141)</f>
        <v>0</v>
      </c>
      <c r="Z141" s="85">
        <f>IF((SUM($D141:Y141)+$B141/$C141)&gt;$B141,$B141-SUM($D141:Y141),$B141/$C141)</f>
        <v>0</v>
      </c>
      <c r="AA141" s="85">
        <f>IF((SUM($D141:Z141)+$B141/$C141)&gt;$B141,$B141-SUM($D141:Z141),$B141/$C141)</f>
        <v>0</v>
      </c>
    </row>
    <row r="142" spans="1:27" outlineLevel="1" x14ac:dyDescent="0.2">
      <c r="A142" s="462">
        <v>2007</v>
      </c>
      <c r="B142" s="464">
        <f>'Data 2006-08'!E$85*'Data 2006-08'!E156/10^3*(1+'Data 2006-08'!C$141)^1.5</f>
        <v>3127.9059438894215</v>
      </c>
      <c r="C142" s="463">
        <f>'Data 2009-15 (Real $2008)'!C$155-(D$139-A142-0.5)</f>
        <v>5.5</v>
      </c>
      <c r="D142" s="85">
        <f>IF(C142&lt;1,B142,B142/C142)</f>
        <v>568.71017161625844</v>
      </c>
      <c r="E142" s="85">
        <f>IF((SUM($D142:D142)+$B142/$C142)&gt;$B142,$B142-SUM($D142:D142),$B142/$C142)</f>
        <v>568.71017161625844</v>
      </c>
      <c r="F142" s="85">
        <f>IF((SUM($D142:E142)+$B142/$C142)&gt;$B142,$B142-SUM($D142:E142),$B142/$C142)</f>
        <v>568.71017161625844</v>
      </c>
      <c r="G142" s="85">
        <f>IF((SUM($D142:F142)+$B142/$C142)&gt;$B142,$B142-SUM($D142:F142),$B142/$C142)</f>
        <v>568.71017161625844</v>
      </c>
      <c r="H142" s="85">
        <f>IF((SUM($D142:G142)+$B142/$C142)&gt;$B142,$B142-SUM($D142:G142),$B142/$C142)</f>
        <v>568.71017161625844</v>
      </c>
      <c r="I142" s="85">
        <f>IF((SUM($D142:H142)+$B142/$C142)&gt;$B142,$B142-SUM($D142:H142),$B142/$C142)</f>
        <v>284.35508580812939</v>
      </c>
      <c r="J142" s="85">
        <f>IF((SUM($D142:I142)+$B142/$C142)&gt;$B142,$B142-SUM($D142:I142),$B142/$C142)</f>
        <v>0</v>
      </c>
      <c r="K142" s="85">
        <f>IF((SUM($D142:J142)+$B142/$C142)&gt;$B142,$B142-SUM($D142:J142),$B142/$C142)</f>
        <v>0</v>
      </c>
      <c r="L142" s="85">
        <f>IF((SUM($D142:K142)+$B142/$C142)&gt;$B142,$B142-SUM($D142:K142),$B142/$C142)</f>
        <v>0</v>
      </c>
      <c r="M142" s="85">
        <f>IF((SUM($D142:L142)+$B142/$C142)&gt;$B142,$B142-SUM($D142:L142),$B142/$C142)</f>
        <v>0</v>
      </c>
      <c r="N142" s="85">
        <f>IF((SUM($D142:M142)+$B142/$C142)&gt;$B142,$B142-SUM($D142:M142),$B142/$C142)</f>
        <v>0</v>
      </c>
      <c r="O142" s="85">
        <f>IF((SUM($D142:N142)+$B142/$C142)&gt;$B142,$B142-SUM($D142:N142),$B142/$C142)</f>
        <v>0</v>
      </c>
      <c r="P142" s="85">
        <f>IF((SUM($D142:O142)+$B142/$C142)&gt;$B142,$B142-SUM($D142:O142),$B142/$C142)</f>
        <v>0</v>
      </c>
      <c r="Q142" s="85">
        <f>IF((SUM($D142:P142)+$B142/$C142)&gt;$B142,$B142-SUM($D142:P142),$B142/$C142)</f>
        <v>0</v>
      </c>
      <c r="R142" s="85">
        <f>IF((SUM($D142:Q142)+$B142/$C142)&gt;$B142,$B142-SUM($D142:Q142),$B142/$C142)</f>
        <v>0</v>
      </c>
      <c r="S142" s="85">
        <f>IF((SUM($D142:R142)+$B142/$C142)&gt;$B142,$B142-SUM($D142:R142),$B142/$C142)</f>
        <v>0</v>
      </c>
      <c r="T142" s="85">
        <f>IF((SUM($D142:S142)+$B142/$C142)&gt;$B142,$B142-SUM($D142:S142),$B142/$C142)</f>
        <v>0</v>
      </c>
      <c r="U142" s="85">
        <f>IF((SUM($D142:T142)+$B142/$C142)&gt;$B142,$B142-SUM($D142:T142),$B142/$C142)</f>
        <v>0</v>
      </c>
      <c r="V142" s="85">
        <f>IF((SUM($D142:U142)+$B142/$C142)&gt;$B142,$B142-SUM($D142:U142),$B142/$C142)</f>
        <v>0</v>
      </c>
      <c r="W142" s="85">
        <f>IF((SUM($D142:V142)+$B142/$C142)&gt;$B142,$B142-SUM($D142:V142),$B142/$C142)</f>
        <v>0</v>
      </c>
      <c r="X142" s="85">
        <f>IF((SUM($D142:W142)+$B142/$C142)&gt;$B142,$B142-SUM($D142:W142),$B142/$C142)</f>
        <v>0</v>
      </c>
      <c r="Y142" s="85">
        <f>IF((SUM($D142:X142)+$B142/$C142)&gt;$B142,$B142-SUM($D142:X142),$B142/$C142)</f>
        <v>0</v>
      </c>
      <c r="Z142" s="85">
        <f>IF((SUM($D142:Y142)+$B142/$C142)&gt;$B142,$B142-SUM($D142:Y142),$B142/$C142)</f>
        <v>0</v>
      </c>
      <c r="AA142" s="85">
        <f>IF((SUM($D142:Z142)+$B142/$C142)&gt;$B142,$B142-SUM($D142:Z142),$B142/$C142)</f>
        <v>0</v>
      </c>
    </row>
    <row r="143" spans="1:27" outlineLevel="1" x14ac:dyDescent="0.2">
      <c r="A143" s="462">
        <v>2008</v>
      </c>
      <c r="B143" s="464">
        <f>'Data 2006-08'!F$85/10^3*(1+'Data 2006-08'!C$141)^0.5</f>
        <v>11127.726832937858</v>
      </c>
      <c r="C143" s="463">
        <f>'Data 2009-15 (Real $2008)'!C$155-(D$139-A143-0.5)</f>
        <v>6.5</v>
      </c>
      <c r="D143" s="85">
        <f>IF(C143&lt;1,B143,B143/C143)</f>
        <v>1711.9579742981321</v>
      </c>
      <c r="E143" s="85">
        <f>IF((SUM($D143:D143)+$B143/$C143)&gt;$B143,$B143-SUM($D143:D143),$B143/$C143)</f>
        <v>1711.9579742981321</v>
      </c>
      <c r="F143" s="85">
        <f>IF((SUM($D143:E143)+$B143/$C143)&gt;$B143,$B143-SUM($D143:E143),$B143/$C143)</f>
        <v>1711.9579742981321</v>
      </c>
      <c r="G143" s="85">
        <f>IF((SUM($D143:F143)+$B143/$C143)&gt;$B143,$B143-SUM($D143:F143),$B143/$C143)</f>
        <v>1711.9579742981321</v>
      </c>
      <c r="H143" s="85">
        <f>IF((SUM($D143:G143)+$B143/$C143)&gt;$B143,$B143-SUM($D143:G143),$B143/$C143)</f>
        <v>1711.9579742981321</v>
      </c>
      <c r="I143" s="85">
        <f>IF((SUM($D143:H143)+$B143/$C143)&gt;$B143,$B143-SUM($D143:H143),$B143/$C143)</f>
        <v>1711.9579742981321</v>
      </c>
      <c r="J143" s="85">
        <f>IF((SUM($D143:I143)+$B143/$C143)&gt;$B143,$B143-SUM($D143:I143),$B143/$C143)</f>
        <v>855.9789871490666</v>
      </c>
      <c r="K143" s="85">
        <f>IF((SUM($D143:J143)+$B143/$C143)&gt;$B143,$B143-SUM($D143:J143),$B143/$C143)</f>
        <v>0</v>
      </c>
      <c r="L143" s="85">
        <f>IF((SUM($D143:K143)+$B143/$C143)&gt;$B143,$B143-SUM($D143:K143),$B143/$C143)</f>
        <v>0</v>
      </c>
      <c r="M143" s="85">
        <f>IF((SUM($D143:L143)+$B143/$C143)&gt;$B143,$B143-SUM($D143:L143),$B143/$C143)</f>
        <v>0</v>
      </c>
      <c r="N143" s="85">
        <f>IF((SUM($D143:M143)+$B143/$C143)&gt;$B143,$B143-SUM($D143:M143),$B143/$C143)</f>
        <v>0</v>
      </c>
      <c r="O143" s="85">
        <f>IF((SUM($D143:N143)+$B143/$C143)&gt;$B143,$B143-SUM($D143:N143),$B143/$C143)</f>
        <v>0</v>
      </c>
      <c r="P143" s="85">
        <f>IF((SUM($D143:O143)+$B143/$C143)&gt;$B143,$B143-SUM($D143:O143),$B143/$C143)</f>
        <v>0</v>
      </c>
      <c r="Q143" s="85">
        <f>IF((SUM($D143:P143)+$B143/$C143)&gt;$B143,$B143-SUM($D143:P143),$B143/$C143)</f>
        <v>0</v>
      </c>
      <c r="R143" s="85">
        <f>IF((SUM($D143:Q143)+$B143/$C143)&gt;$B143,$B143-SUM($D143:Q143),$B143/$C143)</f>
        <v>0</v>
      </c>
      <c r="S143" s="85">
        <f>IF((SUM($D143:R143)+$B143/$C143)&gt;$B143,$B143-SUM($D143:R143),$B143/$C143)</f>
        <v>0</v>
      </c>
      <c r="T143" s="85">
        <f>IF((SUM($D143:S143)+$B143/$C143)&gt;$B143,$B143-SUM($D143:S143),$B143/$C143)</f>
        <v>0</v>
      </c>
      <c r="U143" s="85">
        <f>IF((SUM($D143:T143)+$B143/$C143)&gt;$B143,$B143-SUM($D143:T143),$B143/$C143)</f>
        <v>0</v>
      </c>
      <c r="V143" s="85">
        <f>IF((SUM($D143:U143)+$B143/$C143)&gt;$B143,$B143-SUM($D143:U143),$B143/$C143)</f>
        <v>0</v>
      </c>
      <c r="W143" s="85">
        <f>IF((SUM($D143:V143)+$B143/$C143)&gt;$B143,$B143-SUM($D143:V143),$B143/$C143)</f>
        <v>0</v>
      </c>
      <c r="X143" s="85">
        <f>IF((SUM($D143:W143)+$B143/$C143)&gt;$B143,$B143-SUM($D143:W143),$B143/$C143)</f>
        <v>0</v>
      </c>
      <c r="Y143" s="85">
        <f>IF((SUM($D143:X143)+$B143/$C143)&gt;$B143,$B143-SUM($D143:X143),$B143/$C143)</f>
        <v>0</v>
      </c>
      <c r="Z143" s="85">
        <f>IF((SUM($D143:Y143)+$B143/$C143)&gt;$B143,$B143-SUM($D143:Y143),$B143/$C143)</f>
        <v>0</v>
      </c>
      <c r="AA143" s="85">
        <f>IF((SUM($D143:Z143)+$B143/$C143)&gt;$B143,$B143-SUM($D143:Z143),$B143/$C143)</f>
        <v>0</v>
      </c>
    </row>
    <row r="144" spans="1:27" outlineLevel="1" x14ac:dyDescent="0.2">
      <c r="A144" s="354"/>
      <c r="B144" s="465">
        <f>SUM(B141:B143)</f>
        <v>14662.031565567995</v>
      </c>
      <c r="D144" s="107">
        <f>SUM(D141:D143)</f>
        <v>2370.9789878567717</v>
      </c>
      <c r="E144" s="107">
        <f t="shared" ref="E144:W144" si="51">SUM(E141:E143)</f>
        <v>2370.9789878567717</v>
      </c>
      <c r="F144" s="107">
        <f t="shared" si="51"/>
        <v>2370.9789878567717</v>
      </c>
      <c r="G144" s="107">
        <f t="shared" si="51"/>
        <v>2370.9789878567717</v>
      </c>
      <c r="H144" s="107">
        <f t="shared" si="51"/>
        <v>2325.8235668855814</v>
      </c>
      <c r="I144" s="107">
        <f t="shared" si="51"/>
        <v>1996.3130601062614</v>
      </c>
      <c r="J144" s="107">
        <f t="shared" si="51"/>
        <v>855.9789871490666</v>
      </c>
      <c r="K144" s="107">
        <f t="shared" si="51"/>
        <v>0</v>
      </c>
      <c r="L144" s="107">
        <f t="shared" si="51"/>
        <v>0</v>
      </c>
      <c r="M144" s="107">
        <f t="shared" si="51"/>
        <v>0</v>
      </c>
      <c r="N144" s="107">
        <f t="shared" si="51"/>
        <v>0</v>
      </c>
      <c r="O144" s="107">
        <f t="shared" si="51"/>
        <v>0</v>
      </c>
      <c r="P144" s="107">
        <f t="shared" si="51"/>
        <v>0</v>
      </c>
      <c r="Q144" s="107">
        <f t="shared" si="51"/>
        <v>0</v>
      </c>
      <c r="R144" s="107">
        <f t="shared" si="51"/>
        <v>0</v>
      </c>
      <c r="S144" s="107">
        <f t="shared" si="51"/>
        <v>0</v>
      </c>
      <c r="T144" s="107">
        <f t="shared" si="51"/>
        <v>0</v>
      </c>
      <c r="U144" s="107">
        <f t="shared" si="51"/>
        <v>0</v>
      </c>
      <c r="V144" s="107">
        <f t="shared" si="51"/>
        <v>0</v>
      </c>
      <c r="W144" s="107">
        <f t="shared" si="51"/>
        <v>0</v>
      </c>
      <c r="X144" s="107">
        <f>SUM(X141:X143)</f>
        <v>0</v>
      </c>
      <c r="Y144" s="107">
        <f>SUM(Y141:Y143)</f>
        <v>0</v>
      </c>
      <c r="Z144" s="107">
        <f>SUM(Z141:Z143)</f>
        <v>0</v>
      </c>
      <c r="AA144" s="107">
        <f>SUM(AA141:AA143)</f>
        <v>0</v>
      </c>
    </row>
    <row r="145" spans="1:27" outlineLevel="1" x14ac:dyDescent="0.2"/>
    <row r="146" spans="1:27" outlineLevel="1" x14ac:dyDescent="0.2"/>
    <row r="147" spans="1:27" outlineLevel="1" x14ac:dyDescent="0.2">
      <c r="A147" s="344" t="s">
        <v>286</v>
      </c>
      <c r="B147" s="466" t="s">
        <v>327</v>
      </c>
      <c r="C147" s="307" t="s">
        <v>330</v>
      </c>
      <c r="D147" s="461">
        <f>D$4</f>
        <v>2009</v>
      </c>
      <c r="E147" s="461">
        <f t="shared" ref="E147:AA147" si="52">E$4</f>
        <v>2010</v>
      </c>
      <c r="F147" s="461">
        <f t="shared" si="52"/>
        <v>2011</v>
      </c>
      <c r="G147" s="461">
        <f t="shared" si="52"/>
        <v>2012</v>
      </c>
      <c r="H147" s="461">
        <f t="shared" si="52"/>
        <v>2013</v>
      </c>
      <c r="I147" s="461">
        <f t="shared" si="52"/>
        <v>2014</v>
      </c>
      <c r="J147" s="461">
        <f t="shared" si="52"/>
        <v>2015</v>
      </c>
      <c r="K147" s="461">
        <f t="shared" si="52"/>
        <v>2016</v>
      </c>
      <c r="L147" s="461">
        <f t="shared" si="52"/>
        <v>2017</v>
      </c>
      <c r="M147" s="461">
        <f t="shared" si="52"/>
        <v>2018</v>
      </c>
      <c r="N147" s="461">
        <f t="shared" si="52"/>
        <v>2019</v>
      </c>
      <c r="O147" s="461">
        <f t="shared" si="52"/>
        <v>2020</v>
      </c>
      <c r="P147" s="461">
        <f t="shared" si="52"/>
        <v>2021</v>
      </c>
      <c r="Q147" s="461">
        <f t="shared" si="52"/>
        <v>2022</v>
      </c>
      <c r="R147" s="461">
        <f t="shared" si="52"/>
        <v>2023</v>
      </c>
      <c r="S147" s="461">
        <f t="shared" si="52"/>
        <v>2024</v>
      </c>
      <c r="T147" s="461">
        <f t="shared" si="52"/>
        <v>2025</v>
      </c>
      <c r="U147" s="461">
        <f t="shared" si="52"/>
        <v>2026</v>
      </c>
      <c r="V147" s="461">
        <f t="shared" si="52"/>
        <v>2027</v>
      </c>
      <c r="W147" s="461">
        <f t="shared" si="52"/>
        <v>2028</v>
      </c>
      <c r="X147" s="461">
        <f t="shared" si="52"/>
        <v>2029</v>
      </c>
      <c r="Y147" s="461">
        <f t="shared" si="52"/>
        <v>2030</v>
      </c>
      <c r="Z147" s="461">
        <f t="shared" si="52"/>
        <v>2031</v>
      </c>
      <c r="AA147" s="461">
        <f t="shared" si="52"/>
        <v>2032</v>
      </c>
    </row>
    <row r="148" spans="1:27" outlineLevel="1" x14ac:dyDescent="0.2">
      <c r="A148" s="344" t="str">
        <f>$A$4</f>
        <v>($000 Real 2008)</v>
      </c>
      <c r="B148" s="467" t="s">
        <v>328</v>
      </c>
      <c r="C148" s="468" t="s">
        <v>329</v>
      </c>
      <c r="D148" s="453"/>
      <c r="E148" s="453"/>
      <c r="F148" s="453"/>
      <c r="G148" s="453"/>
      <c r="H148" s="453"/>
      <c r="I148" s="453"/>
      <c r="J148" s="453"/>
    </row>
    <row r="149" spans="1:27" outlineLevel="1" x14ac:dyDescent="0.2">
      <c r="A149" s="462">
        <v>2006</v>
      </c>
      <c r="B149" s="464">
        <f>'Data 2006-08'!D$86*'Data 2006-08'!D156/10^3*(1+'Data 2006-08'!C$141)^2.5</f>
        <v>0</v>
      </c>
      <c r="C149" s="463">
        <f>'Data 2009-15 (Real $2008)'!C$156-(D$147-A149-0.5)</f>
        <v>4.5</v>
      </c>
      <c r="D149" s="85">
        <f>IF(C149&lt;1,B149,B149/C149)</f>
        <v>0</v>
      </c>
      <c r="E149" s="85">
        <f>IF((SUM($D149:D149)+$B149/$C149)&gt;$B149,$B149-SUM($D149:D149),$B149/$C149)</f>
        <v>0</v>
      </c>
      <c r="F149" s="85">
        <f>IF((SUM($D149:E149)+$B149/$C149)&gt;$B149,$B149-SUM($D149:E149),$B149/$C149)</f>
        <v>0</v>
      </c>
      <c r="G149" s="85">
        <f>IF((SUM($D149:F149)+$B149/$C149)&gt;$B149,$B149-SUM($D149:F149),$B149/$C149)</f>
        <v>0</v>
      </c>
      <c r="H149" s="85">
        <f>IF((SUM($D149:G149)+$B149/$C149)&gt;$B149,$B149-SUM($D149:G149),$B149/$C149)</f>
        <v>0</v>
      </c>
      <c r="I149" s="85">
        <f>IF((SUM($D149:H149)+$B149/$C149)&gt;$B149,$B149-SUM($D149:H149),$B149/$C149)</f>
        <v>0</v>
      </c>
      <c r="J149" s="85">
        <f>IF((SUM($D149:I149)+$B149/$C149)&gt;$B149,$B149-SUM($D149:I149),$B149/$C149)</f>
        <v>0</v>
      </c>
      <c r="K149" s="85">
        <f>IF((SUM($D149:J149)+$B149/$C149)&gt;$B149,$B149-SUM($D149:J149),$B149/$C149)</f>
        <v>0</v>
      </c>
      <c r="L149" s="85">
        <f>IF((SUM($D149:K149)+$B149/$C149)&gt;$B149,$B149-SUM($D149:K149),$B149/$C149)</f>
        <v>0</v>
      </c>
      <c r="M149" s="85">
        <f>IF((SUM($D149:L149)+$B149/$C149)&gt;$B149,$B149-SUM($D149:L149),$B149/$C149)</f>
        <v>0</v>
      </c>
      <c r="N149" s="85">
        <f>IF((SUM($D149:M149)+$B149/$C149)&gt;$B149,$B149-SUM($D149:M149),$B149/$C149)</f>
        <v>0</v>
      </c>
      <c r="O149" s="85">
        <f>IF((SUM($D149:N149)+$B149/$C149)&gt;$B149,$B149-SUM($D149:N149),$B149/$C149)</f>
        <v>0</v>
      </c>
      <c r="P149" s="85">
        <f>IF((SUM($D149:O149)+$B149/$C149)&gt;$B149,$B149-SUM($D149:O149),$B149/$C149)</f>
        <v>0</v>
      </c>
      <c r="Q149" s="85">
        <f>IF((SUM($D149:P149)+$B149/$C149)&gt;$B149,$B149-SUM($D149:P149),$B149/$C149)</f>
        <v>0</v>
      </c>
      <c r="R149" s="85">
        <f>IF((SUM($D149:Q149)+$B149/$C149)&gt;$B149,$B149-SUM($D149:Q149),$B149/$C149)</f>
        <v>0</v>
      </c>
      <c r="S149" s="85">
        <f>IF((SUM($D149:R149)+$B149/$C149)&gt;$B149,$B149-SUM($D149:R149),$B149/$C149)</f>
        <v>0</v>
      </c>
      <c r="T149" s="85">
        <f>IF((SUM($D149:S149)+$B149/$C149)&gt;$B149,$B149-SUM($D149:S149),$B149/$C149)</f>
        <v>0</v>
      </c>
      <c r="U149" s="85">
        <f>IF((SUM($D149:T149)+$B149/$C149)&gt;$B149,$B149-SUM($D149:T149),$B149/$C149)</f>
        <v>0</v>
      </c>
      <c r="V149" s="85">
        <f>IF((SUM($D149:U149)+$B149/$C149)&gt;$B149,$B149-SUM($D149:U149),$B149/$C149)</f>
        <v>0</v>
      </c>
      <c r="W149" s="85">
        <f>IF((SUM($D149:V149)+$B149/$C149)&gt;$B149,$B149-SUM($D149:V149),$B149/$C149)</f>
        <v>0</v>
      </c>
      <c r="X149" s="85">
        <f>IF((SUM($D149:W149)+$B149/$C149)&gt;$B149,$B149-SUM($D149:W149),$B149/$C149)</f>
        <v>0</v>
      </c>
      <c r="Y149" s="85">
        <f>IF((SUM($D149:X149)+$B149/$C149)&gt;$B149,$B149-SUM($D149:X149),$B149/$C149)</f>
        <v>0</v>
      </c>
      <c r="Z149" s="85">
        <f>IF((SUM($D149:Y149)+$B149/$C149)&gt;$B149,$B149-SUM($D149:Y149),$B149/$C149)</f>
        <v>0</v>
      </c>
      <c r="AA149" s="85">
        <f>IF((SUM($D149:Z149)+$B149/$C149)&gt;$B149,$B149-SUM($D149:Z149),$B149/$C149)</f>
        <v>0</v>
      </c>
    </row>
    <row r="150" spans="1:27" outlineLevel="1" x14ac:dyDescent="0.2">
      <c r="A150" s="462">
        <v>2007</v>
      </c>
      <c r="B150" s="464">
        <f>'Data 2006-08'!E$86*'Data 2006-08'!E156/10^3*(1+'Data 2006-08'!C$141)^1.5</f>
        <v>0</v>
      </c>
      <c r="C150" s="463">
        <f>'Data 2009-15 (Real $2008)'!C$156-(D$147-A150-0.5)</f>
        <v>5.5</v>
      </c>
      <c r="D150" s="85">
        <f>IF(C150&lt;1,B150,B150/C150)</f>
        <v>0</v>
      </c>
      <c r="E150" s="85">
        <f>IF((SUM($D150:D150)+$B150/$C150)&gt;$B150,$B150-SUM($D150:D150),$B150/$C150)</f>
        <v>0</v>
      </c>
      <c r="F150" s="85">
        <f>IF((SUM($D150:E150)+$B150/$C150)&gt;$B150,$B150-SUM($D150:E150),$B150/$C150)</f>
        <v>0</v>
      </c>
      <c r="G150" s="85">
        <f>IF((SUM($D150:F150)+$B150/$C150)&gt;$B150,$B150-SUM($D150:F150),$B150/$C150)</f>
        <v>0</v>
      </c>
      <c r="H150" s="85">
        <f>IF((SUM($D150:G150)+$B150/$C150)&gt;$B150,$B150-SUM($D150:G150),$B150/$C150)</f>
        <v>0</v>
      </c>
      <c r="I150" s="85">
        <f>IF((SUM($D150:H150)+$B150/$C150)&gt;$B150,$B150-SUM($D150:H150),$B150/$C150)</f>
        <v>0</v>
      </c>
      <c r="J150" s="85">
        <f>IF((SUM($D150:I150)+$B150/$C150)&gt;$B150,$B150-SUM($D150:I150),$B150/$C150)</f>
        <v>0</v>
      </c>
      <c r="K150" s="85">
        <f>IF((SUM($D150:J150)+$B150/$C150)&gt;$B150,$B150-SUM($D150:J150),$B150/$C150)</f>
        <v>0</v>
      </c>
      <c r="L150" s="85">
        <f>IF((SUM($D150:K150)+$B150/$C150)&gt;$B150,$B150-SUM($D150:K150),$B150/$C150)</f>
        <v>0</v>
      </c>
      <c r="M150" s="85">
        <f>IF((SUM($D150:L150)+$B150/$C150)&gt;$B150,$B150-SUM($D150:L150),$B150/$C150)</f>
        <v>0</v>
      </c>
      <c r="N150" s="85">
        <f>IF((SUM($D150:M150)+$B150/$C150)&gt;$B150,$B150-SUM($D150:M150),$B150/$C150)</f>
        <v>0</v>
      </c>
      <c r="O150" s="85">
        <f>IF((SUM($D150:N150)+$B150/$C150)&gt;$B150,$B150-SUM($D150:N150),$B150/$C150)</f>
        <v>0</v>
      </c>
      <c r="P150" s="85">
        <f>IF((SUM($D150:O150)+$B150/$C150)&gt;$B150,$B150-SUM($D150:O150),$B150/$C150)</f>
        <v>0</v>
      </c>
      <c r="Q150" s="85">
        <f>IF((SUM($D150:P150)+$B150/$C150)&gt;$B150,$B150-SUM($D150:P150),$B150/$C150)</f>
        <v>0</v>
      </c>
      <c r="R150" s="85">
        <f>IF((SUM($D150:Q150)+$B150/$C150)&gt;$B150,$B150-SUM($D150:Q150),$B150/$C150)</f>
        <v>0</v>
      </c>
      <c r="S150" s="85">
        <f>IF((SUM($D150:R150)+$B150/$C150)&gt;$B150,$B150-SUM($D150:R150),$B150/$C150)</f>
        <v>0</v>
      </c>
      <c r="T150" s="85">
        <f>IF((SUM($D150:S150)+$B150/$C150)&gt;$B150,$B150-SUM($D150:S150),$B150/$C150)</f>
        <v>0</v>
      </c>
      <c r="U150" s="85">
        <f>IF((SUM($D150:T150)+$B150/$C150)&gt;$B150,$B150-SUM($D150:T150),$B150/$C150)</f>
        <v>0</v>
      </c>
      <c r="V150" s="85">
        <f>IF((SUM($D150:U150)+$B150/$C150)&gt;$B150,$B150-SUM($D150:U150),$B150/$C150)</f>
        <v>0</v>
      </c>
      <c r="W150" s="85">
        <f>IF((SUM($D150:V150)+$B150/$C150)&gt;$B150,$B150-SUM($D150:V150),$B150/$C150)</f>
        <v>0</v>
      </c>
      <c r="X150" s="85">
        <f>IF((SUM($D150:W150)+$B150/$C150)&gt;$B150,$B150-SUM($D150:W150),$B150/$C150)</f>
        <v>0</v>
      </c>
      <c r="Y150" s="85">
        <f>IF((SUM($D150:X150)+$B150/$C150)&gt;$B150,$B150-SUM($D150:X150),$B150/$C150)</f>
        <v>0</v>
      </c>
      <c r="Z150" s="85">
        <f>IF((SUM($D150:Y150)+$B150/$C150)&gt;$B150,$B150-SUM($D150:Y150),$B150/$C150)</f>
        <v>0</v>
      </c>
      <c r="AA150" s="85">
        <f>IF((SUM($D150:Z150)+$B150/$C150)&gt;$B150,$B150-SUM($D150:Z150),$B150/$C150)</f>
        <v>0</v>
      </c>
    </row>
    <row r="151" spans="1:27" outlineLevel="1" x14ac:dyDescent="0.2">
      <c r="A151" s="462">
        <v>2008</v>
      </c>
      <c r="B151" s="464">
        <f>'Data 2006-08'!F$86/10^3*(1+'Data 2006-08'!C$141)^0.5</f>
        <v>363.15012165245969</v>
      </c>
      <c r="C151" s="463">
        <f>'Data 2009-15 (Real $2008)'!C$156-(D$147-A151-0.5)</f>
        <v>6.5</v>
      </c>
      <c r="D151" s="85">
        <f>IF(C151&lt;1,B151,B151/C151)</f>
        <v>55.869249484993802</v>
      </c>
      <c r="E151" s="85">
        <f>IF((SUM($D151:D151)+$B151/$C151)&gt;$B151,$B151-SUM($D151:D151),$B151/$C151)</f>
        <v>55.869249484993802</v>
      </c>
      <c r="F151" s="85">
        <f>IF((SUM($D151:E151)+$B151/$C151)&gt;$B151,$B151-SUM($D151:E151),$B151/$C151)</f>
        <v>55.869249484993802</v>
      </c>
      <c r="G151" s="85">
        <f>IF((SUM($D151:F151)+$B151/$C151)&gt;$B151,$B151-SUM($D151:F151),$B151/$C151)</f>
        <v>55.869249484993802</v>
      </c>
      <c r="H151" s="85">
        <f>IF((SUM($D151:G151)+$B151/$C151)&gt;$B151,$B151-SUM($D151:G151),$B151/$C151)</f>
        <v>55.869249484993802</v>
      </c>
      <c r="I151" s="85">
        <f>IF((SUM($D151:H151)+$B151/$C151)&gt;$B151,$B151-SUM($D151:H151),$B151/$C151)</f>
        <v>55.869249484993802</v>
      </c>
      <c r="J151" s="85">
        <f>IF((SUM($D151:I151)+$B151/$C151)&gt;$B151,$B151-SUM($D151:I151),$B151/$C151)</f>
        <v>27.934624742496851</v>
      </c>
      <c r="K151" s="85">
        <f>IF((SUM($D151:J151)+$B151/$C151)&gt;$B151,$B151-SUM($D151:J151),$B151/$C151)</f>
        <v>0</v>
      </c>
      <c r="L151" s="85">
        <f>IF((SUM($D151:K151)+$B151/$C151)&gt;$B151,$B151-SUM($D151:K151),$B151/$C151)</f>
        <v>0</v>
      </c>
      <c r="M151" s="85">
        <f>IF((SUM($D151:L151)+$B151/$C151)&gt;$B151,$B151-SUM($D151:L151),$B151/$C151)</f>
        <v>0</v>
      </c>
      <c r="N151" s="85">
        <f>IF((SUM($D151:M151)+$B151/$C151)&gt;$B151,$B151-SUM($D151:M151),$B151/$C151)</f>
        <v>0</v>
      </c>
      <c r="O151" s="85">
        <f>IF((SUM($D151:N151)+$B151/$C151)&gt;$B151,$B151-SUM($D151:N151),$B151/$C151)</f>
        <v>0</v>
      </c>
      <c r="P151" s="85">
        <f>IF((SUM($D151:O151)+$B151/$C151)&gt;$B151,$B151-SUM($D151:O151),$B151/$C151)</f>
        <v>0</v>
      </c>
      <c r="Q151" s="85">
        <f>IF((SUM($D151:P151)+$B151/$C151)&gt;$B151,$B151-SUM($D151:P151),$B151/$C151)</f>
        <v>0</v>
      </c>
      <c r="R151" s="85">
        <f>IF((SUM($D151:Q151)+$B151/$C151)&gt;$B151,$B151-SUM($D151:Q151),$B151/$C151)</f>
        <v>0</v>
      </c>
      <c r="S151" s="85">
        <f>IF((SUM($D151:R151)+$B151/$C151)&gt;$B151,$B151-SUM($D151:R151),$B151/$C151)</f>
        <v>0</v>
      </c>
      <c r="T151" s="85">
        <f>IF((SUM($D151:S151)+$B151/$C151)&gt;$B151,$B151-SUM($D151:S151),$B151/$C151)</f>
        <v>0</v>
      </c>
      <c r="U151" s="85">
        <f>IF((SUM($D151:T151)+$B151/$C151)&gt;$B151,$B151-SUM($D151:T151),$B151/$C151)</f>
        <v>0</v>
      </c>
      <c r="V151" s="85">
        <f>IF((SUM($D151:U151)+$B151/$C151)&gt;$B151,$B151-SUM($D151:U151),$B151/$C151)</f>
        <v>0</v>
      </c>
      <c r="W151" s="85">
        <f>IF((SUM($D151:V151)+$B151/$C151)&gt;$B151,$B151-SUM($D151:V151),$B151/$C151)</f>
        <v>0</v>
      </c>
      <c r="X151" s="85">
        <f>IF((SUM($D151:W151)+$B151/$C151)&gt;$B151,$B151-SUM($D151:W151),$B151/$C151)</f>
        <v>0</v>
      </c>
      <c r="Y151" s="85">
        <f>IF((SUM($D151:X151)+$B151/$C151)&gt;$B151,$B151-SUM($D151:X151),$B151/$C151)</f>
        <v>0</v>
      </c>
      <c r="Z151" s="85">
        <f>IF((SUM($D151:Y151)+$B151/$C151)&gt;$B151,$B151-SUM($D151:Y151),$B151/$C151)</f>
        <v>0</v>
      </c>
      <c r="AA151" s="85">
        <f>IF((SUM($D151:Z151)+$B151/$C151)&gt;$B151,$B151-SUM($D151:Z151),$B151/$C151)</f>
        <v>0</v>
      </c>
    </row>
    <row r="152" spans="1:27" outlineLevel="1" x14ac:dyDescent="0.2">
      <c r="B152" s="465">
        <f>SUM(B149:B151)</f>
        <v>363.15012165245969</v>
      </c>
      <c r="D152" s="107">
        <f>SUM(D149:D151)</f>
        <v>55.869249484993802</v>
      </c>
      <c r="E152" s="107">
        <f t="shared" ref="E152:W152" si="53">SUM(E149:E151)</f>
        <v>55.869249484993802</v>
      </c>
      <c r="F152" s="107">
        <f t="shared" si="53"/>
        <v>55.869249484993802</v>
      </c>
      <c r="G152" s="107">
        <f t="shared" si="53"/>
        <v>55.869249484993802</v>
      </c>
      <c r="H152" s="107">
        <f t="shared" si="53"/>
        <v>55.869249484993802</v>
      </c>
      <c r="I152" s="107">
        <f t="shared" si="53"/>
        <v>55.869249484993802</v>
      </c>
      <c r="J152" s="107">
        <f t="shared" si="53"/>
        <v>27.934624742496851</v>
      </c>
      <c r="K152" s="107">
        <f t="shared" si="53"/>
        <v>0</v>
      </c>
      <c r="L152" s="107">
        <f t="shared" si="53"/>
        <v>0</v>
      </c>
      <c r="M152" s="107">
        <f t="shared" si="53"/>
        <v>0</v>
      </c>
      <c r="N152" s="107">
        <f t="shared" si="53"/>
        <v>0</v>
      </c>
      <c r="O152" s="107">
        <f t="shared" si="53"/>
        <v>0</v>
      </c>
      <c r="P152" s="107">
        <f t="shared" si="53"/>
        <v>0</v>
      </c>
      <c r="Q152" s="107">
        <f t="shared" si="53"/>
        <v>0</v>
      </c>
      <c r="R152" s="107">
        <f t="shared" si="53"/>
        <v>0</v>
      </c>
      <c r="S152" s="107">
        <f t="shared" si="53"/>
        <v>0</v>
      </c>
      <c r="T152" s="107">
        <f t="shared" si="53"/>
        <v>0</v>
      </c>
      <c r="U152" s="107">
        <f t="shared" si="53"/>
        <v>0</v>
      </c>
      <c r="V152" s="107">
        <f t="shared" si="53"/>
        <v>0</v>
      </c>
      <c r="W152" s="107">
        <f t="shared" si="53"/>
        <v>0</v>
      </c>
      <c r="X152" s="107">
        <f>SUM(X149:X151)</f>
        <v>0</v>
      </c>
      <c r="Y152" s="107">
        <f>SUM(Y149:Y151)</f>
        <v>0</v>
      </c>
      <c r="Z152" s="107">
        <f>SUM(Z149:Z151)</f>
        <v>0</v>
      </c>
      <c r="AA152" s="107">
        <f>SUM(AA149:AA151)</f>
        <v>0</v>
      </c>
    </row>
    <row r="153" spans="1:27" outlineLevel="1" x14ac:dyDescent="0.2"/>
    <row r="154" spans="1:27" outlineLevel="1" x14ac:dyDescent="0.2"/>
    <row r="155" spans="1:27" outlineLevel="1" x14ac:dyDescent="0.2">
      <c r="A155" s="344" t="s">
        <v>285</v>
      </c>
      <c r="B155" s="466" t="s">
        <v>327</v>
      </c>
      <c r="C155" s="307" t="s">
        <v>330</v>
      </c>
      <c r="D155" s="461">
        <f>D$4</f>
        <v>2009</v>
      </c>
      <c r="E155" s="461">
        <f t="shared" ref="E155:AA155" si="54">E$4</f>
        <v>2010</v>
      </c>
      <c r="F155" s="461">
        <f t="shared" si="54"/>
        <v>2011</v>
      </c>
      <c r="G155" s="461">
        <f t="shared" si="54"/>
        <v>2012</v>
      </c>
      <c r="H155" s="461">
        <f t="shared" si="54"/>
        <v>2013</v>
      </c>
      <c r="I155" s="461">
        <f t="shared" si="54"/>
        <v>2014</v>
      </c>
      <c r="J155" s="461">
        <f t="shared" si="54"/>
        <v>2015</v>
      </c>
      <c r="K155" s="461">
        <f t="shared" si="54"/>
        <v>2016</v>
      </c>
      <c r="L155" s="461">
        <f t="shared" si="54"/>
        <v>2017</v>
      </c>
      <c r="M155" s="461">
        <f t="shared" si="54"/>
        <v>2018</v>
      </c>
      <c r="N155" s="461">
        <f t="shared" si="54"/>
        <v>2019</v>
      </c>
      <c r="O155" s="461">
        <f t="shared" si="54"/>
        <v>2020</v>
      </c>
      <c r="P155" s="461">
        <f t="shared" si="54"/>
        <v>2021</v>
      </c>
      <c r="Q155" s="461">
        <f t="shared" si="54"/>
        <v>2022</v>
      </c>
      <c r="R155" s="461">
        <f t="shared" si="54"/>
        <v>2023</v>
      </c>
      <c r="S155" s="461">
        <f t="shared" si="54"/>
        <v>2024</v>
      </c>
      <c r="T155" s="461">
        <f t="shared" si="54"/>
        <v>2025</v>
      </c>
      <c r="U155" s="461">
        <f t="shared" si="54"/>
        <v>2026</v>
      </c>
      <c r="V155" s="461">
        <f t="shared" si="54"/>
        <v>2027</v>
      </c>
      <c r="W155" s="461">
        <f t="shared" si="54"/>
        <v>2028</v>
      </c>
      <c r="X155" s="461">
        <f t="shared" si="54"/>
        <v>2029</v>
      </c>
      <c r="Y155" s="461">
        <f t="shared" si="54"/>
        <v>2030</v>
      </c>
      <c r="Z155" s="461">
        <f t="shared" si="54"/>
        <v>2031</v>
      </c>
      <c r="AA155" s="461">
        <f t="shared" si="54"/>
        <v>2032</v>
      </c>
    </row>
    <row r="156" spans="1:27" outlineLevel="1" x14ac:dyDescent="0.2">
      <c r="A156" s="344" t="str">
        <f>$A$4</f>
        <v>($000 Real 2008)</v>
      </c>
      <c r="B156" s="467" t="s">
        <v>328</v>
      </c>
      <c r="C156" s="468" t="s">
        <v>329</v>
      </c>
      <c r="D156" s="453"/>
      <c r="E156" s="453"/>
      <c r="F156" s="453"/>
      <c r="G156" s="453"/>
      <c r="H156" s="453"/>
      <c r="I156" s="453"/>
      <c r="J156" s="453"/>
    </row>
    <row r="157" spans="1:27" outlineLevel="1" x14ac:dyDescent="0.2">
      <c r="A157" s="462">
        <v>2006</v>
      </c>
      <c r="B157" s="464">
        <f>'Data 2006-08'!D$87*'Data 2006-08'!D156/10^3*(1+'Data 2006-08'!C$141)^2.5</f>
        <v>0</v>
      </c>
      <c r="C157" s="463">
        <f>'Data 2009-15 (Real $2008)'!C$157-(D$155-A157-0.5)</f>
        <v>4.5</v>
      </c>
      <c r="D157" s="85">
        <f>IF(C157&lt;1,B157,B157/C157)</f>
        <v>0</v>
      </c>
      <c r="E157" s="85">
        <f>IF((SUM($D157:D157)+$B157/$C157)&gt;$B157,$B157-SUM($D157:D157),$B157/$C157)</f>
        <v>0</v>
      </c>
      <c r="F157" s="85">
        <f>IF((SUM($D157:E157)+$B157/$C157)&gt;$B157,$B157-SUM($D157:E157),$B157/$C157)</f>
        <v>0</v>
      </c>
      <c r="G157" s="85">
        <f>IF((SUM($D157:F157)+$B157/$C157)&gt;$B157,$B157-SUM($D157:F157),$B157/$C157)</f>
        <v>0</v>
      </c>
      <c r="H157" s="85">
        <f>IF((SUM($D157:G157)+$B157/$C157)&gt;$B157,$B157-SUM($D157:G157),$B157/$C157)</f>
        <v>0</v>
      </c>
      <c r="I157" s="85">
        <f>IF((SUM($D157:H157)+$B157/$C157)&gt;$B157,$B157-SUM($D157:H157),$B157/$C157)</f>
        <v>0</v>
      </c>
      <c r="J157" s="85">
        <f>IF((SUM($D157:I157)+$B157/$C157)&gt;$B157,$B157-SUM($D157:I157),$B157/$C157)</f>
        <v>0</v>
      </c>
      <c r="K157" s="85">
        <f>IF((SUM($D157:J157)+$B157/$C157)&gt;$B157,$B157-SUM($D157:J157),$B157/$C157)</f>
        <v>0</v>
      </c>
      <c r="L157" s="85">
        <f>IF((SUM($D157:K157)+$B157/$C157)&gt;$B157,$B157-SUM($D157:K157),$B157/$C157)</f>
        <v>0</v>
      </c>
      <c r="M157" s="85">
        <f>IF((SUM($D157:L157)+$B157/$C157)&gt;$B157,$B157-SUM($D157:L157),$B157/$C157)</f>
        <v>0</v>
      </c>
      <c r="N157" s="85">
        <f>IF((SUM($D157:M157)+$B157/$C157)&gt;$B157,$B157-SUM($D157:M157),$B157/$C157)</f>
        <v>0</v>
      </c>
      <c r="O157" s="85">
        <f>IF((SUM($D157:N157)+$B157/$C157)&gt;$B157,$B157-SUM($D157:N157),$B157/$C157)</f>
        <v>0</v>
      </c>
      <c r="P157" s="85">
        <f>IF((SUM($D157:O157)+$B157/$C157)&gt;$B157,$B157-SUM($D157:O157),$B157/$C157)</f>
        <v>0</v>
      </c>
      <c r="Q157" s="85">
        <f>IF((SUM($D157:P157)+$B157/$C157)&gt;$B157,$B157-SUM($D157:P157),$B157/$C157)</f>
        <v>0</v>
      </c>
      <c r="R157" s="85">
        <f>IF((SUM($D157:Q157)+$B157/$C157)&gt;$B157,$B157-SUM($D157:Q157),$B157/$C157)</f>
        <v>0</v>
      </c>
      <c r="S157" s="85">
        <f>IF((SUM($D157:R157)+$B157/$C157)&gt;$B157,$B157-SUM($D157:R157),$B157/$C157)</f>
        <v>0</v>
      </c>
      <c r="T157" s="85">
        <f>IF((SUM($D157:S157)+$B157/$C157)&gt;$B157,$B157-SUM($D157:S157),$B157/$C157)</f>
        <v>0</v>
      </c>
      <c r="U157" s="85">
        <f>IF((SUM($D157:T157)+$B157/$C157)&gt;$B157,$B157-SUM($D157:T157),$B157/$C157)</f>
        <v>0</v>
      </c>
      <c r="V157" s="85">
        <f>IF((SUM($D157:U157)+$B157/$C157)&gt;$B157,$B157-SUM($D157:U157),$B157/$C157)</f>
        <v>0</v>
      </c>
      <c r="W157" s="85">
        <f>IF((SUM($D157:V157)+$B157/$C157)&gt;$B157,$B157-SUM($D157:V157),$B157/$C157)</f>
        <v>0</v>
      </c>
      <c r="X157" s="85">
        <f>IF((SUM($D157:W157)+$B157/$C157)&gt;$B157,$B157-SUM($D157:W157),$B157/$C157)</f>
        <v>0</v>
      </c>
      <c r="Y157" s="85">
        <f>IF((SUM($D157:X157)+$B157/$C157)&gt;$B157,$B157-SUM($D157:X157),$B157/$C157)</f>
        <v>0</v>
      </c>
      <c r="Z157" s="85">
        <f>IF((SUM($D157:Y157)+$B157/$C157)&gt;$B157,$B157-SUM($D157:Y157),$B157/$C157)</f>
        <v>0</v>
      </c>
      <c r="AA157" s="85">
        <f>IF((SUM($D157:Z157)+$B157/$C157)&gt;$B157,$B157-SUM($D157:Z157),$B157/$C157)</f>
        <v>0</v>
      </c>
    </row>
    <row r="158" spans="1:27" outlineLevel="1" x14ac:dyDescent="0.2">
      <c r="A158" s="462">
        <v>2007</v>
      </c>
      <c r="B158" s="464">
        <f>'Data 2006-08'!E$87*'Data 2006-08'!E156/10^3*(1+'Data 2006-08'!C$141)^1.5</f>
        <v>81.963068461855599</v>
      </c>
      <c r="C158" s="463">
        <f>'Data 2009-15 (Real $2008)'!C$157-(D$155-A158-0.5)</f>
        <v>5.5</v>
      </c>
      <c r="D158" s="85">
        <f>IF(C158&lt;1,B158,B158/C158)</f>
        <v>14.902376083973746</v>
      </c>
      <c r="E158" s="85">
        <f>IF((SUM($D158:D158)+$B158/$C158)&gt;$B158,$B158-SUM($D158:D158),$B158/$C158)</f>
        <v>14.902376083973746</v>
      </c>
      <c r="F158" s="85">
        <f>IF((SUM($D158:E158)+$B158/$C158)&gt;$B158,$B158-SUM($D158:E158),$B158/$C158)</f>
        <v>14.902376083973746</v>
      </c>
      <c r="G158" s="85">
        <f>IF((SUM($D158:F158)+$B158/$C158)&gt;$B158,$B158-SUM($D158:F158),$B158/$C158)</f>
        <v>14.902376083973746</v>
      </c>
      <c r="H158" s="85">
        <f>IF((SUM($D158:G158)+$B158/$C158)&gt;$B158,$B158-SUM($D158:G158),$B158/$C158)</f>
        <v>14.902376083973746</v>
      </c>
      <c r="I158" s="85">
        <f>IF((SUM($D158:H158)+$B158/$C158)&gt;$B158,$B158-SUM($D158:H158),$B158/$C158)</f>
        <v>7.4511880419868675</v>
      </c>
      <c r="J158" s="85">
        <f>IF((SUM($D158:I158)+$B158/$C158)&gt;$B158,$B158-SUM($D158:I158),$B158/$C158)</f>
        <v>0</v>
      </c>
      <c r="K158" s="85">
        <f>IF((SUM($D158:J158)+$B158/$C158)&gt;$B158,$B158-SUM($D158:J158),$B158/$C158)</f>
        <v>0</v>
      </c>
      <c r="L158" s="85">
        <f>IF((SUM($D158:K158)+$B158/$C158)&gt;$B158,$B158-SUM($D158:K158),$B158/$C158)</f>
        <v>0</v>
      </c>
      <c r="M158" s="85">
        <f>IF((SUM($D158:L158)+$B158/$C158)&gt;$B158,$B158-SUM($D158:L158),$B158/$C158)</f>
        <v>0</v>
      </c>
      <c r="N158" s="85">
        <f>IF((SUM($D158:M158)+$B158/$C158)&gt;$B158,$B158-SUM($D158:M158),$B158/$C158)</f>
        <v>0</v>
      </c>
      <c r="O158" s="85">
        <f>IF((SUM($D158:N158)+$B158/$C158)&gt;$B158,$B158-SUM($D158:N158),$B158/$C158)</f>
        <v>0</v>
      </c>
      <c r="P158" s="85">
        <f>IF((SUM($D158:O158)+$B158/$C158)&gt;$B158,$B158-SUM($D158:O158),$B158/$C158)</f>
        <v>0</v>
      </c>
      <c r="Q158" s="85">
        <f>IF((SUM($D158:P158)+$B158/$C158)&gt;$B158,$B158-SUM($D158:P158),$B158/$C158)</f>
        <v>0</v>
      </c>
      <c r="R158" s="85">
        <f>IF((SUM($D158:Q158)+$B158/$C158)&gt;$B158,$B158-SUM($D158:Q158),$B158/$C158)</f>
        <v>0</v>
      </c>
      <c r="S158" s="85">
        <f>IF((SUM($D158:R158)+$B158/$C158)&gt;$B158,$B158-SUM($D158:R158),$B158/$C158)</f>
        <v>0</v>
      </c>
      <c r="T158" s="85">
        <f>IF((SUM($D158:S158)+$B158/$C158)&gt;$B158,$B158-SUM($D158:S158),$B158/$C158)</f>
        <v>0</v>
      </c>
      <c r="U158" s="85">
        <f>IF((SUM($D158:T158)+$B158/$C158)&gt;$B158,$B158-SUM($D158:T158),$B158/$C158)</f>
        <v>0</v>
      </c>
      <c r="V158" s="85">
        <f>IF((SUM($D158:U158)+$B158/$C158)&gt;$B158,$B158-SUM($D158:U158),$B158/$C158)</f>
        <v>0</v>
      </c>
      <c r="W158" s="85">
        <f>IF((SUM($D158:V158)+$B158/$C158)&gt;$B158,$B158-SUM($D158:V158),$B158/$C158)</f>
        <v>0</v>
      </c>
      <c r="X158" s="85">
        <f>IF((SUM($D158:W158)+$B158/$C158)&gt;$B158,$B158-SUM($D158:W158),$B158/$C158)</f>
        <v>0</v>
      </c>
      <c r="Y158" s="85">
        <f>IF((SUM($D158:X158)+$B158/$C158)&gt;$B158,$B158-SUM($D158:X158),$B158/$C158)</f>
        <v>0</v>
      </c>
      <c r="Z158" s="85">
        <f>IF((SUM($D158:Y158)+$B158/$C158)&gt;$B158,$B158-SUM($D158:Y158),$B158/$C158)</f>
        <v>0</v>
      </c>
      <c r="AA158" s="85">
        <f>IF((SUM($D158:Z158)+$B158/$C158)&gt;$B158,$B158-SUM($D158:Z158),$B158/$C158)</f>
        <v>0</v>
      </c>
    </row>
    <row r="159" spans="1:27" outlineLevel="1" x14ac:dyDescent="0.2">
      <c r="A159" s="462">
        <v>2008</v>
      </c>
      <c r="B159" s="464">
        <f>'Data 2006-08'!F$87/10^3*(1+'Data 2006-08'!C$141)^0.5</f>
        <v>193.74215228850761</v>
      </c>
      <c r="C159" s="463">
        <f>'Data 2009-15 (Real $2008)'!C$157-(D$155-A159-0.5)</f>
        <v>6.5</v>
      </c>
      <c r="D159" s="85">
        <f>IF(C159&lt;1,B159,B159/C159)</f>
        <v>29.806484967462708</v>
      </c>
      <c r="E159" s="85">
        <f>IF((SUM($D159:D159)+$B159/$C159)&gt;$B159,$B159-SUM($D159:D159),$B159/$C159)</f>
        <v>29.806484967462708</v>
      </c>
      <c r="F159" s="85">
        <f>IF((SUM($D159:E159)+$B159/$C159)&gt;$B159,$B159-SUM($D159:E159),$B159/$C159)</f>
        <v>29.806484967462708</v>
      </c>
      <c r="G159" s="85">
        <f>IF((SUM($D159:F159)+$B159/$C159)&gt;$B159,$B159-SUM($D159:F159),$B159/$C159)</f>
        <v>29.806484967462708</v>
      </c>
      <c r="H159" s="85">
        <f>IF((SUM($D159:G159)+$B159/$C159)&gt;$B159,$B159-SUM($D159:G159),$B159/$C159)</f>
        <v>29.806484967462708</v>
      </c>
      <c r="I159" s="85">
        <f>IF((SUM($D159:H159)+$B159/$C159)&gt;$B159,$B159-SUM($D159:H159),$B159/$C159)</f>
        <v>29.806484967462708</v>
      </c>
      <c r="J159" s="85">
        <f>IF((SUM($D159:I159)+$B159/$C159)&gt;$B159,$B159-SUM($D159:I159),$B159/$C159)</f>
        <v>14.903242483731333</v>
      </c>
      <c r="K159" s="85">
        <f>IF((SUM($D159:J159)+$B159/$C159)&gt;$B159,$B159-SUM($D159:J159),$B159/$C159)</f>
        <v>0</v>
      </c>
      <c r="L159" s="85">
        <f>IF((SUM($D159:K159)+$B159/$C159)&gt;$B159,$B159-SUM($D159:K159),$B159/$C159)</f>
        <v>0</v>
      </c>
      <c r="M159" s="85">
        <f>IF((SUM($D159:L159)+$B159/$C159)&gt;$B159,$B159-SUM($D159:L159),$B159/$C159)</f>
        <v>0</v>
      </c>
      <c r="N159" s="85">
        <f>IF((SUM($D159:M159)+$B159/$C159)&gt;$B159,$B159-SUM($D159:M159),$B159/$C159)</f>
        <v>0</v>
      </c>
      <c r="O159" s="85">
        <f>IF((SUM($D159:N159)+$B159/$C159)&gt;$B159,$B159-SUM($D159:N159),$B159/$C159)</f>
        <v>0</v>
      </c>
      <c r="P159" s="85">
        <f>IF((SUM($D159:O159)+$B159/$C159)&gt;$B159,$B159-SUM($D159:O159),$B159/$C159)</f>
        <v>0</v>
      </c>
      <c r="Q159" s="85">
        <f>IF((SUM($D159:P159)+$B159/$C159)&gt;$B159,$B159-SUM($D159:P159),$B159/$C159)</f>
        <v>0</v>
      </c>
      <c r="R159" s="85">
        <f>IF((SUM($D159:Q159)+$B159/$C159)&gt;$B159,$B159-SUM($D159:Q159),$B159/$C159)</f>
        <v>0</v>
      </c>
      <c r="S159" s="85">
        <f>IF((SUM($D159:R159)+$B159/$C159)&gt;$B159,$B159-SUM($D159:R159),$B159/$C159)</f>
        <v>0</v>
      </c>
      <c r="T159" s="85">
        <f>IF((SUM($D159:S159)+$B159/$C159)&gt;$B159,$B159-SUM($D159:S159),$B159/$C159)</f>
        <v>0</v>
      </c>
      <c r="U159" s="85">
        <f>IF((SUM($D159:T159)+$B159/$C159)&gt;$B159,$B159-SUM($D159:T159),$B159/$C159)</f>
        <v>0</v>
      </c>
      <c r="V159" s="85">
        <f>IF((SUM($D159:U159)+$B159/$C159)&gt;$B159,$B159-SUM($D159:U159),$B159/$C159)</f>
        <v>0</v>
      </c>
      <c r="W159" s="85">
        <f>IF((SUM($D159:V159)+$B159/$C159)&gt;$B159,$B159-SUM($D159:V159),$B159/$C159)</f>
        <v>0</v>
      </c>
      <c r="X159" s="85">
        <f>IF((SUM($D159:W159)+$B159/$C159)&gt;$B159,$B159-SUM($D159:W159),$B159/$C159)</f>
        <v>0</v>
      </c>
      <c r="Y159" s="85">
        <f>IF((SUM($D159:X159)+$B159/$C159)&gt;$B159,$B159-SUM($D159:X159),$B159/$C159)</f>
        <v>0</v>
      </c>
      <c r="Z159" s="85">
        <f>IF((SUM($D159:Y159)+$B159/$C159)&gt;$B159,$B159-SUM($D159:Y159),$B159/$C159)</f>
        <v>0</v>
      </c>
      <c r="AA159" s="85">
        <f>IF((SUM($D159:Z159)+$B159/$C159)&gt;$B159,$B159-SUM($D159:Z159),$B159/$C159)</f>
        <v>0</v>
      </c>
    </row>
    <row r="160" spans="1:27" outlineLevel="1" x14ac:dyDescent="0.2">
      <c r="B160" s="465">
        <f>SUM(B157:B159)</f>
        <v>275.7052207503632</v>
      </c>
      <c r="D160" s="107">
        <f>SUM(D157:D159)</f>
        <v>44.708861051436458</v>
      </c>
      <c r="E160" s="107">
        <f t="shared" ref="E160:W160" si="55">SUM(E157:E159)</f>
        <v>44.708861051436458</v>
      </c>
      <c r="F160" s="107">
        <f t="shared" si="55"/>
        <v>44.708861051436458</v>
      </c>
      <c r="G160" s="107">
        <f t="shared" si="55"/>
        <v>44.708861051436458</v>
      </c>
      <c r="H160" s="107">
        <f t="shared" si="55"/>
        <v>44.708861051436458</v>
      </c>
      <c r="I160" s="107">
        <f t="shared" si="55"/>
        <v>37.257673009449576</v>
      </c>
      <c r="J160" s="107">
        <f t="shared" si="55"/>
        <v>14.903242483731333</v>
      </c>
      <c r="K160" s="107">
        <f t="shared" si="55"/>
        <v>0</v>
      </c>
      <c r="L160" s="107">
        <f t="shared" si="55"/>
        <v>0</v>
      </c>
      <c r="M160" s="107">
        <f t="shared" si="55"/>
        <v>0</v>
      </c>
      <c r="N160" s="107">
        <f t="shared" si="55"/>
        <v>0</v>
      </c>
      <c r="O160" s="107">
        <f t="shared" si="55"/>
        <v>0</v>
      </c>
      <c r="P160" s="107">
        <f t="shared" si="55"/>
        <v>0</v>
      </c>
      <c r="Q160" s="107">
        <f t="shared" si="55"/>
        <v>0</v>
      </c>
      <c r="R160" s="107">
        <f t="shared" si="55"/>
        <v>0</v>
      </c>
      <c r="S160" s="107">
        <f t="shared" si="55"/>
        <v>0</v>
      </c>
      <c r="T160" s="107">
        <f t="shared" si="55"/>
        <v>0</v>
      </c>
      <c r="U160" s="107">
        <f t="shared" si="55"/>
        <v>0</v>
      </c>
      <c r="V160" s="107">
        <f t="shared" si="55"/>
        <v>0</v>
      </c>
      <c r="W160" s="107">
        <f t="shared" si="55"/>
        <v>0</v>
      </c>
      <c r="X160" s="107">
        <f>SUM(X157:X159)</f>
        <v>0</v>
      </c>
      <c r="Y160" s="107">
        <f>SUM(Y157:Y159)</f>
        <v>0</v>
      </c>
      <c r="Z160" s="107">
        <f>SUM(Z157:Z159)</f>
        <v>0</v>
      </c>
      <c r="AA160" s="107">
        <f>SUM(AA157:AA159)</f>
        <v>0</v>
      </c>
    </row>
    <row r="161" spans="1:27" outlineLevel="1" x14ac:dyDescent="0.2"/>
    <row r="162" spans="1:27" outlineLevel="1" x14ac:dyDescent="0.2"/>
    <row r="163" spans="1:27" ht="13.5" outlineLevel="1" thickBot="1" x14ac:dyDescent="0.25">
      <c r="A163" s="469" t="s">
        <v>45</v>
      </c>
      <c r="B163" s="470">
        <f>SUM(B136,B144,B152,B160)</f>
        <v>15300.886907970818</v>
      </c>
      <c r="C163" s="469"/>
      <c r="D163" s="472">
        <f t="shared" ref="D163:W163" si="56">SUM(D136,D144,D152,D160)</f>
        <v>2471.5570983932021</v>
      </c>
      <c r="E163" s="472">
        <f t="shared" si="56"/>
        <v>2471.5570983932021</v>
      </c>
      <c r="F163" s="472">
        <f t="shared" si="56"/>
        <v>2471.5570983932021</v>
      </c>
      <c r="G163" s="472">
        <f t="shared" si="56"/>
        <v>2471.5570983932021</v>
      </c>
      <c r="H163" s="472">
        <f t="shared" si="56"/>
        <v>2426.4016774220117</v>
      </c>
      <c r="I163" s="472">
        <f t="shared" si="56"/>
        <v>2089.4399826007048</v>
      </c>
      <c r="J163" s="472">
        <f t="shared" si="56"/>
        <v>898.81685437529484</v>
      </c>
      <c r="K163" s="472">
        <f t="shared" si="56"/>
        <v>0</v>
      </c>
      <c r="L163" s="472">
        <f t="shared" si="56"/>
        <v>0</v>
      </c>
      <c r="M163" s="472">
        <f t="shared" si="56"/>
        <v>0</v>
      </c>
      <c r="N163" s="472">
        <f t="shared" si="56"/>
        <v>0</v>
      </c>
      <c r="O163" s="472">
        <f t="shared" si="56"/>
        <v>0</v>
      </c>
      <c r="P163" s="472">
        <f t="shared" si="56"/>
        <v>0</v>
      </c>
      <c r="Q163" s="472">
        <f t="shared" si="56"/>
        <v>0</v>
      </c>
      <c r="R163" s="472">
        <f t="shared" si="56"/>
        <v>0</v>
      </c>
      <c r="S163" s="472">
        <f t="shared" si="56"/>
        <v>0</v>
      </c>
      <c r="T163" s="472">
        <f t="shared" si="56"/>
        <v>0</v>
      </c>
      <c r="U163" s="472">
        <f t="shared" si="56"/>
        <v>0</v>
      </c>
      <c r="V163" s="472">
        <f t="shared" si="56"/>
        <v>0</v>
      </c>
      <c r="W163" s="472">
        <f t="shared" si="56"/>
        <v>0</v>
      </c>
      <c r="X163" s="472">
        <f>SUM(X136,X144,X152,X160)</f>
        <v>0</v>
      </c>
      <c r="Y163" s="472">
        <f>SUM(Y136,Y144,Y152,Y160)</f>
        <v>0</v>
      </c>
      <c r="Z163" s="472">
        <f>SUM(Z136,Z144,Z152,Z160)</f>
        <v>0</v>
      </c>
      <c r="AA163" s="472">
        <f>SUM(AA136,AA144,AA152,AA160)</f>
        <v>0</v>
      </c>
    </row>
    <row r="164" spans="1:27" ht="13.5" outlineLevel="1" thickTop="1" x14ac:dyDescent="0.2">
      <c r="J164" s="459"/>
    </row>
    <row r="165" spans="1:27" outlineLevel="1" x14ac:dyDescent="0.2">
      <c r="J165" s="459"/>
    </row>
    <row r="166" spans="1:27" x14ac:dyDescent="0.2">
      <c r="J166" s="459"/>
    </row>
    <row r="167" spans="1:27" x14ac:dyDescent="0.2">
      <c r="A167" s="58" t="s">
        <v>381</v>
      </c>
      <c r="B167" s="58"/>
      <c r="C167" s="58"/>
      <c r="J167" s="459"/>
    </row>
    <row r="168" spans="1:27" x14ac:dyDescent="0.2">
      <c r="A168" s="344" t="str">
        <f>$A$4</f>
        <v>($000 Real 2008)</v>
      </c>
      <c r="J168" s="459"/>
    </row>
    <row r="169" spans="1:27" x14ac:dyDescent="0.2">
      <c r="A169" s="99" t="s">
        <v>334</v>
      </c>
      <c r="D169" s="461">
        <f>D$4</f>
        <v>2009</v>
      </c>
      <c r="E169" s="461">
        <f t="shared" ref="E169:AA169" si="57">E$4</f>
        <v>2010</v>
      </c>
      <c r="F169" s="461">
        <f t="shared" si="57"/>
        <v>2011</v>
      </c>
      <c r="G169" s="461">
        <f t="shared" si="57"/>
        <v>2012</v>
      </c>
      <c r="H169" s="461">
        <f t="shared" si="57"/>
        <v>2013</v>
      </c>
      <c r="I169" s="461">
        <f t="shared" si="57"/>
        <v>2014</v>
      </c>
      <c r="J169" s="461">
        <f t="shared" si="57"/>
        <v>2015</v>
      </c>
      <c r="K169" s="461">
        <f t="shared" si="57"/>
        <v>2016</v>
      </c>
      <c r="L169" s="461">
        <f t="shared" si="57"/>
        <v>2017</v>
      </c>
      <c r="M169" s="461">
        <f t="shared" si="57"/>
        <v>2018</v>
      </c>
      <c r="N169" s="461">
        <f t="shared" si="57"/>
        <v>2019</v>
      </c>
      <c r="O169" s="461">
        <f t="shared" si="57"/>
        <v>2020</v>
      </c>
      <c r="P169" s="461">
        <f t="shared" si="57"/>
        <v>2021</v>
      </c>
      <c r="Q169" s="461">
        <f t="shared" si="57"/>
        <v>2022</v>
      </c>
      <c r="R169" s="461">
        <f t="shared" si="57"/>
        <v>2023</v>
      </c>
      <c r="S169" s="461">
        <f t="shared" si="57"/>
        <v>2024</v>
      </c>
      <c r="T169" s="461">
        <f t="shared" si="57"/>
        <v>2025</v>
      </c>
      <c r="U169" s="461">
        <f t="shared" si="57"/>
        <v>2026</v>
      </c>
      <c r="V169" s="461">
        <f t="shared" si="57"/>
        <v>2027</v>
      </c>
      <c r="W169" s="461">
        <f t="shared" si="57"/>
        <v>2028</v>
      </c>
      <c r="X169" s="461">
        <f t="shared" si="57"/>
        <v>2029</v>
      </c>
      <c r="Y169" s="461">
        <f t="shared" si="57"/>
        <v>2030</v>
      </c>
      <c r="Z169" s="461">
        <f t="shared" si="57"/>
        <v>2031</v>
      </c>
      <c r="AA169" s="461">
        <f t="shared" si="57"/>
        <v>2032</v>
      </c>
    </row>
    <row r="170" spans="1:27" x14ac:dyDescent="0.2">
      <c r="A170" s="71" t="s">
        <v>172</v>
      </c>
      <c r="D170" s="476">
        <v>0</v>
      </c>
      <c r="E170" s="85">
        <f>D173</f>
        <v>31960.151016305746</v>
      </c>
      <c r="F170" s="85">
        <f t="shared" ref="F170:W170" si="58">E173</f>
        <v>115512.24958265777</v>
      </c>
      <c r="G170" s="85">
        <f t="shared" si="58"/>
        <v>207741.92360812752</v>
      </c>
      <c r="H170" s="85">
        <f t="shared" si="58"/>
        <v>283421.24002307205</v>
      </c>
      <c r="I170" s="85">
        <f t="shared" si="58"/>
        <v>318388.8967348772</v>
      </c>
      <c r="J170" s="85">
        <f t="shared" si="58"/>
        <v>297767.76483019436</v>
      </c>
      <c r="K170" s="85">
        <f t="shared" si="58"/>
        <v>273098.0661583952</v>
      </c>
      <c r="L170" s="85">
        <f t="shared" si="58"/>
        <v>237678.78117814139</v>
      </c>
      <c r="M170" s="85">
        <f t="shared" si="58"/>
        <v>205680.56071302539</v>
      </c>
      <c r="N170" s="85">
        <f t="shared" si="58"/>
        <v>177187.84953097184</v>
      </c>
      <c r="O170" s="85">
        <f t="shared" si="58"/>
        <v>151839.66700056399</v>
      </c>
      <c r="P170" s="85">
        <f t="shared" si="58"/>
        <v>128467.62533227322</v>
      </c>
      <c r="Q170" s="85">
        <f t="shared" si="58"/>
        <v>106338.5488728886</v>
      </c>
      <c r="R170" s="85">
        <f t="shared" si="58"/>
        <v>85203.566708885221</v>
      </c>
      <c r="S170" s="85">
        <f t="shared" si="58"/>
        <v>64472.207486804022</v>
      </c>
      <c r="T170" s="85">
        <f t="shared" si="58"/>
        <v>43811.045499166066</v>
      </c>
      <c r="U170" s="85">
        <f t="shared" si="58"/>
        <v>25291.546376511102</v>
      </c>
      <c r="V170" s="85">
        <f t="shared" si="58"/>
        <v>11676.20021897323</v>
      </c>
      <c r="W170" s="85">
        <f t="shared" si="58"/>
        <v>3765.618785821418</v>
      </c>
      <c r="X170" s="85">
        <f>W173</f>
        <v>830.65690003215013</v>
      </c>
      <c r="Y170" s="85">
        <f>X173</f>
        <v>207.47351795720249</v>
      </c>
      <c r="Z170" s="85">
        <f>Y173</f>
        <v>4.4337866711430252E-12</v>
      </c>
      <c r="AA170" s="85">
        <f>Z173</f>
        <v>4.4337866711430252E-12</v>
      </c>
    </row>
    <row r="171" spans="1:27" x14ac:dyDescent="0.2">
      <c r="A171" s="71" t="s">
        <v>326</v>
      </c>
      <c r="D171" s="85">
        <f>D186</f>
        <v>34685.629104773543</v>
      </c>
      <c r="E171" s="85">
        <f t="shared" ref="E171:W171" si="59">E186</f>
        <v>93930.880038998657</v>
      </c>
      <c r="F171" s="85">
        <f t="shared" si="59"/>
        <v>112619.07144998058</v>
      </c>
      <c r="G171" s="85">
        <f t="shared" si="59"/>
        <v>105674.15344430947</v>
      </c>
      <c r="H171" s="85">
        <f t="shared" si="59"/>
        <v>72426.645867333311</v>
      </c>
      <c r="I171" s="85">
        <f t="shared" si="59"/>
        <v>14513.689333243656</v>
      </c>
      <c r="J171" s="85">
        <f t="shared" si="59"/>
        <v>11874.926725626321</v>
      </c>
      <c r="K171" s="85">
        <f t="shared" si="59"/>
        <v>0</v>
      </c>
      <c r="L171" s="85">
        <f t="shared" si="59"/>
        <v>0</v>
      </c>
      <c r="M171" s="85">
        <f t="shared" si="59"/>
        <v>0</v>
      </c>
      <c r="N171" s="85">
        <f t="shared" si="59"/>
        <v>0</v>
      </c>
      <c r="O171" s="85">
        <f t="shared" si="59"/>
        <v>0</v>
      </c>
      <c r="P171" s="85">
        <f t="shared" si="59"/>
        <v>0</v>
      </c>
      <c r="Q171" s="85">
        <f t="shared" si="59"/>
        <v>0</v>
      </c>
      <c r="R171" s="85">
        <f t="shared" si="59"/>
        <v>0</v>
      </c>
      <c r="S171" s="85">
        <f t="shared" si="59"/>
        <v>0</v>
      </c>
      <c r="T171" s="85">
        <f t="shared" si="59"/>
        <v>0</v>
      </c>
      <c r="U171" s="85">
        <f t="shared" si="59"/>
        <v>0</v>
      </c>
      <c r="V171" s="85">
        <f t="shared" si="59"/>
        <v>0</v>
      </c>
      <c r="W171" s="85">
        <f t="shared" si="59"/>
        <v>0</v>
      </c>
      <c r="X171" s="85">
        <f>X186</f>
        <v>0</v>
      </c>
      <c r="Y171" s="85">
        <f>Y186</f>
        <v>0</v>
      </c>
      <c r="Z171" s="85">
        <f>Z186</f>
        <v>0</v>
      </c>
      <c r="AA171" s="85">
        <f>AA186</f>
        <v>0</v>
      </c>
    </row>
    <row r="172" spans="1:27" x14ac:dyDescent="0.2">
      <c r="A172" s="82" t="s">
        <v>138</v>
      </c>
      <c r="D172" s="85">
        <f>D261</f>
        <v>2725.478088467798</v>
      </c>
      <c r="E172" s="85">
        <f t="shared" ref="E172:W172" si="60">E261</f>
        <v>10378.781472646639</v>
      </c>
      <c r="F172" s="85">
        <f t="shared" si="60"/>
        <v>20389.397424510826</v>
      </c>
      <c r="G172" s="85">
        <f t="shared" si="60"/>
        <v>29994.837029364968</v>
      </c>
      <c r="H172" s="85">
        <f t="shared" si="60"/>
        <v>37458.989155528216</v>
      </c>
      <c r="I172" s="85">
        <f t="shared" si="60"/>
        <v>35134.821237926488</v>
      </c>
      <c r="J172" s="85">
        <f t="shared" si="60"/>
        <v>36544.625397425487</v>
      </c>
      <c r="K172" s="85">
        <f t="shared" si="60"/>
        <v>35419.284980253804</v>
      </c>
      <c r="L172" s="85">
        <f t="shared" si="60"/>
        <v>31998.220465115992</v>
      </c>
      <c r="M172" s="85">
        <f t="shared" si="60"/>
        <v>28492.711182053543</v>
      </c>
      <c r="N172" s="85">
        <f t="shared" si="60"/>
        <v>25348.182530407845</v>
      </c>
      <c r="O172" s="85">
        <f t="shared" si="60"/>
        <v>23372.041668290774</v>
      </c>
      <c r="P172" s="85">
        <f t="shared" si="60"/>
        <v>22129.076459384625</v>
      </c>
      <c r="Q172" s="85">
        <f t="shared" si="60"/>
        <v>21134.98216400337</v>
      </c>
      <c r="R172" s="85">
        <f t="shared" si="60"/>
        <v>20731.359222081202</v>
      </c>
      <c r="S172" s="85">
        <f t="shared" si="60"/>
        <v>20661.161987637959</v>
      </c>
      <c r="T172" s="85">
        <f t="shared" si="60"/>
        <v>18519.499122654965</v>
      </c>
      <c r="U172" s="85">
        <f t="shared" si="60"/>
        <v>13615.346157537871</v>
      </c>
      <c r="V172" s="85">
        <f t="shared" si="60"/>
        <v>7910.5814331518122</v>
      </c>
      <c r="W172" s="85">
        <f t="shared" si="60"/>
        <v>2934.9618857892679</v>
      </c>
      <c r="X172" s="85">
        <f>X261</f>
        <v>623.18338207494764</v>
      </c>
      <c r="Y172" s="85">
        <f>Y261</f>
        <v>207.47351795719806</v>
      </c>
      <c r="Z172" s="85">
        <f>Z261</f>
        <v>0</v>
      </c>
      <c r="AA172" s="85">
        <f>AA261</f>
        <v>0</v>
      </c>
    </row>
    <row r="173" spans="1:27" ht="13.5" thickBot="1" x14ac:dyDescent="0.25">
      <c r="A173" s="71" t="s">
        <v>174</v>
      </c>
      <c r="D173" s="74">
        <f>D170+D171-D172</f>
        <v>31960.151016305746</v>
      </c>
      <c r="E173" s="74">
        <f t="shared" ref="E173:W173" si="61">E170+E171-E172</f>
        <v>115512.24958265777</v>
      </c>
      <c r="F173" s="74">
        <f t="shared" si="61"/>
        <v>207741.92360812752</v>
      </c>
      <c r="G173" s="74">
        <f t="shared" si="61"/>
        <v>283421.24002307205</v>
      </c>
      <c r="H173" s="74">
        <f t="shared" si="61"/>
        <v>318388.8967348772</v>
      </c>
      <c r="I173" s="74">
        <f t="shared" si="61"/>
        <v>297767.76483019436</v>
      </c>
      <c r="J173" s="74">
        <f t="shared" si="61"/>
        <v>273098.0661583952</v>
      </c>
      <c r="K173" s="74">
        <f t="shared" si="61"/>
        <v>237678.78117814139</v>
      </c>
      <c r="L173" s="74">
        <f t="shared" si="61"/>
        <v>205680.56071302539</v>
      </c>
      <c r="M173" s="74">
        <f t="shared" si="61"/>
        <v>177187.84953097184</v>
      </c>
      <c r="N173" s="74">
        <f t="shared" si="61"/>
        <v>151839.66700056399</v>
      </c>
      <c r="O173" s="74">
        <f t="shared" si="61"/>
        <v>128467.62533227322</v>
      </c>
      <c r="P173" s="74">
        <f t="shared" si="61"/>
        <v>106338.5488728886</v>
      </c>
      <c r="Q173" s="74">
        <f t="shared" si="61"/>
        <v>85203.566708885221</v>
      </c>
      <c r="R173" s="74">
        <f t="shared" si="61"/>
        <v>64472.207486804022</v>
      </c>
      <c r="S173" s="74">
        <f t="shared" si="61"/>
        <v>43811.045499166066</v>
      </c>
      <c r="T173" s="74">
        <f t="shared" si="61"/>
        <v>25291.546376511102</v>
      </c>
      <c r="U173" s="74">
        <f t="shared" si="61"/>
        <v>11676.20021897323</v>
      </c>
      <c r="V173" s="74">
        <f t="shared" si="61"/>
        <v>3765.618785821418</v>
      </c>
      <c r="W173" s="74">
        <f t="shared" si="61"/>
        <v>830.65690003215013</v>
      </c>
      <c r="X173" s="74">
        <f>X170+X171-X172</f>
        <v>207.47351795720249</v>
      </c>
      <c r="Y173" s="74">
        <f>Y170+Y171-Y172</f>
        <v>4.4337866711430252E-12</v>
      </c>
      <c r="Z173" s="74">
        <f>Z170+Z171-Z172</f>
        <v>4.4337866711430252E-12</v>
      </c>
      <c r="AA173" s="74">
        <f>AA170+AA171-AA172</f>
        <v>4.4337866711430252E-12</v>
      </c>
    </row>
    <row r="174" spans="1:27" s="99" customFormat="1" ht="13.5" outlineLevel="1" thickTop="1" x14ac:dyDescent="0.2">
      <c r="A174" s="543" t="s">
        <v>0</v>
      </c>
      <c r="B174" s="477"/>
      <c r="C174" s="544">
        <f>SUM(D174:K174)</f>
        <v>0</v>
      </c>
      <c r="D174" s="545">
        <f>IF(ABS(SUM(D171:AA171)-SUM(D172:AA172))&lt;0.001,0,ABS(SUM(D171:AA171)-SUM(D172:AA172)))</f>
        <v>0</v>
      </c>
      <c r="E174" s="545">
        <f t="shared" ref="E174:K174" si="62">IF(ABS(D171-D186)&lt;0.001,0,ABS(D171-D186))</f>
        <v>0</v>
      </c>
      <c r="F174" s="545">
        <f t="shared" si="62"/>
        <v>0</v>
      </c>
      <c r="G174" s="545">
        <f t="shared" si="62"/>
        <v>0</v>
      </c>
      <c r="H174" s="545">
        <f t="shared" si="62"/>
        <v>0</v>
      </c>
      <c r="I174" s="545">
        <f t="shared" si="62"/>
        <v>0</v>
      </c>
      <c r="J174" s="545">
        <f t="shared" si="62"/>
        <v>0</v>
      </c>
      <c r="K174" s="545">
        <f t="shared" si="62"/>
        <v>0</v>
      </c>
    </row>
    <row r="175" spans="1:27" outlineLevel="1" x14ac:dyDescent="0.2">
      <c r="A175" s="344"/>
      <c r="J175" s="459"/>
    </row>
    <row r="176" spans="1:27" outlineLevel="1" x14ac:dyDescent="0.2">
      <c r="A176" s="344"/>
      <c r="J176" s="459"/>
    </row>
    <row r="177" spans="1:27" outlineLevel="1" x14ac:dyDescent="0.2">
      <c r="A177" s="344"/>
      <c r="J177" s="459"/>
    </row>
    <row r="178" spans="1:27" outlineLevel="1" x14ac:dyDescent="0.2">
      <c r="A178" s="344"/>
      <c r="J178" s="459"/>
    </row>
    <row r="179" spans="1:27" outlineLevel="1" x14ac:dyDescent="0.2">
      <c r="A179" s="99" t="s">
        <v>326</v>
      </c>
      <c r="D179" s="461">
        <f>D$4</f>
        <v>2009</v>
      </c>
      <c r="E179" s="461">
        <f t="shared" ref="E179:AA179" si="63">E$4</f>
        <v>2010</v>
      </c>
      <c r="F179" s="461">
        <f t="shared" si="63"/>
        <v>2011</v>
      </c>
      <c r="G179" s="461">
        <f t="shared" si="63"/>
        <v>2012</v>
      </c>
      <c r="H179" s="461">
        <f t="shared" si="63"/>
        <v>2013</v>
      </c>
      <c r="I179" s="461">
        <f t="shared" si="63"/>
        <v>2014</v>
      </c>
      <c r="J179" s="461">
        <f t="shared" si="63"/>
        <v>2015</v>
      </c>
      <c r="K179" s="461">
        <f t="shared" si="63"/>
        <v>2016</v>
      </c>
      <c r="L179" s="461">
        <f t="shared" si="63"/>
        <v>2017</v>
      </c>
      <c r="M179" s="461">
        <f t="shared" si="63"/>
        <v>2018</v>
      </c>
      <c r="N179" s="461">
        <f t="shared" si="63"/>
        <v>2019</v>
      </c>
      <c r="O179" s="461">
        <f t="shared" si="63"/>
        <v>2020</v>
      </c>
      <c r="P179" s="461">
        <f t="shared" si="63"/>
        <v>2021</v>
      </c>
      <c r="Q179" s="461">
        <f t="shared" si="63"/>
        <v>2022</v>
      </c>
      <c r="R179" s="461">
        <f t="shared" si="63"/>
        <v>2023</v>
      </c>
      <c r="S179" s="461">
        <f t="shared" si="63"/>
        <v>2024</v>
      </c>
      <c r="T179" s="461">
        <f t="shared" si="63"/>
        <v>2025</v>
      </c>
      <c r="U179" s="461">
        <f t="shared" si="63"/>
        <v>2026</v>
      </c>
      <c r="V179" s="461">
        <f t="shared" si="63"/>
        <v>2027</v>
      </c>
      <c r="W179" s="461">
        <f t="shared" si="63"/>
        <v>2028</v>
      </c>
      <c r="X179" s="461">
        <f t="shared" si="63"/>
        <v>2029</v>
      </c>
      <c r="Y179" s="461">
        <f t="shared" si="63"/>
        <v>2030</v>
      </c>
      <c r="Z179" s="461">
        <f t="shared" si="63"/>
        <v>2031</v>
      </c>
      <c r="AA179" s="461">
        <f t="shared" si="63"/>
        <v>2032</v>
      </c>
    </row>
    <row r="180" spans="1:27" outlineLevel="1" x14ac:dyDescent="0.2">
      <c r="A180" s="83" t="s">
        <v>42</v>
      </c>
      <c r="D180" s="85">
        <f>('Data 2009-15 (Real $2008)'!D10-'Data 2009-15 (Real $2008)'!D34-'Data 2009-15 (Real $2008)'!D43)/10^3</f>
        <v>4317.4194924881767</v>
      </c>
      <c r="E180" s="85">
        <f>('Data 2009-15 (Real $2008)'!E10-'Data 2009-15 (Real $2008)'!E34-'Data 2009-15 (Real $2008)'!E43)/10^3</f>
        <v>3670.0541176541242</v>
      </c>
      <c r="F180" s="85">
        <f>('Data 2009-15 (Real $2008)'!F10-'Data 2009-15 (Real $2008)'!F34-'Data 2009-15 (Real $2008)'!F43)/10^3</f>
        <v>1449.8892054472012</v>
      </c>
      <c r="G180" s="85">
        <f>('Data 2009-15 (Real $2008)'!G10-'Data 2009-15 (Real $2008)'!G34-'Data 2009-15 (Real $2008)'!G43)/10^3</f>
        <v>839.22847869565237</v>
      </c>
      <c r="H180" s="85">
        <f>('Data 2009-15 (Real $2008)'!H10-'Data 2009-15 (Real $2008)'!H34-'Data 2009-15 (Real $2008)'!H43)/10^3</f>
        <v>81.80321129125025</v>
      </c>
      <c r="I180" s="85">
        <f>('Data 2009-15 (Real $2008)'!I10-'Data 2009-15 (Real $2008)'!I34-'Data 2009-15 (Real $2008)'!I43)/10^3</f>
        <v>0</v>
      </c>
      <c r="J180" s="85">
        <f>('Data 2009-15 (Real $2008)'!J10-'Data 2009-15 (Real $2008)'!J34-'Data 2009-15 (Real $2008)'!J43)/10^3</f>
        <v>0</v>
      </c>
      <c r="K180" s="474"/>
      <c r="L180" s="474"/>
      <c r="M180" s="474"/>
      <c r="N180" s="474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</row>
    <row r="181" spans="1:27" outlineLevel="1" x14ac:dyDescent="0.2">
      <c r="A181" s="82" t="s">
        <v>267</v>
      </c>
      <c r="D181" s="85">
        <f>('Data 2009-15 (Real $2008)'!D11-'Data 2009-15 (Real $2008)'!D35-'Data 2009-15 (Real $2008)'!D44)/10^3</f>
        <v>3952.1763002733569</v>
      </c>
      <c r="E181" s="85">
        <f>('Data 2009-15 (Real $2008)'!E11-'Data 2009-15 (Real $2008)'!E35-'Data 2009-15 (Real $2008)'!E44)/10^3</f>
        <v>4532.0700719376491</v>
      </c>
      <c r="F181" s="85">
        <f>('Data 2009-15 (Real $2008)'!F11-'Data 2009-15 (Real $2008)'!F35-'Data 2009-15 (Real $2008)'!F44)/10^3</f>
        <v>696.21917755337563</v>
      </c>
      <c r="G181" s="85">
        <f>('Data 2009-15 (Real $2008)'!G11-'Data 2009-15 (Real $2008)'!G35-'Data 2009-15 (Real $2008)'!G44)/10^3</f>
        <v>141.54517797101448</v>
      </c>
      <c r="H181" s="85">
        <f>('Data 2009-15 (Real $2008)'!H11-'Data 2009-15 (Real $2008)'!H35-'Data 2009-15 (Real $2008)'!H44)/10^3</f>
        <v>103.66395317018311</v>
      </c>
      <c r="I181" s="85">
        <f>('Data 2009-15 (Real $2008)'!I11-'Data 2009-15 (Real $2008)'!I35-'Data 2009-15 (Real $2008)'!I44)/10^3</f>
        <v>0</v>
      </c>
      <c r="J181" s="85">
        <f>('Data 2009-15 (Real $2008)'!J11-'Data 2009-15 (Real $2008)'!J35-'Data 2009-15 (Real $2008)'!J44)/10^3</f>
        <v>0</v>
      </c>
      <c r="K181" s="474"/>
      <c r="L181" s="474"/>
      <c r="M181" s="474"/>
      <c r="N181" s="474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</row>
    <row r="182" spans="1:27" outlineLevel="1" x14ac:dyDescent="0.2">
      <c r="A182" s="317" t="str">
        <f>'Data 2009-15 (Real $2008)'!A$154</f>
        <v>Remotely read interval meters &amp; transformers</v>
      </c>
      <c r="D182" s="85">
        <f>('Data 2009-15 (Real $2008)'!D12-'Data 2009-15 (Real $2008)'!D36-'Data 2009-15 (Real $2008)'!D45)/10^3</f>
        <v>2105.9170332972976</v>
      </c>
      <c r="E182" s="85">
        <f>('Data 2009-15 (Real $2008)'!E12-'Data 2009-15 (Real $2008)'!E36-'Data 2009-15 (Real $2008)'!E45)/10^3</f>
        <v>62143.968916192171</v>
      </c>
      <c r="F182" s="85">
        <f>('Data 2009-15 (Real $2008)'!F12-'Data 2009-15 (Real $2008)'!F36-'Data 2009-15 (Real $2008)'!F45)/10^3</f>
        <v>84980.620037320448</v>
      </c>
      <c r="G182" s="85">
        <f>('Data 2009-15 (Real $2008)'!G12-'Data 2009-15 (Real $2008)'!G36-'Data 2009-15 (Real $2008)'!G45)/10^3</f>
        <v>86162.321694262559</v>
      </c>
      <c r="H182" s="85">
        <f>('Data 2009-15 (Real $2008)'!H12-'Data 2009-15 (Real $2008)'!H36-'Data 2009-15 (Real $2008)'!H45)/10^3</f>
        <v>63106.264726613117</v>
      </c>
      <c r="I182" s="85">
        <f>('Data 2009-15 (Real $2008)'!I12-'Data 2009-15 (Real $2008)'!I36-'Data 2009-15 (Real $2008)'!I45)/10^3</f>
        <v>6247.0903848163962</v>
      </c>
      <c r="J182" s="85">
        <f>('Data 2009-15 (Real $2008)'!J12-'Data 2009-15 (Real $2008)'!J36-'Data 2009-15 (Real $2008)'!J45)/10^3</f>
        <v>6224.2055387159771</v>
      </c>
      <c r="K182" s="474"/>
      <c r="L182" s="474"/>
      <c r="M182" s="474"/>
      <c r="N182" s="474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</row>
    <row r="183" spans="1:27" outlineLevel="1" x14ac:dyDescent="0.2">
      <c r="A183" s="82" t="s">
        <v>284</v>
      </c>
      <c r="D183" s="85">
        <f>('Data 2009-15 (Real $2008)'!D13-'Data 2009-15 (Real $2008)'!D37-'Data 2009-15 (Real $2008)'!D46)/10^3</f>
        <v>22906.55290616216</v>
      </c>
      <c r="E183" s="85">
        <f>('Data 2009-15 (Real $2008)'!E13-'Data 2009-15 (Real $2008)'!E37-'Data 2009-15 (Real $2008)'!E46)/10^3</f>
        <v>19865.495396322662</v>
      </c>
      <c r="F183" s="85">
        <f>('Data 2009-15 (Real $2008)'!F13-'Data 2009-15 (Real $2008)'!F37-'Data 2009-15 (Real $2008)'!F46)/10^3</f>
        <v>10372.068667339874</v>
      </c>
      <c r="G183" s="85">
        <f>('Data 2009-15 (Real $2008)'!G13-'Data 2009-15 (Real $2008)'!G37-'Data 2009-15 (Real $2008)'!G46)/10^3</f>
        <v>8184.2504311594212</v>
      </c>
      <c r="H183" s="85">
        <f>('Data 2009-15 (Real $2008)'!H13-'Data 2009-15 (Real $2008)'!H37-'Data 2009-15 (Real $2008)'!H46)/10^3</f>
        <v>5535.9412246744123</v>
      </c>
      <c r="I183" s="85">
        <f>('Data 2009-15 (Real $2008)'!I13-'Data 2009-15 (Real $2008)'!I37-'Data 2009-15 (Real $2008)'!I46)/10^3</f>
        <v>6166.3498576883421</v>
      </c>
      <c r="J183" s="85">
        <f>('Data 2009-15 (Real $2008)'!J13-'Data 2009-15 (Real $2008)'!J37-'Data 2009-15 (Real $2008)'!J46)/10^3</f>
        <v>4594.6998172959602</v>
      </c>
      <c r="K183" s="474"/>
      <c r="L183" s="474"/>
      <c r="M183" s="474"/>
      <c r="N183" s="474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</row>
    <row r="184" spans="1:27" outlineLevel="1" x14ac:dyDescent="0.2">
      <c r="A184" s="82" t="s">
        <v>286</v>
      </c>
      <c r="D184" s="85">
        <f>('Data 2009-15 (Real $2008)'!D14-'Data 2009-15 (Real $2008)'!D38-'Data 2009-15 (Real $2008)'!D47)/10^3</f>
        <v>900.87381417417419</v>
      </c>
      <c r="E184" s="85">
        <f>('Data 2009-15 (Real $2008)'!E14-'Data 2009-15 (Real $2008)'!E38-'Data 2009-15 (Real $2008)'!E47)/10^3</f>
        <v>3128.8651083511272</v>
      </c>
      <c r="F184" s="85">
        <f>('Data 2009-15 (Real $2008)'!F14-'Data 2009-15 (Real $2008)'!F38-'Data 2009-15 (Real $2008)'!F47)/10^3</f>
        <v>14800.781096006922</v>
      </c>
      <c r="G184" s="85">
        <f>('Data 2009-15 (Real $2008)'!G14-'Data 2009-15 (Real $2008)'!G38-'Data 2009-15 (Real $2008)'!G47)/10^3</f>
        <v>10192.341702945465</v>
      </c>
      <c r="H184" s="85">
        <f>('Data 2009-15 (Real $2008)'!H14-'Data 2009-15 (Real $2008)'!H38-'Data 2009-15 (Real $2008)'!H47)/10^3</f>
        <v>3566.2709641136021</v>
      </c>
      <c r="I184" s="85">
        <f>('Data 2009-15 (Real $2008)'!I14-'Data 2009-15 (Real $2008)'!I38-'Data 2009-15 (Real $2008)'!I47)/10^3</f>
        <v>1993.4553734855997</v>
      </c>
      <c r="J184" s="85">
        <f>('Data 2009-15 (Real $2008)'!J14-'Data 2009-15 (Real $2008)'!J38-'Data 2009-15 (Real $2008)'!J47)/10^3</f>
        <v>940.88673833913867</v>
      </c>
      <c r="K184" s="474"/>
      <c r="L184" s="474"/>
      <c r="M184" s="474"/>
      <c r="N184" s="474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</row>
    <row r="185" spans="1:27" outlineLevel="1" x14ac:dyDescent="0.2">
      <c r="A185" s="317" t="s">
        <v>285</v>
      </c>
      <c r="D185" s="85">
        <f>('Data 2009-15 (Real $2008)'!D15-'Data 2009-15 (Real $2008)'!D39-'Data 2009-15 (Real $2008)'!D48)/10^3</f>
        <v>502.68955837837836</v>
      </c>
      <c r="E185" s="85">
        <f>('Data 2009-15 (Real $2008)'!E15-'Data 2009-15 (Real $2008)'!E39-'Data 2009-15 (Real $2008)'!E48)/10^3</f>
        <v>590.42642854092537</v>
      </c>
      <c r="F185" s="85">
        <f>('Data 2009-15 (Real $2008)'!F15-'Data 2009-15 (Real $2008)'!F39-'Data 2009-15 (Real $2008)'!F48)/10^3</f>
        <v>319.49326631275244</v>
      </c>
      <c r="G185" s="85">
        <f>('Data 2009-15 (Real $2008)'!G15-'Data 2009-15 (Real $2008)'!G39-'Data 2009-15 (Real $2008)'!G48)/10^3</f>
        <v>154.46595927536234</v>
      </c>
      <c r="H185" s="85">
        <f>('Data 2009-15 (Real $2008)'!H15-'Data 2009-15 (Real $2008)'!H39-'Data 2009-15 (Real $2008)'!H48)/10^3</f>
        <v>32.701787470744009</v>
      </c>
      <c r="I185" s="85">
        <f>('Data 2009-15 (Real $2008)'!I15-'Data 2009-15 (Real $2008)'!I39-'Data 2009-15 (Real $2008)'!I48)/10^3</f>
        <v>106.79371725331792</v>
      </c>
      <c r="J185" s="85">
        <f>('Data 2009-15 (Real $2008)'!J15-'Data 2009-15 (Real $2008)'!J39-'Data 2009-15 (Real $2008)'!J48)/10^3</f>
        <v>115.13463127524524</v>
      </c>
      <c r="K185" s="474"/>
      <c r="L185" s="474"/>
      <c r="M185" s="474"/>
      <c r="N185" s="474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</row>
    <row r="186" spans="1:27" outlineLevel="1" x14ac:dyDescent="0.2">
      <c r="D186" s="107">
        <f t="shared" ref="D186:J186" si="64">SUM(D180:D185)</f>
        <v>34685.629104773543</v>
      </c>
      <c r="E186" s="107">
        <f t="shared" si="64"/>
        <v>93930.880038998657</v>
      </c>
      <c r="F186" s="107">
        <f t="shared" si="64"/>
        <v>112619.07144998058</v>
      </c>
      <c r="G186" s="107">
        <f t="shared" si="64"/>
        <v>105674.15344430947</v>
      </c>
      <c r="H186" s="107">
        <f t="shared" si="64"/>
        <v>72426.645867333311</v>
      </c>
      <c r="I186" s="107">
        <f t="shared" si="64"/>
        <v>14513.689333243656</v>
      </c>
      <c r="J186" s="107">
        <f t="shared" si="64"/>
        <v>11874.926725626321</v>
      </c>
      <c r="K186" s="474"/>
      <c r="L186" s="474"/>
      <c r="M186" s="474"/>
      <c r="N186" s="474"/>
      <c r="O186" s="474"/>
      <c r="P186" s="474"/>
      <c r="Q186" s="474"/>
      <c r="R186" s="474"/>
      <c r="S186" s="474"/>
      <c r="T186" s="474"/>
      <c r="U186" s="474"/>
      <c r="V186" s="474"/>
      <c r="W186" s="474"/>
      <c r="X186" s="474"/>
      <c r="Y186" s="474"/>
      <c r="Z186" s="474"/>
      <c r="AA186" s="474"/>
    </row>
    <row r="187" spans="1:27" outlineLevel="1" x14ac:dyDescent="0.2">
      <c r="J187" s="459"/>
    </row>
    <row r="188" spans="1:27" outlineLevel="1" x14ac:dyDescent="0.2">
      <c r="J188" s="459"/>
    </row>
    <row r="189" spans="1:27" outlineLevel="1" x14ac:dyDescent="0.2">
      <c r="A189" s="344" t="s">
        <v>42</v>
      </c>
      <c r="B189" s="466" t="s">
        <v>332</v>
      </c>
      <c r="C189" s="307" t="s">
        <v>7</v>
      </c>
      <c r="D189" s="461">
        <f>D$4</f>
        <v>2009</v>
      </c>
      <c r="E189" s="461">
        <f t="shared" ref="E189:AA189" si="65">E$4</f>
        <v>2010</v>
      </c>
      <c r="F189" s="461">
        <f t="shared" si="65"/>
        <v>2011</v>
      </c>
      <c r="G189" s="461">
        <f t="shared" si="65"/>
        <v>2012</v>
      </c>
      <c r="H189" s="461">
        <f t="shared" si="65"/>
        <v>2013</v>
      </c>
      <c r="I189" s="461">
        <f t="shared" si="65"/>
        <v>2014</v>
      </c>
      <c r="J189" s="461">
        <f t="shared" si="65"/>
        <v>2015</v>
      </c>
      <c r="K189" s="461">
        <f t="shared" si="65"/>
        <v>2016</v>
      </c>
      <c r="L189" s="461">
        <f t="shared" si="65"/>
        <v>2017</v>
      </c>
      <c r="M189" s="461">
        <f t="shared" si="65"/>
        <v>2018</v>
      </c>
      <c r="N189" s="461">
        <f t="shared" si="65"/>
        <v>2019</v>
      </c>
      <c r="O189" s="461">
        <f t="shared" si="65"/>
        <v>2020</v>
      </c>
      <c r="P189" s="461">
        <f t="shared" si="65"/>
        <v>2021</v>
      </c>
      <c r="Q189" s="461">
        <f t="shared" si="65"/>
        <v>2022</v>
      </c>
      <c r="R189" s="461">
        <f t="shared" si="65"/>
        <v>2023</v>
      </c>
      <c r="S189" s="461">
        <f t="shared" si="65"/>
        <v>2024</v>
      </c>
      <c r="T189" s="461">
        <f t="shared" si="65"/>
        <v>2025</v>
      </c>
      <c r="U189" s="461">
        <f t="shared" si="65"/>
        <v>2026</v>
      </c>
      <c r="V189" s="461">
        <f t="shared" si="65"/>
        <v>2027</v>
      </c>
      <c r="W189" s="461">
        <f t="shared" si="65"/>
        <v>2028</v>
      </c>
      <c r="X189" s="461">
        <f t="shared" si="65"/>
        <v>2029</v>
      </c>
      <c r="Y189" s="461">
        <f t="shared" si="65"/>
        <v>2030</v>
      </c>
      <c r="Z189" s="461">
        <f t="shared" si="65"/>
        <v>2031</v>
      </c>
      <c r="AA189" s="461">
        <f t="shared" si="65"/>
        <v>2032</v>
      </c>
    </row>
    <row r="190" spans="1:27" outlineLevel="1" x14ac:dyDescent="0.2">
      <c r="A190" s="344" t="str">
        <f>$A$4</f>
        <v>($000 Real 2008)</v>
      </c>
      <c r="B190" s="467" t="s">
        <v>333</v>
      </c>
      <c r="C190" s="468" t="s">
        <v>329</v>
      </c>
      <c r="D190" s="453"/>
      <c r="E190" s="453"/>
      <c r="F190" s="453"/>
      <c r="G190" s="453"/>
      <c r="H190" s="453"/>
      <c r="I190" s="453"/>
      <c r="J190" s="453"/>
      <c r="K190" s="453"/>
      <c r="L190" s="453"/>
      <c r="M190" s="453"/>
      <c r="N190" s="453"/>
      <c r="O190" s="453"/>
      <c r="P190" s="453"/>
      <c r="Q190" s="453"/>
      <c r="R190" s="453"/>
      <c r="S190" s="453"/>
      <c r="T190" s="453"/>
      <c r="U190" s="453"/>
      <c r="V190" s="453"/>
      <c r="W190" s="453"/>
      <c r="X190" s="453"/>
      <c r="Y190" s="453"/>
      <c r="Z190" s="453"/>
      <c r="AA190" s="453"/>
    </row>
    <row r="191" spans="1:27" outlineLevel="1" x14ac:dyDescent="0.2">
      <c r="A191" s="462">
        <v>2009</v>
      </c>
      <c r="B191" s="464">
        <f>D$180</f>
        <v>4317.4194924881767</v>
      </c>
      <c r="C191" s="460">
        <f>IF('Data 2006-08'!C$34&lt;=A191,1,'Data 2006-08'!C$34-A191+0.5)</f>
        <v>4.5</v>
      </c>
      <c r="D191" s="85">
        <f>IF($C191=1,$B191,$B191/2/$C191)</f>
        <v>479.71327694313072</v>
      </c>
      <c r="E191" s="85">
        <f>IF((SUM($D191:D191)+$B191/$C191)&gt;$B191,$B191-SUM($D191:D191),$B191/$C191)</f>
        <v>959.42655388626144</v>
      </c>
      <c r="F191" s="85">
        <f>IF((SUM($D191:E191)+$B191/$C191)&gt;$B191,$B191-SUM($D191:E191),$B191/$C191)</f>
        <v>959.42655388626144</v>
      </c>
      <c r="G191" s="85">
        <f>IF((SUM($D191:F191)+$B191/$C191)&gt;$B191,$B191-SUM($D191:F191),$B191/$C191)</f>
        <v>959.42655388626144</v>
      </c>
      <c r="H191" s="85">
        <f>IF((SUM($D191:G191)+$B191/$C191)&gt;$B191,$B191-SUM($D191:G191),$B191/$C191)</f>
        <v>959.42655388626144</v>
      </c>
      <c r="I191" s="85">
        <f>IF((SUM($D191:H191)+$B191/$C191)&gt;$B191,$B191-SUM($D191:H191),$B191/$C191)</f>
        <v>0</v>
      </c>
      <c r="J191" s="85">
        <f>IF((SUM($D191:I191)+$B191/$C191)&gt;$B191,$B191-SUM($D191:I191),$B191/$C191)</f>
        <v>0</v>
      </c>
      <c r="K191" s="85">
        <f>IF((SUM($D191:J191)+$B191/$C191)&gt;$B191,$B191-SUM($D191:J191),$B191/$C191)</f>
        <v>0</v>
      </c>
      <c r="L191" s="85">
        <f>IF((SUM($D191:K191)+$B191/$C191)&gt;$B191,$B191-SUM($D191:K191),$B191/$C191)</f>
        <v>0</v>
      </c>
      <c r="M191" s="85">
        <f>IF((SUM($D191:L191)+$B191/$C191)&gt;$B191,$B191-SUM($D191:L191),$B191/$C191)</f>
        <v>0</v>
      </c>
      <c r="N191" s="85">
        <f>IF((SUM($D191:M191)+$B191/$C191)&gt;$B191,$B191-SUM($D191:M191),$B191/$C191)</f>
        <v>0</v>
      </c>
      <c r="O191" s="85">
        <f>IF((SUM($D191:N191)+$B191/$C191)&gt;$B191,$B191-SUM($D191:N191),$B191/$C191)</f>
        <v>0</v>
      </c>
      <c r="P191" s="85">
        <f>IF((SUM($D191:O191)+$B191/$C191)&gt;$B191,$B191-SUM($D191:O191),$B191/$C191)</f>
        <v>0</v>
      </c>
      <c r="Q191" s="85">
        <f>IF((SUM($D191:P191)+$B191/$C191)&gt;$B191,$B191-SUM($D191:P191),$B191/$C191)</f>
        <v>0</v>
      </c>
      <c r="R191" s="85">
        <f>IF((SUM($D191:Q191)+$B191/$C191)&gt;$B191,$B191-SUM($D191:Q191),$B191/$C191)</f>
        <v>0</v>
      </c>
      <c r="S191" s="85">
        <f>IF((SUM($D191:R191)+$B191/$C191)&gt;$B191,$B191-SUM($D191:R191),$B191/$C191)</f>
        <v>0</v>
      </c>
      <c r="T191" s="85">
        <f>IF((SUM($D191:S191)+$B191/$C191)&gt;$B191,$B191-SUM($D191:S191),$B191/$C191)</f>
        <v>0</v>
      </c>
      <c r="U191" s="85">
        <f>IF((SUM($D191:T191)+$B191/$C191)&gt;$B191,$B191-SUM($D191:T191),$B191/$C191)</f>
        <v>0</v>
      </c>
      <c r="V191" s="85">
        <f>IF((SUM($D191:U191)+$B191/$C191)&gt;$B191,$B191-SUM($D191:U191),$B191/$C191)</f>
        <v>0</v>
      </c>
      <c r="W191" s="85">
        <f>IF((SUM($D191:V191)+$B191/$C191)&gt;$B191,$B191-SUM($D191:V191),$B191/$C191)</f>
        <v>0</v>
      </c>
      <c r="X191" s="85">
        <f>IF((SUM($D191:W191)+$B191/$C191)&gt;$B191,$B191-SUM($D191:W191),$B191/$C191)</f>
        <v>0</v>
      </c>
      <c r="Y191" s="85">
        <f>IF((SUM($D191:X191)+$B191/$C191)&gt;$B191,$B191-SUM($D191:X191),$B191/$C191)</f>
        <v>0</v>
      </c>
      <c r="Z191" s="85">
        <f>IF((SUM($D191:Y191)+$B191/$C191)&gt;$B191,$B191-SUM($D191:Y191),$B191/$C191)</f>
        <v>0</v>
      </c>
      <c r="AA191" s="85">
        <f>IF((SUM($D191:Z191)+$B191/$C191)&gt;$B191,$B191-SUM($D191:Z191),$B191/$C191)</f>
        <v>0</v>
      </c>
    </row>
    <row r="192" spans="1:27" outlineLevel="1" x14ac:dyDescent="0.2">
      <c r="A192" s="462">
        <v>2010</v>
      </c>
      <c r="B192" s="464">
        <f>E$180</f>
        <v>3670.0541176541242</v>
      </c>
      <c r="C192" s="460">
        <f>IF('Data 2006-08'!C$34&lt;=A192,1,'Data 2006-08'!C$34-A192+0.5)</f>
        <v>3.5</v>
      </c>
      <c r="D192" s="473"/>
      <c r="E192" s="85">
        <f>IF($C192=1,$B192,$B192/2/$C192)</f>
        <v>524.29344537916063</v>
      </c>
      <c r="F192" s="85">
        <f>IF((SUM($D192:E192)+$B192/$C192)&gt;$B192,$B192-SUM($D192:E192),$B192/$C192)</f>
        <v>1048.5868907583213</v>
      </c>
      <c r="G192" s="85">
        <f>IF((SUM($D192:F192)+$B192/$C192)&gt;$B192,$B192-SUM($D192:F192),$B192/$C192)</f>
        <v>1048.5868907583213</v>
      </c>
      <c r="H192" s="85">
        <f>IF((SUM($D192:G192)+$B192/$C192)&gt;$B192,$B192-SUM($D192:G192),$B192/$C192)</f>
        <v>1048.5868907583213</v>
      </c>
      <c r="I192" s="85">
        <f>IF((SUM($D192:H192)+$B192/$C192)&gt;$B192,$B192-SUM($D192:H192),$B192/$C192)</f>
        <v>0</v>
      </c>
      <c r="J192" s="85">
        <f>IF((SUM($D192:I192)+$B192/$C192)&gt;$B192,$B192-SUM($D192:I192),$B192/$C192)</f>
        <v>0</v>
      </c>
      <c r="K192" s="85">
        <f>IF((SUM($D192:J192)+$B192/$C192)&gt;$B192,$B192-SUM($D192:J192),$B192/$C192)</f>
        <v>0</v>
      </c>
      <c r="L192" s="85">
        <f>IF((SUM($D192:K192)+$B192/$C192)&gt;$B192,$B192-SUM($D192:K192),$B192/$C192)</f>
        <v>0</v>
      </c>
      <c r="M192" s="85">
        <f>IF((SUM($D192:L192)+$B192/$C192)&gt;$B192,$B192-SUM($D192:L192),$B192/$C192)</f>
        <v>0</v>
      </c>
      <c r="N192" s="85">
        <f>IF((SUM($D192:M192)+$B192/$C192)&gt;$B192,$B192-SUM($D192:M192),$B192/$C192)</f>
        <v>0</v>
      </c>
      <c r="O192" s="85">
        <f>IF((SUM($D192:N192)+$B192/$C192)&gt;$B192,$B192-SUM($D192:N192),$B192/$C192)</f>
        <v>0</v>
      </c>
      <c r="P192" s="85">
        <f>IF((SUM($D192:O192)+$B192/$C192)&gt;$B192,$B192-SUM($D192:O192),$B192/$C192)</f>
        <v>0</v>
      </c>
      <c r="Q192" s="85">
        <f>IF((SUM($D192:P192)+$B192/$C192)&gt;$B192,$B192-SUM($D192:P192),$B192/$C192)</f>
        <v>0</v>
      </c>
      <c r="R192" s="85">
        <f>IF((SUM($D192:Q192)+$B192/$C192)&gt;$B192,$B192-SUM($D192:Q192),$B192/$C192)</f>
        <v>0</v>
      </c>
      <c r="S192" s="85">
        <f>IF((SUM($D192:R192)+$B192/$C192)&gt;$B192,$B192-SUM($D192:R192),$B192/$C192)</f>
        <v>0</v>
      </c>
      <c r="T192" s="85">
        <f>IF((SUM($D192:S192)+$B192/$C192)&gt;$B192,$B192-SUM($D192:S192),$B192/$C192)</f>
        <v>0</v>
      </c>
      <c r="U192" s="85">
        <f>IF((SUM($D192:T192)+$B192/$C192)&gt;$B192,$B192-SUM($D192:T192),$B192/$C192)</f>
        <v>0</v>
      </c>
      <c r="V192" s="85">
        <f>IF((SUM($D192:U192)+$B192/$C192)&gt;$B192,$B192-SUM($D192:U192),$B192/$C192)</f>
        <v>0</v>
      </c>
      <c r="W192" s="85">
        <f>IF((SUM($D192:V192)+$B192/$C192)&gt;$B192,$B192-SUM($D192:V192),$B192/$C192)</f>
        <v>0</v>
      </c>
      <c r="X192" s="85">
        <f>IF((SUM($D192:W192)+$B192/$C192)&gt;$B192,$B192-SUM($D192:W192),$B192/$C192)</f>
        <v>0</v>
      </c>
      <c r="Y192" s="85">
        <f>IF((SUM($D192:X192)+$B192/$C192)&gt;$B192,$B192-SUM($D192:X192),$B192/$C192)</f>
        <v>0</v>
      </c>
      <c r="Z192" s="85">
        <f>IF((SUM($D192:Y192)+$B192/$C192)&gt;$B192,$B192-SUM($D192:Y192),$B192/$C192)</f>
        <v>0</v>
      </c>
      <c r="AA192" s="85">
        <f>IF((SUM($D192:Z192)+$B192/$C192)&gt;$B192,$B192-SUM($D192:Z192),$B192/$C192)</f>
        <v>0</v>
      </c>
    </row>
    <row r="193" spans="1:27" outlineLevel="1" x14ac:dyDescent="0.2">
      <c r="A193" s="462">
        <v>2011</v>
      </c>
      <c r="B193" s="464">
        <f>F$180</f>
        <v>1449.8892054472012</v>
      </c>
      <c r="C193" s="460">
        <f>IF('Data 2006-08'!C$34&lt;=A193,1,'Data 2006-08'!C$34-A193+0.5)</f>
        <v>2.5</v>
      </c>
      <c r="D193" s="473"/>
      <c r="E193" s="473"/>
      <c r="F193" s="85">
        <f>IF($C193=1,$B193,$B193/2/$C193)</f>
        <v>289.97784108944023</v>
      </c>
      <c r="G193" s="85">
        <f>IF((SUM($D193:F193)+$B193/$C193)&gt;$B193,$B193-SUM($D193:F193),$B193/$C193)</f>
        <v>579.95568217888047</v>
      </c>
      <c r="H193" s="85">
        <f>IF((SUM($D193:G193)+$B193/$C193)&gt;$B193,$B193-SUM($D193:G193),$B193/$C193)</f>
        <v>579.95568217888047</v>
      </c>
      <c r="I193" s="85">
        <f>IF((SUM($D193:H193)+$B193/$C193)&gt;$B193,$B193-SUM($D193:H193),$B193/$C193)</f>
        <v>0</v>
      </c>
      <c r="J193" s="85">
        <f>IF((SUM($D193:I193)+$B193/$C193)&gt;$B193,$B193-SUM($D193:I193),$B193/$C193)</f>
        <v>0</v>
      </c>
      <c r="K193" s="85">
        <f>IF((SUM($D193:J193)+$B193/$C193)&gt;$B193,$B193-SUM($D193:J193),$B193/$C193)</f>
        <v>0</v>
      </c>
      <c r="L193" s="85">
        <f>IF((SUM($D193:K193)+$B193/$C193)&gt;$B193,$B193-SUM($D193:K193),$B193/$C193)</f>
        <v>0</v>
      </c>
      <c r="M193" s="85">
        <f>IF((SUM($D193:L193)+$B193/$C193)&gt;$B193,$B193-SUM($D193:L193),$B193/$C193)</f>
        <v>0</v>
      </c>
      <c r="N193" s="85">
        <f>IF((SUM($D193:M193)+$B193/$C193)&gt;$B193,$B193-SUM($D193:M193),$B193/$C193)</f>
        <v>0</v>
      </c>
      <c r="O193" s="85">
        <f>IF((SUM($D193:N193)+$B193/$C193)&gt;$B193,$B193-SUM($D193:N193),$B193/$C193)</f>
        <v>0</v>
      </c>
      <c r="P193" s="85">
        <f>IF((SUM($D193:O193)+$B193/$C193)&gt;$B193,$B193-SUM($D193:O193),$B193/$C193)</f>
        <v>0</v>
      </c>
      <c r="Q193" s="85">
        <f>IF((SUM($D193:P193)+$B193/$C193)&gt;$B193,$B193-SUM($D193:P193),$B193/$C193)</f>
        <v>0</v>
      </c>
      <c r="R193" s="85">
        <f>IF((SUM($D193:Q193)+$B193/$C193)&gt;$B193,$B193-SUM($D193:Q193),$B193/$C193)</f>
        <v>0</v>
      </c>
      <c r="S193" s="85">
        <f>IF((SUM($D193:R193)+$B193/$C193)&gt;$B193,$B193-SUM($D193:R193),$B193/$C193)</f>
        <v>0</v>
      </c>
      <c r="T193" s="85">
        <f>IF((SUM($D193:S193)+$B193/$C193)&gt;$B193,$B193-SUM($D193:S193),$B193/$C193)</f>
        <v>0</v>
      </c>
      <c r="U193" s="85">
        <f>IF((SUM($D193:T193)+$B193/$C193)&gt;$B193,$B193-SUM($D193:T193),$B193/$C193)</f>
        <v>0</v>
      </c>
      <c r="V193" s="85">
        <f>IF((SUM($D193:U193)+$B193/$C193)&gt;$B193,$B193-SUM($D193:U193),$B193/$C193)</f>
        <v>0</v>
      </c>
      <c r="W193" s="85">
        <f>IF((SUM($D193:V193)+$B193/$C193)&gt;$B193,$B193-SUM($D193:V193),$B193/$C193)</f>
        <v>0</v>
      </c>
      <c r="X193" s="85">
        <f>IF((SUM($D193:W193)+$B193/$C193)&gt;$B193,$B193-SUM($D193:W193),$B193/$C193)</f>
        <v>0</v>
      </c>
      <c r="Y193" s="85">
        <f>IF((SUM($D193:X193)+$B193/$C193)&gt;$B193,$B193-SUM($D193:X193),$B193/$C193)</f>
        <v>0</v>
      </c>
      <c r="Z193" s="85">
        <f>IF((SUM($D193:Y193)+$B193/$C193)&gt;$B193,$B193-SUM($D193:Y193),$B193/$C193)</f>
        <v>0</v>
      </c>
      <c r="AA193" s="85">
        <f>IF((SUM($D193:Z193)+$B193/$C193)&gt;$B193,$B193-SUM($D193:Z193),$B193/$C193)</f>
        <v>0</v>
      </c>
    </row>
    <row r="194" spans="1:27" outlineLevel="1" x14ac:dyDescent="0.2">
      <c r="A194" s="462">
        <v>2012</v>
      </c>
      <c r="B194" s="464">
        <f>G$180</f>
        <v>839.22847869565237</v>
      </c>
      <c r="C194" s="460">
        <f>IF('Data 2006-08'!C$34&lt;=A194,1,'Data 2006-08'!C$34-A194+0.5)</f>
        <v>1.5</v>
      </c>
      <c r="D194" s="473"/>
      <c r="E194" s="473"/>
      <c r="F194" s="473"/>
      <c r="G194" s="85">
        <f>IF($C194=1,$B194,$B194/2/$C194)</f>
        <v>279.74282623188412</v>
      </c>
      <c r="H194" s="85">
        <f>IF((SUM($D194:G194)+$B194/$C194)&gt;$B194,$B194-SUM($D194:G194),$B194/$C194)</f>
        <v>559.48565246376825</v>
      </c>
      <c r="I194" s="85">
        <f>IF((SUM($D194:H194)+$B194/$C194)&gt;$B194,$B194-SUM($D194:H194),$B194/$C194)</f>
        <v>0</v>
      </c>
      <c r="J194" s="85">
        <f>IF((SUM($D194:I194)+$B194/$C194)&gt;$B194,$B194-SUM($D194:I194),$B194/$C194)</f>
        <v>0</v>
      </c>
      <c r="K194" s="85">
        <f>IF((SUM($D194:J194)+$B194/$C194)&gt;$B194,$B194-SUM($D194:J194),$B194/$C194)</f>
        <v>0</v>
      </c>
      <c r="L194" s="85">
        <f>IF((SUM($D194:K194)+$B194/$C194)&gt;$B194,$B194-SUM($D194:K194),$B194/$C194)</f>
        <v>0</v>
      </c>
      <c r="M194" s="85">
        <f>IF((SUM($D194:L194)+$B194/$C194)&gt;$B194,$B194-SUM($D194:L194),$B194/$C194)</f>
        <v>0</v>
      </c>
      <c r="N194" s="85">
        <f>IF((SUM($D194:M194)+$B194/$C194)&gt;$B194,$B194-SUM($D194:M194),$B194/$C194)</f>
        <v>0</v>
      </c>
      <c r="O194" s="85">
        <f>IF((SUM($D194:N194)+$B194/$C194)&gt;$B194,$B194-SUM($D194:N194),$B194/$C194)</f>
        <v>0</v>
      </c>
      <c r="P194" s="85">
        <f>IF((SUM($D194:O194)+$B194/$C194)&gt;$B194,$B194-SUM($D194:O194),$B194/$C194)</f>
        <v>0</v>
      </c>
      <c r="Q194" s="85">
        <f>IF((SUM($D194:P194)+$B194/$C194)&gt;$B194,$B194-SUM($D194:P194),$B194/$C194)</f>
        <v>0</v>
      </c>
      <c r="R194" s="85">
        <f>IF((SUM($D194:Q194)+$B194/$C194)&gt;$B194,$B194-SUM($D194:Q194),$B194/$C194)</f>
        <v>0</v>
      </c>
      <c r="S194" s="85">
        <f>IF((SUM($D194:R194)+$B194/$C194)&gt;$B194,$B194-SUM($D194:R194),$B194/$C194)</f>
        <v>0</v>
      </c>
      <c r="T194" s="85">
        <f>IF((SUM($D194:S194)+$B194/$C194)&gt;$B194,$B194-SUM($D194:S194),$B194/$C194)</f>
        <v>0</v>
      </c>
      <c r="U194" s="85">
        <f>IF((SUM($D194:T194)+$B194/$C194)&gt;$B194,$B194-SUM($D194:T194),$B194/$C194)</f>
        <v>0</v>
      </c>
      <c r="V194" s="85">
        <f>IF((SUM($D194:U194)+$B194/$C194)&gt;$B194,$B194-SUM($D194:U194),$B194/$C194)</f>
        <v>0</v>
      </c>
      <c r="W194" s="85">
        <f>IF((SUM($D194:V194)+$B194/$C194)&gt;$B194,$B194-SUM($D194:V194),$B194/$C194)</f>
        <v>0</v>
      </c>
      <c r="X194" s="85">
        <f>IF((SUM($D194:W194)+$B194/$C194)&gt;$B194,$B194-SUM($D194:W194),$B194/$C194)</f>
        <v>0</v>
      </c>
      <c r="Y194" s="85">
        <f>IF((SUM($D194:X194)+$B194/$C194)&gt;$B194,$B194-SUM($D194:X194),$B194/$C194)</f>
        <v>0</v>
      </c>
      <c r="Z194" s="85">
        <f>IF((SUM($D194:Y194)+$B194/$C194)&gt;$B194,$B194-SUM($D194:Y194),$B194/$C194)</f>
        <v>0</v>
      </c>
      <c r="AA194" s="85">
        <f>IF((SUM($D194:Z194)+$B194/$C194)&gt;$B194,$B194-SUM($D194:Z194),$B194/$C194)</f>
        <v>0</v>
      </c>
    </row>
    <row r="195" spans="1:27" outlineLevel="1" x14ac:dyDescent="0.2">
      <c r="A195" s="462">
        <v>2013</v>
      </c>
      <c r="B195" s="464">
        <f>H$180</f>
        <v>81.80321129125025</v>
      </c>
      <c r="C195" s="460">
        <f>IF('Data 2006-08'!C$34&lt;=A195,1,'Data 2006-08'!C$34-A195+0.5)</f>
        <v>1</v>
      </c>
      <c r="D195" s="473"/>
      <c r="E195" s="473"/>
      <c r="F195" s="473"/>
      <c r="G195" s="473"/>
      <c r="H195" s="85">
        <f>IF($C195=1,$B195,$B195/2/$C195)</f>
        <v>81.80321129125025</v>
      </c>
      <c r="I195" s="85">
        <f>IF((SUM($D195:H195)+$B195/$C195)&gt;$B195,$B195-SUM($D195:H195),$B195/$C195)</f>
        <v>0</v>
      </c>
      <c r="J195" s="85">
        <f>IF((SUM($D195:I195)+$B195/$C195)&gt;$B195,$B195-SUM($D195:I195),$B195/$C195)</f>
        <v>0</v>
      </c>
      <c r="K195" s="85">
        <f>IF((SUM($D195:J195)+$B195/$C195)&gt;$B195,$B195-SUM($D195:J195),$B195/$C195)</f>
        <v>0</v>
      </c>
      <c r="L195" s="85">
        <f>IF((SUM($D195:K195)+$B195/$C195)&gt;$B195,$B195-SUM($D195:K195),$B195/$C195)</f>
        <v>0</v>
      </c>
      <c r="M195" s="85">
        <f>IF((SUM($D195:L195)+$B195/$C195)&gt;$B195,$B195-SUM($D195:L195),$B195/$C195)</f>
        <v>0</v>
      </c>
      <c r="N195" s="85">
        <f>IF((SUM($D195:M195)+$B195/$C195)&gt;$B195,$B195-SUM($D195:M195),$B195/$C195)</f>
        <v>0</v>
      </c>
      <c r="O195" s="85">
        <f>IF((SUM($D195:N195)+$B195/$C195)&gt;$B195,$B195-SUM($D195:N195),$B195/$C195)</f>
        <v>0</v>
      </c>
      <c r="P195" s="85">
        <f>IF((SUM($D195:O195)+$B195/$C195)&gt;$B195,$B195-SUM($D195:O195),$B195/$C195)</f>
        <v>0</v>
      </c>
      <c r="Q195" s="85">
        <f>IF((SUM($D195:P195)+$B195/$C195)&gt;$B195,$B195-SUM($D195:P195),$B195/$C195)</f>
        <v>0</v>
      </c>
      <c r="R195" s="85">
        <f>IF((SUM($D195:Q195)+$B195/$C195)&gt;$B195,$B195-SUM($D195:Q195),$B195/$C195)</f>
        <v>0</v>
      </c>
      <c r="S195" s="85">
        <f>IF((SUM($D195:R195)+$B195/$C195)&gt;$B195,$B195-SUM($D195:R195),$B195/$C195)</f>
        <v>0</v>
      </c>
      <c r="T195" s="85">
        <f>IF((SUM($D195:S195)+$B195/$C195)&gt;$B195,$B195-SUM($D195:S195),$B195/$C195)</f>
        <v>0</v>
      </c>
      <c r="U195" s="85">
        <f>IF((SUM($D195:T195)+$B195/$C195)&gt;$B195,$B195-SUM($D195:T195),$B195/$C195)</f>
        <v>0</v>
      </c>
      <c r="V195" s="85">
        <f>IF((SUM($D195:U195)+$B195/$C195)&gt;$B195,$B195-SUM($D195:U195),$B195/$C195)</f>
        <v>0</v>
      </c>
      <c r="W195" s="85">
        <f>IF((SUM($D195:V195)+$B195/$C195)&gt;$B195,$B195-SUM($D195:V195),$B195/$C195)</f>
        <v>0</v>
      </c>
      <c r="X195" s="85">
        <f>IF((SUM($D195:W195)+$B195/$C195)&gt;$B195,$B195-SUM($D195:W195),$B195/$C195)</f>
        <v>0</v>
      </c>
      <c r="Y195" s="85">
        <f>IF((SUM($D195:X195)+$B195/$C195)&gt;$B195,$B195-SUM($D195:X195),$B195/$C195)</f>
        <v>0</v>
      </c>
      <c r="Z195" s="85">
        <f>IF((SUM($D195:Y195)+$B195/$C195)&gt;$B195,$B195-SUM($D195:Y195),$B195/$C195)</f>
        <v>0</v>
      </c>
      <c r="AA195" s="85">
        <f>IF((SUM($D195:Z195)+$B195/$C195)&gt;$B195,$B195-SUM($D195:Z195),$B195/$C195)</f>
        <v>0</v>
      </c>
    </row>
    <row r="196" spans="1:27" outlineLevel="1" x14ac:dyDescent="0.2">
      <c r="A196" s="462">
        <v>2014</v>
      </c>
      <c r="B196" s="464">
        <f>I$180</f>
        <v>0</v>
      </c>
      <c r="C196" s="460">
        <f>IF('Data 2006-08'!C$34&lt;=A196,1,'Data 2006-08'!C$34-A196+0.5)</f>
        <v>1</v>
      </c>
      <c r="D196" s="473"/>
      <c r="E196" s="473"/>
      <c r="F196" s="473"/>
      <c r="G196" s="473"/>
      <c r="H196" s="473"/>
      <c r="I196" s="85">
        <f>IF($C196=1,$B196,$B196/2/$C196)</f>
        <v>0</v>
      </c>
      <c r="J196" s="85">
        <f>IF((SUM($D196:I196)+$B196/$C196)&gt;$B196,$B196-SUM($D196:I196),$B196/$C196)</f>
        <v>0</v>
      </c>
      <c r="K196" s="85">
        <f>IF((SUM($D196:J196)+$B196/$C196)&gt;$B196,$B196-SUM($D196:J196),$B196/$C196)</f>
        <v>0</v>
      </c>
      <c r="L196" s="85">
        <f>IF((SUM($D196:K196)+$B196/$C196)&gt;$B196,$B196-SUM($D196:K196),$B196/$C196)</f>
        <v>0</v>
      </c>
      <c r="M196" s="85">
        <f>IF((SUM($D196:L196)+$B196/$C196)&gt;$B196,$B196-SUM($D196:L196),$B196/$C196)</f>
        <v>0</v>
      </c>
      <c r="N196" s="85">
        <f>IF((SUM($D196:M196)+$B196/$C196)&gt;$B196,$B196-SUM($D196:M196),$B196/$C196)</f>
        <v>0</v>
      </c>
      <c r="O196" s="85">
        <f>IF((SUM($D196:N196)+$B196/$C196)&gt;$B196,$B196-SUM($D196:N196),$B196/$C196)</f>
        <v>0</v>
      </c>
      <c r="P196" s="85">
        <f>IF((SUM($D196:O196)+$B196/$C196)&gt;$B196,$B196-SUM($D196:O196),$B196/$C196)</f>
        <v>0</v>
      </c>
      <c r="Q196" s="85">
        <f>IF((SUM($D196:P196)+$B196/$C196)&gt;$B196,$B196-SUM($D196:P196),$B196/$C196)</f>
        <v>0</v>
      </c>
      <c r="R196" s="85">
        <f>IF((SUM($D196:Q196)+$B196/$C196)&gt;$B196,$B196-SUM($D196:Q196),$B196/$C196)</f>
        <v>0</v>
      </c>
      <c r="S196" s="85">
        <f>IF((SUM($D196:R196)+$B196/$C196)&gt;$B196,$B196-SUM($D196:R196),$B196/$C196)</f>
        <v>0</v>
      </c>
      <c r="T196" s="85">
        <f>IF((SUM($D196:S196)+$B196/$C196)&gt;$B196,$B196-SUM($D196:S196),$B196/$C196)</f>
        <v>0</v>
      </c>
      <c r="U196" s="85">
        <f>IF((SUM($D196:T196)+$B196/$C196)&gt;$B196,$B196-SUM($D196:T196),$B196/$C196)</f>
        <v>0</v>
      </c>
      <c r="V196" s="85">
        <f>IF((SUM($D196:U196)+$B196/$C196)&gt;$B196,$B196-SUM($D196:U196),$B196/$C196)</f>
        <v>0</v>
      </c>
      <c r="W196" s="85">
        <f>IF((SUM($D196:V196)+$B196/$C196)&gt;$B196,$B196-SUM($D196:V196),$B196/$C196)</f>
        <v>0</v>
      </c>
      <c r="X196" s="85">
        <f>IF((SUM($D196:W196)+$B196/$C196)&gt;$B196,$B196-SUM($D196:W196),$B196/$C196)</f>
        <v>0</v>
      </c>
      <c r="Y196" s="85">
        <f>IF((SUM($D196:X196)+$B196/$C196)&gt;$B196,$B196-SUM($D196:X196),$B196/$C196)</f>
        <v>0</v>
      </c>
      <c r="Z196" s="85">
        <f>IF((SUM($D196:Y196)+$B196/$C196)&gt;$B196,$B196-SUM($D196:Y196),$B196/$C196)</f>
        <v>0</v>
      </c>
      <c r="AA196" s="85">
        <f>IF((SUM($D196:Z196)+$B196/$C196)&gt;$B196,$B196-SUM($D196:Z196),$B196/$C196)</f>
        <v>0</v>
      </c>
    </row>
    <row r="197" spans="1:27" outlineLevel="1" x14ac:dyDescent="0.2">
      <c r="A197" s="462">
        <v>2015</v>
      </c>
      <c r="B197" s="464">
        <f>J$180</f>
        <v>0</v>
      </c>
      <c r="C197" s="460">
        <f>IF('Data 2006-08'!C$34&lt;=A197,1,'Data 2006-08'!C$34-A197+0.5)</f>
        <v>1</v>
      </c>
      <c r="D197" s="473"/>
      <c r="E197" s="473"/>
      <c r="F197" s="473"/>
      <c r="G197" s="473"/>
      <c r="H197" s="473"/>
      <c r="I197" s="473"/>
      <c r="J197" s="85">
        <f>IF($C197=1,$B197,$B197/2/$C197)</f>
        <v>0</v>
      </c>
      <c r="K197" s="85">
        <f>IF((SUM($D197:J197)+$B197/$C197)&gt;$B197,$B197-SUM($D197:J197),$B197/$C197)</f>
        <v>0</v>
      </c>
      <c r="L197" s="85">
        <f>IF((SUM($D197:K197)+$B197/$C197)&gt;$B197,$B197-SUM($D197:K197),$B197/$C197)</f>
        <v>0</v>
      </c>
      <c r="M197" s="85">
        <f>IF((SUM($D197:L197)+$B197/$C197)&gt;$B197,$B197-SUM($D197:L197),$B197/$C197)</f>
        <v>0</v>
      </c>
      <c r="N197" s="85">
        <f>IF((SUM($D197:M197)+$B197/$C197)&gt;$B197,$B197-SUM($D197:M197),$B197/$C197)</f>
        <v>0</v>
      </c>
      <c r="O197" s="85">
        <f>IF((SUM($D197:N197)+$B197/$C197)&gt;$B197,$B197-SUM($D197:N197),$B197/$C197)</f>
        <v>0</v>
      </c>
      <c r="P197" s="85">
        <f>IF((SUM($D197:O197)+$B197/$C197)&gt;$B197,$B197-SUM($D197:O197),$B197/$C197)</f>
        <v>0</v>
      </c>
      <c r="Q197" s="85">
        <f>IF((SUM($D197:P197)+$B197/$C197)&gt;$B197,$B197-SUM($D197:P197),$B197/$C197)</f>
        <v>0</v>
      </c>
      <c r="R197" s="85">
        <f>IF((SUM($D197:Q197)+$B197/$C197)&gt;$B197,$B197-SUM($D197:Q197),$B197/$C197)</f>
        <v>0</v>
      </c>
      <c r="S197" s="85">
        <f>IF((SUM($D197:R197)+$B197/$C197)&gt;$B197,$B197-SUM($D197:R197),$B197/$C197)</f>
        <v>0</v>
      </c>
      <c r="T197" s="85">
        <f>IF((SUM($D197:S197)+$B197/$C197)&gt;$B197,$B197-SUM($D197:S197),$B197/$C197)</f>
        <v>0</v>
      </c>
      <c r="U197" s="85">
        <f>IF((SUM($D197:T197)+$B197/$C197)&gt;$B197,$B197-SUM($D197:T197),$B197/$C197)</f>
        <v>0</v>
      </c>
      <c r="V197" s="85">
        <f>IF((SUM($D197:U197)+$B197/$C197)&gt;$B197,$B197-SUM($D197:U197),$B197/$C197)</f>
        <v>0</v>
      </c>
      <c r="W197" s="85">
        <f>IF((SUM($D197:V197)+$B197/$C197)&gt;$B197,$B197-SUM($D197:V197),$B197/$C197)</f>
        <v>0</v>
      </c>
      <c r="X197" s="85">
        <f>IF((SUM($D197:W197)+$B197/$C197)&gt;$B197,$B197-SUM($D197:W197),$B197/$C197)</f>
        <v>0</v>
      </c>
      <c r="Y197" s="85">
        <f>IF((SUM($D197:X197)+$B197/$C197)&gt;$B197,$B197-SUM($D197:X197),$B197/$C197)</f>
        <v>0</v>
      </c>
      <c r="Z197" s="85">
        <f>IF((SUM($D197:Y197)+$B197/$C197)&gt;$B197,$B197-SUM($D197:Y197),$B197/$C197)</f>
        <v>0</v>
      </c>
      <c r="AA197" s="85">
        <f>IF((SUM($D197:Z197)+$B197/$C197)&gt;$B197,$B197-SUM($D197:Z197),$B197/$C197)</f>
        <v>0</v>
      </c>
    </row>
    <row r="198" spans="1:27" s="462" customFormat="1" outlineLevel="1" x14ac:dyDescent="0.2">
      <c r="B198" s="465">
        <f>SUM(B191:B197)</f>
        <v>10358.394505576403</v>
      </c>
      <c r="D198" s="694">
        <f t="shared" ref="D198:AA198" si="66">SUM(D191:D197)</f>
        <v>479.71327694313072</v>
      </c>
      <c r="E198" s="694">
        <f t="shared" si="66"/>
        <v>1483.7199992654221</v>
      </c>
      <c r="F198" s="694">
        <f t="shared" si="66"/>
        <v>2297.9912857340228</v>
      </c>
      <c r="G198" s="694">
        <f t="shared" si="66"/>
        <v>2867.7119530553473</v>
      </c>
      <c r="H198" s="694">
        <f t="shared" si="66"/>
        <v>3229.2579905784819</v>
      </c>
      <c r="I198" s="694">
        <f t="shared" si="66"/>
        <v>0</v>
      </c>
      <c r="J198" s="694">
        <f t="shared" si="66"/>
        <v>0</v>
      </c>
      <c r="K198" s="694">
        <f t="shared" si="66"/>
        <v>0</v>
      </c>
      <c r="L198" s="694">
        <f t="shared" si="66"/>
        <v>0</v>
      </c>
      <c r="M198" s="694">
        <f t="shared" si="66"/>
        <v>0</v>
      </c>
      <c r="N198" s="694">
        <f t="shared" si="66"/>
        <v>0</v>
      </c>
      <c r="O198" s="694">
        <f t="shared" si="66"/>
        <v>0</v>
      </c>
      <c r="P198" s="694">
        <f t="shared" si="66"/>
        <v>0</v>
      </c>
      <c r="Q198" s="694">
        <f t="shared" si="66"/>
        <v>0</v>
      </c>
      <c r="R198" s="694">
        <f t="shared" si="66"/>
        <v>0</v>
      </c>
      <c r="S198" s="694">
        <f t="shared" si="66"/>
        <v>0</v>
      </c>
      <c r="T198" s="694">
        <f t="shared" si="66"/>
        <v>0</v>
      </c>
      <c r="U198" s="694">
        <f t="shared" si="66"/>
        <v>0</v>
      </c>
      <c r="V198" s="694">
        <f t="shared" si="66"/>
        <v>0</v>
      </c>
      <c r="W198" s="694">
        <f t="shared" si="66"/>
        <v>0</v>
      </c>
      <c r="X198" s="694">
        <f t="shared" si="66"/>
        <v>0</v>
      </c>
      <c r="Y198" s="694">
        <f t="shared" si="66"/>
        <v>0</v>
      </c>
      <c r="Z198" s="694">
        <f t="shared" si="66"/>
        <v>0</v>
      </c>
      <c r="AA198" s="694">
        <f t="shared" si="66"/>
        <v>0</v>
      </c>
    </row>
    <row r="199" spans="1:27" outlineLevel="1" x14ac:dyDescent="0.2">
      <c r="A199" s="83"/>
      <c r="B199" s="83"/>
      <c r="C199" s="83"/>
      <c r="D199" s="83"/>
      <c r="F199" s="89"/>
      <c r="G199" s="83"/>
      <c r="H199" s="83"/>
      <c r="I199" s="83"/>
      <c r="J199" s="459"/>
    </row>
    <row r="200" spans="1:27" outlineLevel="1" x14ac:dyDescent="0.2">
      <c r="A200" s="83"/>
      <c r="B200" s="83"/>
      <c r="C200" s="83"/>
      <c r="D200" s="83"/>
      <c r="F200" s="89"/>
      <c r="G200" s="83"/>
      <c r="H200" s="83"/>
      <c r="I200" s="83"/>
      <c r="J200" s="459"/>
    </row>
    <row r="201" spans="1:27" outlineLevel="1" x14ac:dyDescent="0.2">
      <c r="A201" s="344" t="s">
        <v>267</v>
      </c>
      <c r="B201" s="466" t="s">
        <v>332</v>
      </c>
      <c r="C201" s="307" t="s">
        <v>7</v>
      </c>
      <c r="D201" s="461">
        <f>D$4</f>
        <v>2009</v>
      </c>
      <c r="E201" s="461">
        <f t="shared" ref="E201:AA201" si="67">E$4</f>
        <v>2010</v>
      </c>
      <c r="F201" s="461">
        <f t="shared" si="67"/>
        <v>2011</v>
      </c>
      <c r="G201" s="461">
        <f t="shared" si="67"/>
        <v>2012</v>
      </c>
      <c r="H201" s="461">
        <f t="shared" si="67"/>
        <v>2013</v>
      </c>
      <c r="I201" s="461">
        <f t="shared" si="67"/>
        <v>2014</v>
      </c>
      <c r="J201" s="461">
        <f t="shared" si="67"/>
        <v>2015</v>
      </c>
      <c r="K201" s="461">
        <f t="shared" si="67"/>
        <v>2016</v>
      </c>
      <c r="L201" s="461">
        <f t="shared" si="67"/>
        <v>2017</v>
      </c>
      <c r="M201" s="461">
        <f t="shared" si="67"/>
        <v>2018</v>
      </c>
      <c r="N201" s="461">
        <f t="shared" si="67"/>
        <v>2019</v>
      </c>
      <c r="O201" s="461">
        <f t="shared" si="67"/>
        <v>2020</v>
      </c>
      <c r="P201" s="461">
        <f t="shared" si="67"/>
        <v>2021</v>
      </c>
      <c r="Q201" s="461">
        <f t="shared" si="67"/>
        <v>2022</v>
      </c>
      <c r="R201" s="461">
        <f t="shared" si="67"/>
        <v>2023</v>
      </c>
      <c r="S201" s="461">
        <f t="shared" si="67"/>
        <v>2024</v>
      </c>
      <c r="T201" s="461">
        <f t="shared" si="67"/>
        <v>2025</v>
      </c>
      <c r="U201" s="461">
        <f t="shared" si="67"/>
        <v>2026</v>
      </c>
      <c r="V201" s="461">
        <f t="shared" si="67"/>
        <v>2027</v>
      </c>
      <c r="W201" s="461">
        <f t="shared" si="67"/>
        <v>2028</v>
      </c>
      <c r="X201" s="461">
        <f t="shared" si="67"/>
        <v>2029</v>
      </c>
      <c r="Y201" s="461">
        <f t="shared" si="67"/>
        <v>2030</v>
      </c>
      <c r="Z201" s="461">
        <f t="shared" si="67"/>
        <v>2031</v>
      </c>
      <c r="AA201" s="461">
        <f t="shared" si="67"/>
        <v>2032</v>
      </c>
    </row>
    <row r="202" spans="1:27" outlineLevel="1" x14ac:dyDescent="0.2">
      <c r="A202" s="344" t="str">
        <f>$A$4</f>
        <v>($000 Real 2008)</v>
      </c>
      <c r="B202" s="467" t="s">
        <v>333</v>
      </c>
      <c r="C202" s="468" t="s">
        <v>329</v>
      </c>
      <c r="D202" s="453"/>
      <c r="E202" s="453"/>
      <c r="F202" s="453"/>
      <c r="G202" s="453"/>
      <c r="H202" s="453"/>
      <c r="I202" s="453"/>
      <c r="J202" s="453"/>
      <c r="K202" s="453"/>
      <c r="L202" s="453"/>
      <c r="M202" s="453"/>
      <c r="N202" s="453"/>
      <c r="O202" s="453"/>
      <c r="P202" s="453"/>
      <c r="Q202" s="453"/>
      <c r="R202" s="453"/>
      <c r="S202" s="453"/>
      <c r="T202" s="453"/>
      <c r="U202" s="453"/>
      <c r="V202" s="453"/>
      <c r="W202" s="453"/>
      <c r="X202" s="453"/>
      <c r="Y202" s="453"/>
      <c r="Z202" s="453"/>
      <c r="AA202" s="453"/>
    </row>
    <row r="203" spans="1:27" outlineLevel="1" x14ac:dyDescent="0.2">
      <c r="A203" s="462">
        <v>2009</v>
      </c>
      <c r="B203" s="464">
        <f>D$181</f>
        <v>3952.1763002733569</v>
      </c>
      <c r="C203" s="460">
        <f>IF('Data 2006-08'!C$34&lt;=A203,1,'Data 2006-08'!C$34-A203+0.5)</f>
        <v>4.5</v>
      </c>
      <c r="D203" s="85">
        <f>IF($C203=1,$B203,$B203/2/$C203)</f>
        <v>439.13070003037296</v>
      </c>
      <c r="E203" s="85">
        <f>IF((SUM($D203:D203)+$B203/$C203)&gt;$B203,$B203-SUM($D203:D203),$B203/$C203)</f>
        <v>878.26140006074593</v>
      </c>
      <c r="F203" s="85">
        <f>IF((SUM($D203:E203)+$B203/$C203)&gt;$B203,$B203-SUM($D203:E203),$B203/$C203)</f>
        <v>878.26140006074593</v>
      </c>
      <c r="G203" s="85">
        <f>IF((SUM($D203:F203)+$B203/$C203)&gt;$B203,$B203-SUM($D203:F203),$B203/$C203)</f>
        <v>878.26140006074593</v>
      </c>
      <c r="H203" s="85">
        <f>IF((SUM($D203:G203)+$B203/$C203)&gt;$B203,$B203-SUM($D203:G203),$B203/$C203)</f>
        <v>878.26140006074593</v>
      </c>
      <c r="I203" s="85">
        <f>IF((SUM($D203:H203)+$B203/$C203)&gt;$B203,$B203-SUM($D203:H203),$B203/$C203)</f>
        <v>0</v>
      </c>
      <c r="J203" s="85">
        <f>IF((SUM($D203:I203)+$B203/$C203)&gt;$B203,$B203-SUM($D203:I203),$B203/$C203)</f>
        <v>0</v>
      </c>
      <c r="K203" s="85">
        <f>IF((SUM($D203:J203)+$B203/$C203)&gt;$B203,$B203-SUM($D203:J203),$B203/$C203)</f>
        <v>0</v>
      </c>
      <c r="L203" s="85">
        <f>IF((SUM($D203:K203)+$B203/$C203)&gt;$B203,$B203-SUM($D203:K203),$B203/$C203)</f>
        <v>0</v>
      </c>
      <c r="M203" s="85">
        <f>IF((SUM($D203:L203)+$B203/$C203)&gt;$B203,$B203-SUM($D203:L203),$B203/$C203)</f>
        <v>0</v>
      </c>
      <c r="N203" s="85">
        <f>IF((SUM($D203:M203)+$B203/$C203)&gt;$B203,$B203-SUM($D203:M203),$B203/$C203)</f>
        <v>0</v>
      </c>
      <c r="O203" s="85">
        <f>IF((SUM($D203:N203)+$B203/$C203)&gt;$B203,$B203-SUM($D203:N203),$B203/$C203)</f>
        <v>0</v>
      </c>
      <c r="P203" s="85">
        <f>IF((SUM($D203:O203)+$B203/$C203)&gt;$B203,$B203-SUM($D203:O203),$B203/$C203)</f>
        <v>0</v>
      </c>
      <c r="Q203" s="85">
        <f>IF((SUM($D203:P203)+$B203/$C203)&gt;$B203,$B203-SUM($D203:P203),$B203/$C203)</f>
        <v>0</v>
      </c>
      <c r="R203" s="85">
        <f>IF((SUM($D203:Q203)+$B203/$C203)&gt;$B203,$B203-SUM($D203:Q203),$B203/$C203)</f>
        <v>0</v>
      </c>
      <c r="S203" s="85">
        <f>IF((SUM($D203:R203)+$B203/$C203)&gt;$B203,$B203-SUM($D203:R203),$B203/$C203)</f>
        <v>0</v>
      </c>
      <c r="T203" s="85">
        <f>IF((SUM($D203:S203)+$B203/$C203)&gt;$B203,$B203-SUM($D203:S203),$B203/$C203)</f>
        <v>0</v>
      </c>
      <c r="U203" s="85">
        <f>IF((SUM($D203:T203)+$B203/$C203)&gt;$B203,$B203-SUM($D203:T203),$B203/$C203)</f>
        <v>0</v>
      </c>
      <c r="V203" s="85">
        <f>IF((SUM($D203:U203)+$B203/$C203)&gt;$B203,$B203-SUM($D203:U203),$B203/$C203)</f>
        <v>0</v>
      </c>
      <c r="W203" s="85">
        <f>IF((SUM($D203:V203)+$B203/$C203)&gt;$B203,$B203-SUM($D203:V203),$B203/$C203)</f>
        <v>0</v>
      </c>
      <c r="X203" s="85">
        <f>IF((SUM($D203:W203)+$B203/$C203)&gt;$B203,$B203-SUM($D203:W203),$B203/$C203)</f>
        <v>0</v>
      </c>
      <c r="Y203" s="85">
        <f>IF((SUM($D203:X203)+$B203/$C203)&gt;$B203,$B203-SUM($D203:X203),$B203/$C203)</f>
        <v>0</v>
      </c>
      <c r="Z203" s="85">
        <f>IF((SUM($D203:Y203)+$B203/$C203)&gt;$B203,$B203-SUM($D203:Y203),$B203/$C203)</f>
        <v>0</v>
      </c>
      <c r="AA203" s="85">
        <f>IF((SUM($D203:Z203)+$B203/$C203)&gt;$B203,$B203-SUM($D203:Z203),$B203/$C203)</f>
        <v>0</v>
      </c>
    </row>
    <row r="204" spans="1:27" outlineLevel="1" x14ac:dyDescent="0.2">
      <c r="A204" s="462">
        <v>2010</v>
      </c>
      <c r="B204" s="464">
        <f>E$181</f>
        <v>4532.0700719376491</v>
      </c>
      <c r="C204" s="460">
        <f>IF('Data 2006-08'!C$34&lt;=A204,1,'Data 2006-08'!C$34-A204+0.5)</f>
        <v>3.5</v>
      </c>
      <c r="D204" s="473"/>
      <c r="E204" s="85">
        <f>IF($C204=1,$B204,$B204/2/$C204)</f>
        <v>647.4385817053784</v>
      </c>
      <c r="F204" s="85">
        <f>IF((SUM($D204:E204)+$B204/$C204)&gt;$B204,$B204-SUM($D204:E204),$B204/$C204)</f>
        <v>1294.8771634107568</v>
      </c>
      <c r="G204" s="85">
        <f>IF((SUM($D204:F204)+$B204/$C204)&gt;$B204,$B204-SUM($D204:F204),$B204/$C204)</f>
        <v>1294.8771634107568</v>
      </c>
      <c r="H204" s="85">
        <f>IF((SUM($D204:G204)+$B204/$C204)&gt;$B204,$B204-SUM($D204:G204),$B204/$C204)</f>
        <v>1294.8771634107568</v>
      </c>
      <c r="I204" s="85">
        <f>IF((SUM($D204:H204)+$B204/$C204)&gt;$B204,$B204-SUM($D204:H204),$B204/$C204)</f>
        <v>0</v>
      </c>
      <c r="J204" s="85">
        <f>IF((SUM($D204:I204)+$B204/$C204)&gt;$B204,$B204-SUM($D204:I204),$B204/$C204)</f>
        <v>0</v>
      </c>
      <c r="K204" s="85">
        <f>IF((SUM($D204:J204)+$B204/$C204)&gt;$B204,$B204-SUM($D204:J204),$B204/$C204)</f>
        <v>0</v>
      </c>
      <c r="L204" s="85">
        <f>IF((SUM($D204:K204)+$B204/$C204)&gt;$B204,$B204-SUM($D204:K204),$B204/$C204)</f>
        <v>0</v>
      </c>
      <c r="M204" s="85">
        <f>IF((SUM($D204:L204)+$B204/$C204)&gt;$B204,$B204-SUM($D204:L204),$B204/$C204)</f>
        <v>0</v>
      </c>
      <c r="N204" s="85">
        <f>IF((SUM($D204:M204)+$B204/$C204)&gt;$B204,$B204-SUM($D204:M204),$B204/$C204)</f>
        <v>0</v>
      </c>
      <c r="O204" s="85">
        <f>IF((SUM($D204:N204)+$B204/$C204)&gt;$B204,$B204-SUM($D204:N204),$B204/$C204)</f>
        <v>0</v>
      </c>
      <c r="P204" s="85">
        <f>IF((SUM($D204:O204)+$B204/$C204)&gt;$B204,$B204-SUM($D204:O204),$B204/$C204)</f>
        <v>0</v>
      </c>
      <c r="Q204" s="85">
        <f>IF((SUM($D204:P204)+$B204/$C204)&gt;$B204,$B204-SUM($D204:P204),$B204/$C204)</f>
        <v>0</v>
      </c>
      <c r="R204" s="85">
        <f>IF((SUM($D204:Q204)+$B204/$C204)&gt;$B204,$B204-SUM($D204:Q204),$B204/$C204)</f>
        <v>0</v>
      </c>
      <c r="S204" s="85">
        <f>IF((SUM($D204:R204)+$B204/$C204)&gt;$B204,$B204-SUM($D204:R204),$B204/$C204)</f>
        <v>0</v>
      </c>
      <c r="T204" s="85">
        <f>IF((SUM($D204:S204)+$B204/$C204)&gt;$B204,$B204-SUM($D204:S204),$B204/$C204)</f>
        <v>0</v>
      </c>
      <c r="U204" s="85">
        <f>IF((SUM($D204:T204)+$B204/$C204)&gt;$B204,$B204-SUM($D204:T204),$B204/$C204)</f>
        <v>0</v>
      </c>
      <c r="V204" s="85">
        <f>IF((SUM($D204:U204)+$B204/$C204)&gt;$B204,$B204-SUM($D204:U204),$B204/$C204)</f>
        <v>0</v>
      </c>
      <c r="W204" s="85">
        <f>IF((SUM($D204:V204)+$B204/$C204)&gt;$B204,$B204-SUM($D204:V204),$B204/$C204)</f>
        <v>0</v>
      </c>
      <c r="X204" s="85">
        <f>IF((SUM($D204:W204)+$B204/$C204)&gt;$B204,$B204-SUM($D204:W204),$B204/$C204)</f>
        <v>0</v>
      </c>
      <c r="Y204" s="85">
        <f>IF((SUM($D204:X204)+$B204/$C204)&gt;$B204,$B204-SUM($D204:X204),$B204/$C204)</f>
        <v>0</v>
      </c>
      <c r="Z204" s="85">
        <f>IF((SUM($D204:Y204)+$B204/$C204)&gt;$B204,$B204-SUM($D204:Y204),$B204/$C204)</f>
        <v>0</v>
      </c>
      <c r="AA204" s="85">
        <f>IF((SUM($D204:Z204)+$B204/$C204)&gt;$B204,$B204-SUM($D204:Z204),$B204/$C204)</f>
        <v>0</v>
      </c>
    </row>
    <row r="205" spans="1:27" outlineLevel="1" x14ac:dyDescent="0.2">
      <c r="A205" s="462">
        <v>2011</v>
      </c>
      <c r="B205" s="464">
        <f>F$181</f>
        <v>696.21917755337563</v>
      </c>
      <c r="C205" s="460">
        <f>IF('Data 2006-08'!C$34&lt;=A205,1,'Data 2006-08'!C$34-A205+0.5)</f>
        <v>2.5</v>
      </c>
      <c r="D205" s="473"/>
      <c r="E205" s="473"/>
      <c r="F205" s="85">
        <f>IF($C205=1,$B205,$B205/2/$C205)</f>
        <v>139.24383551067513</v>
      </c>
      <c r="G205" s="85">
        <f>IF((SUM($D205:F205)+$B205/$C205)&gt;$B205,$B205-SUM($D205:F205),$B205/$C205)</f>
        <v>278.48767102135025</v>
      </c>
      <c r="H205" s="85">
        <f>IF((SUM($D205:G205)+$B205/$C205)&gt;$B205,$B205-SUM($D205:G205),$B205/$C205)</f>
        <v>278.48767102135025</v>
      </c>
      <c r="I205" s="85">
        <f>IF((SUM($D205:H205)+$B205/$C205)&gt;$B205,$B205-SUM($D205:H205),$B205/$C205)</f>
        <v>0</v>
      </c>
      <c r="J205" s="85">
        <f>IF((SUM($D205:I205)+$B205/$C205)&gt;$B205,$B205-SUM($D205:I205),$B205/$C205)</f>
        <v>0</v>
      </c>
      <c r="K205" s="85">
        <f>IF((SUM($D205:J205)+$B205/$C205)&gt;$B205,$B205-SUM($D205:J205),$B205/$C205)</f>
        <v>0</v>
      </c>
      <c r="L205" s="85">
        <f>IF((SUM($D205:K205)+$B205/$C205)&gt;$B205,$B205-SUM($D205:K205),$B205/$C205)</f>
        <v>0</v>
      </c>
      <c r="M205" s="85">
        <f>IF((SUM($D205:L205)+$B205/$C205)&gt;$B205,$B205-SUM($D205:L205),$B205/$C205)</f>
        <v>0</v>
      </c>
      <c r="N205" s="85">
        <f>IF((SUM($D205:M205)+$B205/$C205)&gt;$B205,$B205-SUM($D205:M205),$B205/$C205)</f>
        <v>0</v>
      </c>
      <c r="O205" s="85">
        <f>IF((SUM($D205:N205)+$B205/$C205)&gt;$B205,$B205-SUM($D205:N205),$B205/$C205)</f>
        <v>0</v>
      </c>
      <c r="P205" s="85">
        <f>IF((SUM($D205:O205)+$B205/$C205)&gt;$B205,$B205-SUM($D205:O205),$B205/$C205)</f>
        <v>0</v>
      </c>
      <c r="Q205" s="85">
        <f>IF((SUM($D205:P205)+$B205/$C205)&gt;$B205,$B205-SUM($D205:P205),$B205/$C205)</f>
        <v>0</v>
      </c>
      <c r="R205" s="85">
        <f>IF((SUM($D205:Q205)+$B205/$C205)&gt;$B205,$B205-SUM($D205:Q205),$B205/$C205)</f>
        <v>0</v>
      </c>
      <c r="S205" s="85">
        <f>IF((SUM($D205:R205)+$B205/$C205)&gt;$B205,$B205-SUM($D205:R205),$B205/$C205)</f>
        <v>0</v>
      </c>
      <c r="T205" s="85">
        <f>IF((SUM($D205:S205)+$B205/$C205)&gt;$B205,$B205-SUM($D205:S205),$B205/$C205)</f>
        <v>0</v>
      </c>
      <c r="U205" s="85">
        <f>IF((SUM($D205:T205)+$B205/$C205)&gt;$B205,$B205-SUM($D205:T205),$B205/$C205)</f>
        <v>0</v>
      </c>
      <c r="V205" s="85">
        <f>IF((SUM($D205:U205)+$B205/$C205)&gt;$B205,$B205-SUM($D205:U205),$B205/$C205)</f>
        <v>0</v>
      </c>
      <c r="W205" s="85">
        <f>IF((SUM($D205:V205)+$B205/$C205)&gt;$B205,$B205-SUM($D205:V205),$B205/$C205)</f>
        <v>0</v>
      </c>
      <c r="X205" s="85">
        <f>IF((SUM($D205:W205)+$B205/$C205)&gt;$B205,$B205-SUM($D205:W205),$B205/$C205)</f>
        <v>0</v>
      </c>
      <c r="Y205" s="85">
        <f>IF((SUM($D205:X205)+$B205/$C205)&gt;$B205,$B205-SUM($D205:X205),$B205/$C205)</f>
        <v>0</v>
      </c>
      <c r="Z205" s="85">
        <f>IF((SUM($D205:Y205)+$B205/$C205)&gt;$B205,$B205-SUM($D205:Y205),$B205/$C205)</f>
        <v>0</v>
      </c>
      <c r="AA205" s="85">
        <f>IF((SUM($D205:Z205)+$B205/$C205)&gt;$B205,$B205-SUM($D205:Z205),$B205/$C205)</f>
        <v>0</v>
      </c>
    </row>
    <row r="206" spans="1:27" outlineLevel="1" x14ac:dyDescent="0.2">
      <c r="A206" s="462">
        <v>2012</v>
      </c>
      <c r="B206" s="464">
        <f>G$181</f>
        <v>141.54517797101448</v>
      </c>
      <c r="C206" s="460">
        <f>IF('Data 2006-08'!C$34&lt;=A206,1,'Data 2006-08'!C$34-A206+0.5)</f>
        <v>1.5</v>
      </c>
      <c r="D206" s="473"/>
      <c r="E206" s="473"/>
      <c r="F206" s="473"/>
      <c r="G206" s="85">
        <f>IF($C206=1,$B206,$B206/2/$C206)</f>
        <v>47.181725990338158</v>
      </c>
      <c r="H206" s="85">
        <f>IF((SUM($D206:G206)+$B206/$C206)&gt;$B206,$B206-SUM($D206:G206),$B206/$C206)</f>
        <v>94.363451980676317</v>
      </c>
      <c r="I206" s="85">
        <f>IF((SUM($D206:H206)+$B206/$C206)&gt;$B206,$B206-SUM($D206:H206),$B206/$C206)</f>
        <v>0</v>
      </c>
      <c r="J206" s="85">
        <f>IF((SUM($D206:I206)+$B206/$C206)&gt;$B206,$B206-SUM($D206:I206),$B206/$C206)</f>
        <v>0</v>
      </c>
      <c r="K206" s="85">
        <f>IF((SUM($D206:J206)+$B206/$C206)&gt;$B206,$B206-SUM($D206:J206),$B206/$C206)</f>
        <v>0</v>
      </c>
      <c r="L206" s="85">
        <f>IF((SUM($D206:K206)+$B206/$C206)&gt;$B206,$B206-SUM($D206:K206),$B206/$C206)</f>
        <v>0</v>
      </c>
      <c r="M206" s="85">
        <f>IF((SUM($D206:L206)+$B206/$C206)&gt;$B206,$B206-SUM($D206:L206),$B206/$C206)</f>
        <v>0</v>
      </c>
      <c r="N206" s="85">
        <f>IF((SUM($D206:M206)+$B206/$C206)&gt;$B206,$B206-SUM($D206:M206),$B206/$C206)</f>
        <v>0</v>
      </c>
      <c r="O206" s="85">
        <f>IF((SUM($D206:N206)+$B206/$C206)&gt;$B206,$B206-SUM($D206:N206),$B206/$C206)</f>
        <v>0</v>
      </c>
      <c r="P206" s="85">
        <f>IF((SUM($D206:O206)+$B206/$C206)&gt;$B206,$B206-SUM($D206:O206),$B206/$C206)</f>
        <v>0</v>
      </c>
      <c r="Q206" s="85">
        <f>IF((SUM($D206:P206)+$B206/$C206)&gt;$B206,$B206-SUM($D206:P206),$B206/$C206)</f>
        <v>0</v>
      </c>
      <c r="R206" s="85">
        <f>IF((SUM($D206:Q206)+$B206/$C206)&gt;$B206,$B206-SUM($D206:Q206),$B206/$C206)</f>
        <v>0</v>
      </c>
      <c r="S206" s="85">
        <f>IF((SUM($D206:R206)+$B206/$C206)&gt;$B206,$B206-SUM($D206:R206),$B206/$C206)</f>
        <v>0</v>
      </c>
      <c r="T206" s="85">
        <f>IF((SUM($D206:S206)+$B206/$C206)&gt;$B206,$B206-SUM($D206:S206),$B206/$C206)</f>
        <v>0</v>
      </c>
      <c r="U206" s="85">
        <f>IF((SUM($D206:T206)+$B206/$C206)&gt;$B206,$B206-SUM($D206:T206),$B206/$C206)</f>
        <v>0</v>
      </c>
      <c r="V206" s="85">
        <f>IF((SUM($D206:U206)+$B206/$C206)&gt;$B206,$B206-SUM($D206:U206),$B206/$C206)</f>
        <v>0</v>
      </c>
      <c r="W206" s="85">
        <f>IF((SUM($D206:V206)+$B206/$C206)&gt;$B206,$B206-SUM($D206:V206),$B206/$C206)</f>
        <v>0</v>
      </c>
      <c r="X206" s="85">
        <f>IF((SUM($D206:W206)+$B206/$C206)&gt;$B206,$B206-SUM($D206:W206),$B206/$C206)</f>
        <v>0</v>
      </c>
      <c r="Y206" s="85">
        <f>IF((SUM($D206:X206)+$B206/$C206)&gt;$B206,$B206-SUM($D206:X206),$B206/$C206)</f>
        <v>0</v>
      </c>
      <c r="Z206" s="85">
        <f>IF((SUM($D206:Y206)+$B206/$C206)&gt;$B206,$B206-SUM($D206:Y206),$B206/$C206)</f>
        <v>0</v>
      </c>
      <c r="AA206" s="85">
        <f>IF((SUM($D206:Z206)+$B206/$C206)&gt;$B206,$B206-SUM($D206:Z206),$B206/$C206)</f>
        <v>0</v>
      </c>
    </row>
    <row r="207" spans="1:27" outlineLevel="1" x14ac:dyDescent="0.2">
      <c r="A207" s="462">
        <v>2013</v>
      </c>
      <c r="B207" s="464">
        <f>H$181</f>
        <v>103.66395317018311</v>
      </c>
      <c r="C207" s="460">
        <f>IF('Data 2006-08'!C$34&lt;=A207,1,'Data 2006-08'!C$34-A207+0.5)</f>
        <v>1</v>
      </c>
      <c r="D207" s="473"/>
      <c r="E207" s="473"/>
      <c r="F207" s="473"/>
      <c r="G207" s="473"/>
      <c r="H207" s="85">
        <f>IF($C207=1,$B207,$B207/2/$C207)</f>
        <v>103.66395317018311</v>
      </c>
      <c r="I207" s="85">
        <f>IF((SUM($D207:H207)+$B207/$C207)&gt;$B207,$B207-SUM($D207:H207),$B207/$C207)</f>
        <v>0</v>
      </c>
      <c r="J207" s="85">
        <f>IF((SUM($D207:I207)+$B207/$C207)&gt;$B207,$B207-SUM($D207:I207),$B207/$C207)</f>
        <v>0</v>
      </c>
      <c r="K207" s="85">
        <f>IF((SUM($D207:J207)+$B207/$C207)&gt;$B207,$B207-SUM($D207:J207),$B207/$C207)</f>
        <v>0</v>
      </c>
      <c r="L207" s="85">
        <f>IF((SUM($D207:K207)+$B207/$C207)&gt;$B207,$B207-SUM($D207:K207),$B207/$C207)</f>
        <v>0</v>
      </c>
      <c r="M207" s="85">
        <f>IF((SUM($D207:L207)+$B207/$C207)&gt;$B207,$B207-SUM($D207:L207),$B207/$C207)</f>
        <v>0</v>
      </c>
      <c r="N207" s="85">
        <f>IF((SUM($D207:M207)+$B207/$C207)&gt;$B207,$B207-SUM($D207:M207),$B207/$C207)</f>
        <v>0</v>
      </c>
      <c r="O207" s="85">
        <f>IF((SUM($D207:N207)+$B207/$C207)&gt;$B207,$B207-SUM($D207:N207),$B207/$C207)</f>
        <v>0</v>
      </c>
      <c r="P207" s="85">
        <f>IF((SUM($D207:O207)+$B207/$C207)&gt;$B207,$B207-SUM($D207:O207),$B207/$C207)</f>
        <v>0</v>
      </c>
      <c r="Q207" s="85">
        <f>IF((SUM($D207:P207)+$B207/$C207)&gt;$B207,$B207-SUM($D207:P207),$B207/$C207)</f>
        <v>0</v>
      </c>
      <c r="R207" s="85">
        <f>IF((SUM($D207:Q207)+$B207/$C207)&gt;$B207,$B207-SUM($D207:Q207),$B207/$C207)</f>
        <v>0</v>
      </c>
      <c r="S207" s="85">
        <f>IF((SUM($D207:R207)+$B207/$C207)&gt;$B207,$B207-SUM($D207:R207),$B207/$C207)</f>
        <v>0</v>
      </c>
      <c r="T207" s="85">
        <f>IF((SUM($D207:S207)+$B207/$C207)&gt;$B207,$B207-SUM($D207:S207),$B207/$C207)</f>
        <v>0</v>
      </c>
      <c r="U207" s="85">
        <f>IF((SUM($D207:T207)+$B207/$C207)&gt;$B207,$B207-SUM($D207:T207),$B207/$C207)</f>
        <v>0</v>
      </c>
      <c r="V207" s="85">
        <f>IF((SUM($D207:U207)+$B207/$C207)&gt;$B207,$B207-SUM($D207:U207),$B207/$C207)</f>
        <v>0</v>
      </c>
      <c r="W207" s="85">
        <f>IF((SUM($D207:V207)+$B207/$C207)&gt;$B207,$B207-SUM($D207:V207),$B207/$C207)</f>
        <v>0</v>
      </c>
      <c r="X207" s="85">
        <f>IF((SUM($D207:W207)+$B207/$C207)&gt;$B207,$B207-SUM($D207:W207),$B207/$C207)</f>
        <v>0</v>
      </c>
      <c r="Y207" s="85">
        <f>IF((SUM($D207:X207)+$B207/$C207)&gt;$B207,$B207-SUM($D207:X207),$B207/$C207)</f>
        <v>0</v>
      </c>
      <c r="Z207" s="85">
        <f>IF((SUM($D207:Y207)+$B207/$C207)&gt;$B207,$B207-SUM($D207:Y207),$B207/$C207)</f>
        <v>0</v>
      </c>
      <c r="AA207" s="85">
        <f>IF((SUM($D207:Z207)+$B207/$C207)&gt;$B207,$B207-SUM($D207:Z207),$B207/$C207)</f>
        <v>0</v>
      </c>
    </row>
    <row r="208" spans="1:27" outlineLevel="1" x14ac:dyDescent="0.2">
      <c r="A208" s="462">
        <v>2014</v>
      </c>
      <c r="B208" s="464">
        <f>I$181</f>
        <v>0</v>
      </c>
      <c r="C208" s="460">
        <f>IF('Data 2006-08'!C$34&lt;=A208,1,'Data 2006-08'!C$34-A208+0.5)</f>
        <v>1</v>
      </c>
      <c r="D208" s="473"/>
      <c r="E208" s="473"/>
      <c r="F208" s="473"/>
      <c r="G208" s="473"/>
      <c r="H208" s="473"/>
      <c r="I208" s="85">
        <f>IF($C208=1,$B208,$B208/2/$C208)</f>
        <v>0</v>
      </c>
      <c r="J208" s="85">
        <f>IF((SUM($D208:I208)+$B208/$C208)&gt;$B208,$B208-SUM($D208:I208),$B208/$C208)</f>
        <v>0</v>
      </c>
      <c r="K208" s="85">
        <f>IF((SUM($D208:J208)+$B208/$C208)&gt;$B208,$B208-SUM($D208:J208),$B208/$C208)</f>
        <v>0</v>
      </c>
      <c r="L208" s="85">
        <f>IF((SUM($D208:K208)+$B208/$C208)&gt;$B208,$B208-SUM($D208:K208),$B208/$C208)</f>
        <v>0</v>
      </c>
      <c r="M208" s="85">
        <f>IF((SUM($D208:L208)+$B208/$C208)&gt;$B208,$B208-SUM($D208:L208),$B208/$C208)</f>
        <v>0</v>
      </c>
      <c r="N208" s="85">
        <f>IF((SUM($D208:M208)+$B208/$C208)&gt;$B208,$B208-SUM($D208:M208),$B208/$C208)</f>
        <v>0</v>
      </c>
      <c r="O208" s="85">
        <f>IF((SUM($D208:N208)+$B208/$C208)&gt;$B208,$B208-SUM($D208:N208),$B208/$C208)</f>
        <v>0</v>
      </c>
      <c r="P208" s="85">
        <f>IF((SUM($D208:O208)+$B208/$C208)&gt;$B208,$B208-SUM($D208:O208),$B208/$C208)</f>
        <v>0</v>
      </c>
      <c r="Q208" s="85">
        <f>IF((SUM($D208:P208)+$B208/$C208)&gt;$B208,$B208-SUM($D208:P208),$B208/$C208)</f>
        <v>0</v>
      </c>
      <c r="R208" s="85">
        <f>IF((SUM($D208:Q208)+$B208/$C208)&gt;$B208,$B208-SUM($D208:Q208),$B208/$C208)</f>
        <v>0</v>
      </c>
      <c r="S208" s="85">
        <f>IF((SUM($D208:R208)+$B208/$C208)&gt;$B208,$B208-SUM($D208:R208),$B208/$C208)</f>
        <v>0</v>
      </c>
      <c r="T208" s="85">
        <f>IF((SUM($D208:S208)+$B208/$C208)&gt;$B208,$B208-SUM($D208:S208),$B208/$C208)</f>
        <v>0</v>
      </c>
      <c r="U208" s="85">
        <f>IF((SUM($D208:T208)+$B208/$C208)&gt;$B208,$B208-SUM($D208:T208),$B208/$C208)</f>
        <v>0</v>
      </c>
      <c r="V208" s="85">
        <f>IF((SUM($D208:U208)+$B208/$C208)&gt;$B208,$B208-SUM($D208:U208),$B208/$C208)</f>
        <v>0</v>
      </c>
      <c r="W208" s="85">
        <f>IF((SUM($D208:V208)+$B208/$C208)&gt;$B208,$B208-SUM($D208:V208),$B208/$C208)</f>
        <v>0</v>
      </c>
      <c r="X208" s="85">
        <f>IF((SUM($D208:W208)+$B208/$C208)&gt;$B208,$B208-SUM($D208:W208),$B208/$C208)</f>
        <v>0</v>
      </c>
      <c r="Y208" s="85">
        <f>IF((SUM($D208:X208)+$B208/$C208)&gt;$B208,$B208-SUM($D208:X208),$B208/$C208)</f>
        <v>0</v>
      </c>
      <c r="Z208" s="85">
        <f>IF((SUM($D208:Y208)+$B208/$C208)&gt;$B208,$B208-SUM($D208:Y208),$B208/$C208)</f>
        <v>0</v>
      </c>
      <c r="AA208" s="85">
        <f>IF((SUM($D208:Z208)+$B208/$C208)&gt;$B208,$B208-SUM($D208:Z208),$B208/$C208)</f>
        <v>0</v>
      </c>
    </row>
    <row r="209" spans="1:27" outlineLevel="1" x14ac:dyDescent="0.2">
      <c r="A209" s="462">
        <v>2015</v>
      </c>
      <c r="B209" s="464">
        <f>J$181</f>
        <v>0</v>
      </c>
      <c r="C209" s="460">
        <f>IF('Data 2006-08'!C$34&lt;=A209,1,'Data 2006-08'!C$34-A209+0.5)</f>
        <v>1</v>
      </c>
      <c r="D209" s="473"/>
      <c r="E209" s="473"/>
      <c r="F209" s="473"/>
      <c r="G209" s="473"/>
      <c r="H209" s="473"/>
      <c r="I209" s="473"/>
      <c r="J209" s="85">
        <f>IF($C209=1,$B209,$B209/2/$C209)</f>
        <v>0</v>
      </c>
      <c r="K209" s="85">
        <f>IF((SUM($D209:J209)+$B209/$C209)&gt;$B209,$B209-SUM($D209:J209),$B209/$C209)</f>
        <v>0</v>
      </c>
      <c r="L209" s="85">
        <f>IF((SUM($D209:K209)+$B209/$C209)&gt;$B209,$B209-SUM($D209:K209),$B209/$C209)</f>
        <v>0</v>
      </c>
      <c r="M209" s="85">
        <f>IF((SUM($D209:L209)+$B209/$C209)&gt;$B209,$B209-SUM($D209:L209),$B209/$C209)</f>
        <v>0</v>
      </c>
      <c r="N209" s="85">
        <f>IF((SUM($D209:M209)+$B209/$C209)&gt;$B209,$B209-SUM($D209:M209),$B209/$C209)</f>
        <v>0</v>
      </c>
      <c r="O209" s="85">
        <f>IF((SUM($D209:N209)+$B209/$C209)&gt;$B209,$B209-SUM($D209:N209),$B209/$C209)</f>
        <v>0</v>
      </c>
      <c r="P209" s="85">
        <f>IF((SUM($D209:O209)+$B209/$C209)&gt;$B209,$B209-SUM($D209:O209),$B209/$C209)</f>
        <v>0</v>
      </c>
      <c r="Q209" s="85">
        <f>IF((SUM($D209:P209)+$B209/$C209)&gt;$B209,$B209-SUM($D209:P209),$B209/$C209)</f>
        <v>0</v>
      </c>
      <c r="R209" s="85">
        <f>IF((SUM($D209:Q209)+$B209/$C209)&gt;$B209,$B209-SUM($D209:Q209),$B209/$C209)</f>
        <v>0</v>
      </c>
      <c r="S209" s="85">
        <f>IF((SUM($D209:R209)+$B209/$C209)&gt;$B209,$B209-SUM($D209:R209),$B209/$C209)</f>
        <v>0</v>
      </c>
      <c r="T209" s="85">
        <f>IF((SUM($D209:S209)+$B209/$C209)&gt;$B209,$B209-SUM($D209:S209),$B209/$C209)</f>
        <v>0</v>
      </c>
      <c r="U209" s="85">
        <f>IF((SUM($D209:T209)+$B209/$C209)&gt;$B209,$B209-SUM($D209:T209),$B209/$C209)</f>
        <v>0</v>
      </c>
      <c r="V209" s="85">
        <f>IF((SUM($D209:U209)+$B209/$C209)&gt;$B209,$B209-SUM($D209:U209),$B209/$C209)</f>
        <v>0</v>
      </c>
      <c r="W209" s="85">
        <f>IF((SUM($D209:V209)+$B209/$C209)&gt;$B209,$B209-SUM($D209:V209),$B209/$C209)</f>
        <v>0</v>
      </c>
      <c r="X209" s="85">
        <f>IF((SUM($D209:W209)+$B209/$C209)&gt;$B209,$B209-SUM($D209:W209),$B209/$C209)</f>
        <v>0</v>
      </c>
      <c r="Y209" s="85">
        <f>IF((SUM($D209:X209)+$B209/$C209)&gt;$B209,$B209-SUM($D209:X209),$B209/$C209)</f>
        <v>0</v>
      </c>
      <c r="Z209" s="85">
        <f>IF((SUM($D209:Y209)+$B209/$C209)&gt;$B209,$B209-SUM($D209:Y209),$B209/$C209)</f>
        <v>0</v>
      </c>
      <c r="AA209" s="85">
        <f>IF((SUM($D209:Z209)+$B209/$C209)&gt;$B209,$B209-SUM($D209:Z209),$B209/$C209)</f>
        <v>0</v>
      </c>
    </row>
    <row r="210" spans="1:27" s="462" customFormat="1" outlineLevel="1" x14ac:dyDescent="0.2">
      <c r="B210" s="465">
        <f>SUM(B203:B209)</f>
        <v>9425.6746809055803</v>
      </c>
      <c r="D210" s="694">
        <f t="shared" ref="D210:AA210" si="68">SUM(D203:D209)</f>
        <v>439.13070003037296</v>
      </c>
      <c r="E210" s="694">
        <f t="shared" si="68"/>
        <v>1525.6999817661244</v>
      </c>
      <c r="F210" s="694">
        <f t="shared" si="68"/>
        <v>2312.3823989821776</v>
      </c>
      <c r="G210" s="694">
        <f t="shared" si="68"/>
        <v>2498.807960483191</v>
      </c>
      <c r="H210" s="694">
        <f t="shared" si="68"/>
        <v>2649.6536396437123</v>
      </c>
      <c r="I210" s="694">
        <f t="shared" si="68"/>
        <v>0</v>
      </c>
      <c r="J210" s="694">
        <f t="shared" si="68"/>
        <v>0</v>
      </c>
      <c r="K210" s="694">
        <f t="shared" si="68"/>
        <v>0</v>
      </c>
      <c r="L210" s="694">
        <f t="shared" si="68"/>
        <v>0</v>
      </c>
      <c r="M210" s="694">
        <f t="shared" si="68"/>
        <v>0</v>
      </c>
      <c r="N210" s="694">
        <f t="shared" si="68"/>
        <v>0</v>
      </c>
      <c r="O210" s="694">
        <f t="shared" si="68"/>
        <v>0</v>
      </c>
      <c r="P210" s="694">
        <f t="shared" si="68"/>
        <v>0</v>
      </c>
      <c r="Q210" s="694">
        <f t="shared" si="68"/>
        <v>0</v>
      </c>
      <c r="R210" s="694">
        <f t="shared" si="68"/>
        <v>0</v>
      </c>
      <c r="S210" s="694">
        <f t="shared" si="68"/>
        <v>0</v>
      </c>
      <c r="T210" s="694">
        <f t="shared" si="68"/>
        <v>0</v>
      </c>
      <c r="U210" s="694">
        <f t="shared" si="68"/>
        <v>0</v>
      </c>
      <c r="V210" s="694">
        <f t="shared" si="68"/>
        <v>0</v>
      </c>
      <c r="W210" s="694">
        <f t="shared" si="68"/>
        <v>0</v>
      </c>
      <c r="X210" s="694">
        <f t="shared" si="68"/>
        <v>0</v>
      </c>
      <c r="Y210" s="694">
        <f t="shared" si="68"/>
        <v>0</v>
      </c>
      <c r="Z210" s="694">
        <f t="shared" si="68"/>
        <v>0</v>
      </c>
      <c r="AA210" s="694">
        <f t="shared" si="68"/>
        <v>0</v>
      </c>
    </row>
    <row r="211" spans="1:27" outlineLevel="1" x14ac:dyDescent="0.2">
      <c r="A211" s="458"/>
      <c r="B211" s="458"/>
      <c r="C211" s="458"/>
      <c r="D211" s="458"/>
      <c r="E211" s="458"/>
      <c r="F211" s="458"/>
      <c r="G211" s="458"/>
      <c r="H211" s="458"/>
      <c r="I211" s="458"/>
    </row>
    <row r="212" spans="1:27" outlineLevel="1" x14ac:dyDescent="0.2">
      <c r="A212" s="458"/>
      <c r="B212" s="458"/>
      <c r="C212" s="458"/>
      <c r="D212" s="458"/>
      <c r="E212" s="458"/>
      <c r="F212" s="458"/>
      <c r="G212" s="458"/>
      <c r="H212" s="458"/>
      <c r="I212" s="458"/>
    </row>
    <row r="213" spans="1:27" outlineLevel="1" x14ac:dyDescent="0.2">
      <c r="A213" s="344" t="str">
        <f>'Data 2009-15 (Real $2008)'!A$154</f>
        <v>Remotely read interval meters &amp; transformers</v>
      </c>
      <c r="B213" s="466" t="s">
        <v>332</v>
      </c>
      <c r="C213" s="307" t="s">
        <v>7</v>
      </c>
      <c r="D213" s="461">
        <f>D$4</f>
        <v>2009</v>
      </c>
      <c r="E213" s="461">
        <f t="shared" ref="E213:AA213" si="69">E$4</f>
        <v>2010</v>
      </c>
      <c r="F213" s="461">
        <f t="shared" si="69"/>
        <v>2011</v>
      </c>
      <c r="G213" s="461">
        <f t="shared" si="69"/>
        <v>2012</v>
      </c>
      <c r="H213" s="461">
        <f t="shared" si="69"/>
        <v>2013</v>
      </c>
      <c r="I213" s="461">
        <f t="shared" si="69"/>
        <v>2014</v>
      </c>
      <c r="J213" s="461">
        <f t="shared" si="69"/>
        <v>2015</v>
      </c>
      <c r="K213" s="461">
        <f t="shared" si="69"/>
        <v>2016</v>
      </c>
      <c r="L213" s="461">
        <f t="shared" si="69"/>
        <v>2017</v>
      </c>
      <c r="M213" s="461">
        <f t="shared" si="69"/>
        <v>2018</v>
      </c>
      <c r="N213" s="461">
        <f t="shared" si="69"/>
        <v>2019</v>
      </c>
      <c r="O213" s="461">
        <f t="shared" si="69"/>
        <v>2020</v>
      </c>
      <c r="P213" s="461">
        <f t="shared" si="69"/>
        <v>2021</v>
      </c>
      <c r="Q213" s="461">
        <f t="shared" si="69"/>
        <v>2022</v>
      </c>
      <c r="R213" s="461">
        <f t="shared" si="69"/>
        <v>2023</v>
      </c>
      <c r="S213" s="461">
        <f t="shared" si="69"/>
        <v>2024</v>
      </c>
      <c r="T213" s="461">
        <f t="shared" si="69"/>
        <v>2025</v>
      </c>
      <c r="U213" s="461">
        <f t="shared" si="69"/>
        <v>2026</v>
      </c>
      <c r="V213" s="461">
        <f t="shared" si="69"/>
        <v>2027</v>
      </c>
      <c r="W213" s="461">
        <f t="shared" si="69"/>
        <v>2028</v>
      </c>
      <c r="X213" s="461">
        <f t="shared" si="69"/>
        <v>2029</v>
      </c>
      <c r="Y213" s="461">
        <f t="shared" si="69"/>
        <v>2030</v>
      </c>
      <c r="Z213" s="461">
        <f t="shared" si="69"/>
        <v>2031</v>
      </c>
      <c r="AA213" s="461">
        <f t="shared" si="69"/>
        <v>2032</v>
      </c>
    </row>
    <row r="214" spans="1:27" outlineLevel="1" x14ac:dyDescent="0.2">
      <c r="A214" s="344" t="str">
        <f>$A$4</f>
        <v>($000 Real 2008)</v>
      </c>
      <c r="B214" s="467" t="s">
        <v>333</v>
      </c>
      <c r="C214" s="468" t="s">
        <v>329</v>
      </c>
      <c r="D214" s="453"/>
      <c r="E214" s="453"/>
      <c r="F214" s="453"/>
      <c r="G214" s="453"/>
      <c r="H214" s="453"/>
      <c r="I214" s="453"/>
      <c r="J214" s="453"/>
    </row>
    <row r="215" spans="1:27" outlineLevel="1" x14ac:dyDescent="0.2">
      <c r="A215" s="462">
        <v>2009</v>
      </c>
      <c r="B215" s="464">
        <f>D$182</f>
        <v>2105.9170332972976</v>
      </c>
      <c r="C215" s="463">
        <f>'Data 2009-15 (Real $2008)'!C$154</f>
        <v>15</v>
      </c>
      <c r="D215" s="85">
        <f>IF(C215&lt;1,B215,B215/2/C215)</f>
        <v>70.197234443243261</v>
      </c>
      <c r="E215" s="85">
        <f>IF((SUM($D215:D215)+$B215/$C215)&gt;$B215,$B215-SUM($D215:D215),$B215/$C215)</f>
        <v>140.39446888648652</v>
      </c>
      <c r="F215" s="85">
        <f>IF((SUM($D215:E215)+$B215/$C215)&gt;$B215,$B215-SUM($D215:E215),$B215/$C215)</f>
        <v>140.39446888648652</v>
      </c>
      <c r="G215" s="85">
        <f>IF((SUM($D215:F215)+$B215/$C215)&gt;$B215,$B215-SUM($D215:F215),$B215/$C215)</f>
        <v>140.39446888648652</v>
      </c>
      <c r="H215" s="85">
        <f>IF((SUM($D215:G215)+$B215/$C215)&gt;$B215,$B215-SUM($D215:G215),$B215/$C215)</f>
        <v>140.39446888648652</v>
      </c>
      <c r="I215" s="85">
        <f>IF((SUM($D215:H215)+$B215/$C215)&gt;$B215,$B215-SUM($D215:H215),$B215/$C215)</f>
        <v>140.39446888648652</v>
      </c>
      <c r="J215" s="85">
        <f>IF((SUM($D215:I215)+$B215/$C215)&gt;$B215,$B215-SUM($D215:I215),$B215/$C215)</f>
        <v>140.39446888648652</v>
      </c>
      <c r="K215" s="85">
        <f>IF((SUM($D215:J215)+$B215/$C215)&gt;$B215,$B215-SUM($D215:J215),$B215/$C215)</f>
        <v>140.39446888648652</v>
      </c>
      <c r="L215" s="85">
        <f>IF((SUM($D215:K215)+$B215/$C215)&gt;$B215,$B215-SUM($D215:K215),$B215/$C215)</f>
        <v>140.39446888648652</v>
      </c>
      <c r="M215" s="85">
        <f>IF((SUM($D215:L215)+$B215/$C215)&gt;$B215,$B215-SUM($D215:L215),$B215/$C215)</f>
        <v>140.39446888648652</v>
      </c>
      <c r="N215" s="85">
        <f>IF((SUM($D215:M215)+$B215/$C215)&gt;$B215,$B215-SUM($D215:M215),$B215/$C215)</f>
        <v>140.39446888648652</v>
      </c>
      <c r="O215" s="85">
        <f>IF((SUM($D215:N215)+$B215/$C215)&gt;$B215,$B215-SUM($D215:N215),$B215/$C215)</f>
        <v>140.39446888648652</v>
      </c>
      <c r="P215" s="85">
        <f>IF((SUM($D215:O215)+$B215/$C215)&gt;$B215,$B215-SUM($D215:O215),$B215/$C215)</f>
        <v>140.39446888648652</v>
      </c>
      <c r="Q215" s="85">
        <f>IF((SUM($D215:P215)+$B215/$C215)&gt;$B215,$B215-SUM($D215:P215),$B215/$C215)</f>
        <v>140.39446888648652</v>
      </c>
      <c r="R215" s="85">
        <f>IF((SUM($D215:Q215)+$B215/$C215)&gt;$B215,$B215-SUM($D215:Q215),$B215/$C215)</f>
        <v>140.39446888648652</v>
      </c>
      <c r="S215" s="85">
        <f>IF((SUM($D215:R215)+$B215/$C215)&gt;$B215,$B215-SUM($D215:R215),$B215/$C215)</f>
        <v>70.19723444324336</v>
      </c>
      <c r="T215" s="85">
        <f>IF((SUM($D215:S215)+$B215/$C215)&gt;$B215,$B215-SUM($D215:S215),$B215/$C215)</f>
        <v>0</v>
      </c>
      <c r="U215" s="85">
        <f>IF((SUM($D215:T215)+$B215/$C215)&gt;$B215,$B215-SUM($D215:T215),$B215/$C215)</f>
        <v>0</v>
      </c>
      <c r="V215" s="85">
        <f>IF((SUM($D215:U215)+$B215/$C215)&gt;$B215,$B215-SUM($D215:U215),$B215/$C215)</f>
        <v>0</v>
      </c>
      <c r="W215" s="85">
        <f>IF((SUM($D215:V215)+$B215/$C215)&gt;$B215,$B215-SUM($D215:V215),$B215/$C215)</f>
        <v>0</v>
      </c>
      <c r="X215" s="85">
        <f>IF((SUM($D215:W215)+$B215/$C215)&gt;$B215,$B215-SUM($D215:W215),$B215/$C215)</f>
        <v>0</v>
      </c>
      <c r="Y215" s="85">
        <f>IF((SUM($D215:X215)+$B215/$C215)&gt;$B215,$B215-SUM($D215:X215),$B215/$C215)</f>
        <v>0</v>
      </c>
      <c r="Z215" s="85">
        <f>IF((SUM($D215:Y215)+$B215/$C215)&gt;$B215,$B215-SUM($D215:Y215),$B215/$C215)</f>
        <v>0</v>
      </c>
      <c r="AA215" s="85">
        <f>IF((SUM($D215:Z215)+$B215/$C215)&gt;$B215,$B215-SUM($D215:Z215),$B215/$C215)</f>
        <v>0</v>
      </c>
    </row>
    <row r="216" spans="1:27" outlineLevel="1" x14ac:dyDescent="0.2">
      <c r="A216" s="462">
        <v>2010</v>
      </c>
      <c r="B216" s="464">
        <f>E$182</f>
        <v>62143.968916192171</v>
      </c>
      <c r="C216" s="463">
        <f>'Data 2009-15 (Real $2008)'!C$154</f>
        <v>15</v>
      </c>
      <c r="D216" s="473"/>
      <c r="E216" s="85">
        <f>IF(C216&lt;1,B216,B216/2/C216)</f>
        <v>2071.4656305397389</v>
      </c>
      <c r="F216" s="85">
        <f>IF((SUM($D216:E216)+$B216/$C216)&gt;$B216,$B216-SUM($D216:E216),$B216/$C216)</f>
        <v>4142.9312610794777</v>
      </c>
      <c r="G216" s="85">
        <f>IF((SUM($D216:F216)+$B216/$C216)&gt;$B216,$B216-SUM($D216:F216),$B216/$C216)</f>
        <v>4142.9312610794777</v>
      </c>
      <c r="H216" s="85">
        <f>IF((SUM($D216:G216)+$B216/$C216)&gt;$B216,$B216-SUM($D216:G216),$B216/$C216)</f>
        <v>4142.9312610794777</v>
      </c>
      <c r="I216" s="85">
        <f>IF((SUM($D216:H216)+$B216/$C216)&gt;$B216,$B216-SUM($D216:H216),$B216/$C216)</f>
        <v>4142.9312610794777</v>
      </c>
      <c r="J216" s="85">
        <f>IF((SUM($D216:I216)+$B216/$C216)&gt;$B216,$B216-SUM($D216:I216),$B216/$C216)</f>
        <v>4142.9312610794777</v>
      </c>
      <c r="K216" s="85">
        <f>IF((SUM($D216:J216)+$B216/$C216)&gt;$B216,$B216-SUM($D216:J216),$B216/$C216)</f>
        <v>4142.9312610794777</v>
      </c>
      <c r="L216" s="85">
        <f>IF((SUM($D216:K216)+$B216/$C216)&gt;$B216,$B216-SUM($D216:K216),$B216/$C216)</f>
        <v>4142.9312610794777</v>
      </c>
      <c r="M216" s="85">
        <f>IF((SUM($D216:L216)+$B216/$C216)&gt;$B216,$B216-SUM($D216:L216),$B216/$C216)</f>
        <v>4142.9312610794777</v>
      </c>
      <c r="N216" s="85">
        <f>IF((SUM($D216:M216)+$B216/$C216)&gt;$B216,$B216-SUM($D216:M216),$B216/$C216)</f>
        <v>4142.9312610794777</v>
      </c>
      <c r="O216" s="85">
        <f>IF((SUM($D216:N216)+$B216/$C216)&gt;$B216,$B216-SUM($D216:N216),$B216/$C216)</f>
        <v>4142.9312610794777</v>
      </c>
      <c r="P216" s="85">
        <f>IF((SUM($D216:O216)+$B216/$C216)&gt;$B216,$B216-SUM($D216:O216),$B216/$C216)</f>
        <v>4142.9312610794777</v>
      </c>
      <c r="Q216" s="85">
        <f>IF((SUM($D216:P216)+$B216/$C216)&gt;$B216,$B216-SUM($D216:P216),$B216/$C216)</f>
        <v>4142.9312610794777</v>
      </c>
      <c r="R216" s="85">
        <f>IF((SUM($D216:Q216)+$B216/$C216)&gt;$B216,$B216-SUM($D216:Q216),$B216/$C216)</f>
        <v>4142.9312610794777</v>
      </c>
      <c r="S216" s="85">
        <f>IF((SUM($D216:R216)+$B216/$C216)&gt;$B216,$B216-SUM($D216:R216),$B216/$C216)</f>
        <v>4142.9312610794777</v>
      </c>
      <c r="T216" s="85">
        <f>IF((SUM($D216:S216)+$B216/$C216)&gt;$B216,$B216-SUM($D216:S216),$B216/$C216)</f>
        <v>2071.4656305397293</v>
      </c>
      <c r="U216" s="85">
        <f>IF((SUM($D216:T216)+$B216/$C216)&gt;$B216,$B216-SUM($D216:T216),$B216/$C216)</f>
        <v>0</v>
      </c>
      <c r="V216" s="85">
        <f>IF((SUM($D216:U216)+$B216/$C216)&gt;$B216,$B216-SUM($D216:U216),$B216/$C216)</f>
        <v>0</v>
      </c>
      <c r="W216" s="85">
        <f>IF((SUM($D216:V216)+$B216/$C216)&gt;$B216,$B216-SUM($D216:V216),$B216/$C216)</f>
        <v>0</v>
      </c>
      <c r="X216" s="85">
        <f>IF((SUM($D216:W216)+$B216/$C216)&gt;$B216,$B216-SUM($D216:W216),$B216/$C216)</f>
        <v>0</v>
      </c>
      <c r="Y216" s="85">
        <f>IF((SUM($D216:X216)+$B216/$C216)&gt;$B216,$B216-SUM($D216:X216),$B216/$C216)</f>
        <v>0</v>
      </c>
      <c r="Z216" s="85">
        <f>IF((SUM($D216:Y216)+$B216/$C216)&gt;$B216,$B216-SUM($D216:Y216),$B216/$C216)</f>
        <v>0</v>
      </c>
      <c r="AA216" s="85">
        <f>IF((SUM($D216:Z216)+$B216/$C216)&gt;$B216,$B216-SUM($D216:Z216),$B216/$C216)</f>
        <v>0</v>
      </c>
    </row>
    <row r="217" spans="1:27" outlineLevel="1" x14ac:dyDescent="0.2">
      <c r="A217" s="462">
        <v>2011</v>
      </c>
      <c r="B217" s="464">
        <f>F$182</f>
        <v>84980.620037320448</v>
      </c>
      <c r="C217" s="463">
        <f>'Data 2009-15 (Real $2008)'!C$154</f>
        <v>15</v>
      </c>
      <c r="D217" s="473"/>
      <c r="E217" s="473"/>
      <c r="F217" s="85">
        <f>IF(C217&lt;1,B217,B217/2/C217)</f>
        <v>2832.6873345773483</v>
      </c>
      <c r="G217" s="85">
        <f>IF((SUM($D217:F217)+$B217/$C217)&gt;$B217,$B217-SUM($D217:F217),$B217/$C217)</f>
        <v>5665.3746691546967</v>
      </c>
      <c r="H217" s="85">
        <f>IF((SUM($D217:G217)+$B217/$C217)&gt;$B217,$B217-SUM($D217:G217),$B217/$C217)</f>
        <v>5665.3746691546967</v>
      </c>
      <c r="I217" s="85">
        <f>IF((SUM($D217:H217)+$B217/$C217)&gt;$B217,$B217-SUM($D217:H217),$B217/$C217)</f>
        <v>5665.3746691546967</v>
      </c>
      <c r="J217" s="85">
        <f>IF((SUM($D217:I217)+$B217/$C217)&gt;$B217,$B217-SUM($D217:I217),$B217/$C217)</f>
        <v>5665.3746691546967</v>
      </c>
      <c r="K217" s="85">
        <f>IF((SUM($D217:J217)+$B217/$C217)&gt;$B217,$B217-SUM($D217:J217),$B217/$C217)</f>
        <v>5665.3746691546967</v>
      </c>
      <c r="L217" s="85">
        <f>IF((SUM($D217:K217)+$B217/$C217)&gt;$B217,$B217-SUM($D217:K217),$B217/$C217)</f>
        <v>5665.3746691546967</v>
      </c>
      <c r="M217" s="85">
        <f>IF((SUM($D217:L217)+$B217/$C217)&gt;$B217,$B217-SUM($D217:L217),$B217/$C217)</f>
        <v>5665.3746691546967</v>
      </c>
      <c r="N217" s="85">
        <f>IF((SUM($D217:M217)+$B217/$C217)&gt;$B217,$B217-SUM($D217:M217),$B217/$C217)</f>
        <v>5665.3746691546967</v>
      </c>
      <c r="O217" s="85">
        <f>IF((SUM($D217:N217)+$B217/$C217)&gt;$B217,$B217-SUM($D217:N217),$B217/$C217)</f>
        <v>5665.3746691546967</v>
      </c>
      <c r="P217" s="85">
        <f>IF((SUM($D217:O217)+$B217/$C217)&gt;$B217,$B217-SUM($D217:O217),$B217/$C217)</f>
        <v>5665.3746691546967</v>
      </c>
      <c r="Q217" s="85">
        <f>IF((SUM($D217:P217)+$B217/$C217)&gt;$B217,$B217-SUM($D217:P217),$B217/$C217)</f>
        <v>5665.3746691546967</v>
      </c>
      <c r="R217" s="85">
        <f>IF((SUM($D217:Q217)+$B217/$C217)&gt;$B217,$B217-SUM($D217:Q217),$B217/$C217)</f>
        <v>5665.3746691546967</v>
      </c>
      <c r="S217" s="85">
        <f>IF((SUM($D217:R217)+$B217/$C217)&gt;$B217,$B217-SUM($D217:R217),$B217/$C217)</f>
        <v>5665.3746691546967</v>
      </c>
      <c r="T217" s="85">
        <f>IF((SUM($D217:S217)+$B217/$C217)&gt;$B217,$B217-SUM($D217:S217),$B217/$C217)</f>
        <v>5665.3746691546967</v>
      </c>
      <c r="U217" s="85">
        <f>IF((SUM($D217:T217)+$B217/$C217)&gt;$B217,$B217-SUM($D217:T217),$B217/$C217)</f>
        <v>2832.6873345773347</v>
      </c>
      <c r="V217" s="85">
        <f>IF((SUM($D217:U217)+$B217/$C217)&gt;$B217,$B217-SUM($D217:U217),$B217/$C217)</f>
        <v>0</v>
      </c>
      <c r="W217" s="85">
        <f>IF((SUM($D217:V217)+$B217/$C217)&gt;$B217,$B217-SUM($D217:V217),$B217/$C217)</f>
        <v>0</v>
      </c>
      <c r="X217" s="85">
        <f>IF((SUM($D217:W217)+$B217/$C217)&gt;$B217,$B217-SUM($D217:W217),$B217/$C217)</f>
        <v>0</v>
      </c>
      <c r="Y217" s="85">
        <f>IF((SUM($D217:X217)+$B217/$C217)&gt;$B217,$B217-SUM($D217:X217),$B217/$C217)</f>
        <v>0</v>
      </c>
      <c r="Z217" s="85">
        <f>IF((SUM($D217:Y217)+$B217/$C217)&gt;$B217,$B217-SUM($D217:Y217),$B217/$C217)</f>
        <v>0</v>
      </c>
      <c r="AA217" s="85">
        <f>IF((SUM($D217:Z217)+$B217/$C217)&gt;$B217,$B217-SUM($D217:Z217),$B217/$C217)</f>
        <v>0</v>
      </c>
    </row>
    <row r="218" spans="1:27" outlineLevel="1" x14ac:dyDescent="0.2">
      <c r="A218" s="462">
        <v>2012</v>
      </c>
      <c r="B218" s="464">
        <f>G$182</f>
        <v>86162.321694262559</v>
      </c>
      <c r="C218" s="463">
        <f>'Data 2009-15 (Real $2008)'!C$154</f>
        <v>15</v>
      </c>
      <c r="D218" s="473"/>
      <c r="E218" s="473"/>
      <c r="F218" s="473"/>
      <c r="G218" s="85">
        <f>IF($C218=1,$B218,$B218/2/$C218)</f>
        <v>2872.0773898087518</v>
      </c>
      <c r="H218" s="85">
        <f>IF((SUM($D218:G218)+$B218/$C218)&gt;$B218,$B218-SUM($D218:G218),$B218/$C218)</f>
        <v>5744.1547796175037</v>
      </c>
      <c r="I218" s="85">
        <f>IF((SUM($D218:H218)+$B218/$C218)&gt;$B218,$B218-SUM($D218:H218),$B218/$C218)</f>
        <v>5744.1547796175037</v>
      </c>
      <c r="J218" s="85">
        <f>IF((SUM($D218:I218)+$B218/$C218)&gt;$B218,$B218-SUM($D218:I218),$B218/$C218)</f>
        <v>5744.1547796175037</v>
      </c>
      <c r="K218" s="85">
        <f>IF((SUM($D218:J218)+$B218/$C218)&gt;$B218,$B218-SUM($D218:J218),$B218/$C218)</f>
        <v>5744.1547796175037</v>
      </c>
      <c r="L218" s="85">
        <f>IF((SUM($D218:K218)+$B218/$C218)&gt;$B218,$B218-SUM($D218:K218),$B218/$C218)</f>
        <v>5744.1547796175037</v>
      </c>
      <c r="M218" s="85">
        <f>IF((SUM($D218:L218)+$B218/$C218)&gt;$B218,$B218-SUM($D218:L218),$B218/$C218)</f>
        <v>5744.1547796175037</v>
      </c>
      <c r="N218" s="85">
        <f>IF((SUM($D218:M218)+$B218/$C218)&gt;$B218,$B218-SUM($D218:M218),$B218/$C218)</f>
        <v>5744.1547796175037</v>
      </c>
      <c r="O218" s="85">
        <f>IF((SUM($D218:N218)+$B218/$C218)&gt;$B218,$B218-SUM($D218:N218),$B218/$C218)</f>
        <v>5744.1547796175037</v>
      </c>
      <c r="P218" s="85">
        <f>IF((SUM($D218:O218)+$B218/$C218)&gt;$B218,$B218-SUM($D218:O218),$B218/$C218)</f>
        <v>5744.1547796175037</v>
      </c>
      <c r="Q218" s="85">
        <f>IF((SUM($D218:P218)+$B218/$C218)&gt;$B218,$B218-SUM($D218:P218),$B218/$C218)</f>
        <v>5744.1547796175037</v>
      </c>
      <c r="R218" s="85">
        <f>IF((SUM($D218:Q218)+$B218/$C218)&gt;$B218,$B218-SUM($D218:Q218),$B218/$C218)</f>
        <v>5744.1547796175037</v>
      </c>
      <c r="S218" s="85">
        <f>IF((SUM($D218:R218)+$B218/$C218)&gt;$B218,$B218-SUM($D218:R218),$B218/$C218)</f>
        <v>5744.1547796175037</v>
      </c>
      <c r="T218" s="85">
        <f>IF((SUM($D218:S218)+$B218/$C218)&gt;$B218,$B218-SUM($D218:S218),$B218/$C218)</f>
        <v>5744.1547796175037</v>
      </c>
      <c r="U218" s="85">
        <f>IF((SUM($D218:T218)+$B218/$C218)&gt;$B218,$B218-SUM($D218:T218),$B218/$C218)</f>
        <v>5744.1547796175037</v>
      </c>
      <c r="V218" s="85">
        <f>IF((SUM($D218:U218)+$B218/$C218)&gt;$B218,$B218-SUM($D218:U218),$B218/$C218)</f>
        <v>2872.0773898087791</v>
      </c>
      <c r="W218" s="85">
        <f>IF((SUM($D218:V218)+$B218/$C218)&gt;$B218,$B218-SUM($D218:V218),$B218/$C218)</f>
        <v>0</v>
      </c>
      <c r="X218" s="85">
        <f>IF((SUM($D218:W218)+$B218/$C218)&gt;$B218,$B218-SUM($D218:W218),$B218/$C218)</f>
        <v>0</v>
      </c>
      <c r="Y218" s="85">
        <f>IF((SUM($D218:X218)+$B218/$C218)&gt;$B218,$B218-SUM($D218:X218),$B218/$C218)</f>
        <v>0</v>
      </c>
      <c r="Z218" s="85">
        <f>IF((SUM($D218:Y218)+$B218/$C218)&gt;$B218,$B218-SUM($D218:Y218),$B218/$C218)</f>
        <v>0</v>
      </c>
      <c r="AA218" s="85">
        <f>IF((SUM($D218:Z218)+$B218/$C218)&gt;$B218,$B218-SUM($D218:Z218),$B218/$C218)</f>
        <v>0</v>
      </c>
    </row>
    <row r="219" spans="1:27" outlineLevel="1" x14ac:dyDescent="0.2">
      <c r="A219" s="462">
        <v>2013</v>
      </c>
      <c r="B219" s="464">
        <f>H$182</f>
        <v>63106.264726613117</v>
      </c>
      <c r="C219" s="463">
        <f>'Data 2009-15 (Real $2008)'!C$154</f>
        <v>15</v>
      </c>
      <c r="D219" s="473"/>
      <c r="E219" s="473"/>
      <c r="F219" s="473"/>
      <c r="G219" s="473"/>
      <c r="H219" s="85">
        <f>IF($C219=1,$B219,$B219/2/$C219)</f>
        <v>2103.5421575537707</v>
      </c>
      <c r="I219" s="85">
        <f>IF((SUM($D219:H219)+$B219/$C219)&gt;$B219,$B219-SUM($D219:H219),$B219/$C219)</f>
        <v>4207.0843151075414</v>
      </c>
      <c r="J219" s="85">
        <f>IF((SUM($D219:I219)+$B219/$C219)&gt;$B219,$B219-SUM($D219:I219),$B219/$C219)</f>
        <v>4207.0843151075414</v>
      </c>
      <c r="K219" s="85">
        <f>IF((SUM($D219:J219)+$B219/$C219)&gt;$B219,$B219-SUM($D219:J219),$B219/$C219)</f>
        <v>4207.0843151075414</v>
      </c>
      <c r="L219" s="85">
        <f>IF((SUM($D219:K219)+$B219/$C219)&gt;$B219,$B219-SUM($D219:K219),$B219/$C219)</f>
        <v>4207.0843151075414</v>
      </c>
      <c r="M219" s="85">
        <f>IF((SUM($D219:L219)+$B219/$C219)&gt;$B219,$B219-SUM($D219:L219),$B219/$C219)</f>
        <v>4207.0843151075414</v>
      </c>
      <c r="N219" s="85">
        <f>IF((SUM($D219:M219)+$B219/$C219)&gt;$B219,$B219-SUM($D219:M219),$B219/$C219)</f>
        <v>4207.0843151075414</v>
      </c>
      <c r="O219" s="85">
        <f>IF((SUM($D219:N219)+$B219/$C219)&gt;$B219,$B219-SUM($D219:N219),$B219/$C219)</f>
        <v>4207.0843151075414</v>
      </c>
      <c r="P219" s="85">
        <f>IF((SUM($D219:O219)+$B219/$C219)&gt;$B219,$B219-SUM($D219:O219),$B219/$C219)</f>
        <v>4207.0843151075414</v>
      </c>
      <c r="Q219" s="85">
        <f>IF((SUM($D219:P219)+$B219/$C219)&gt;$B219,$B219-SUM($D219:P219),$B219/$C219)</f>
        <v>4207.0843151075414</v>
      </c>
      <c r="R219" s="85">
        <f>IF((SUM($D219:Q219)+$B219/$C219)&gt;$B219,$B219-SUM($D219:Q219),$B219/$C219)</f>
        <v>4207.0843151075414</v>
      </c>
      <c r="S219" s="85">
        <f>IF((SUM($D219:R219)+$B219/$C219)&gt;$B219,$B219-SUM($D219:R219),$B219/$C219)</f>
        <v>4207.0843151075414</v>
      </c>
      <c r="T219" s="85">
        <f>IF((SUM($D219:S219)+$B219/$C219)&gt;$B219,$B219-SUM($D219:S219),$B219/$C219)</f>
        <v>4207.0843151075414</v>
      </c>
      <c r="U219" s="85">
        <f>IF((SUM($D219:T219)+$B219/$C219)&gt;$B219,$B219-SUM($D219:T219),$B219/$C219)</f>
        <v>4207.0843151075414</v>
      </c>
      <c r="V219" s="85">
        <f>IF((SUM($D219:U219)+$B219/$C219)&gt;$B219,$B219-SUM($D219:U219),$B219/$C219)</f>
        <v>4207.0843151075414</v>
      </c>
      <c r="W219" s="85">
        <f>IF((SUM($D219:V219)+$B219/$C219)&gt;$B219,$B219-SUM($D219:V219),$B219/$C219)</f>
        <v>2103.5421575537766</v>
      </c>
      <c r="X219" s="85">
        <f>IF((SUM($D219:W219)+$B219/$C219)&gt;$B219,$B219-SUM($D219:W219),$B219/$C219)</f>
        <v>0</v>
      </c>
      <c r="Y219" s="85">
        <f>IF((SUM($D219:X219)+$B219/$C219)&gt;$B219,$B219-SUM($D219:X219),$B219/$C219)</f>
        <v>0</v>
      </c>
      <c r="Z219" s="85">
        <f>IF((SUM($D219:Y219)+$B219/$C219)&gt;$B219,$B219-SUM($D219:Y219),$B219/$C219)</f>
        <v>0</v>
      </c>
      <c r="AA219" s="85">
        <f>IF((SUM($D219:Z219)+$B219/$C219)&gt;$B219,$B219-SUM($D219:Z219),$B219/$C219)</f>
        <v>0</v>
      </c>
    </row>
    <row r="220" spans="1:27" outlineLevel="1" x14ac:dyDescent="0.2">
      <c r="A220" s="462">
        <v>2014</v>
      </c>
      <c r="B220" s="464">
        <f>I$182</f>
        <v>6247.0903848163962</v>
      </c>
      <c r="C220" s="463">
        <f>'Data 2009-15 (Real $2008)'!C$154</f>
        <v>15</v>
      </c>
      <c r="D220" s="473"/>
      <c r="E220" s="473"/>
      <c r="F220" s="473"/>
      <c r="G220" s="473"/>
      <c r="H220" s="473"/>
      <c r="I220" s="85">
        <f>IF($C220=1,$B220,$B220/2/$C220)</f>
        <v>208.23634616054653</v>
      </c>
      <c r="J220" s="85">
        <f>IF((SUM($D220:I220)+$B220/$C220)&gt;$B220,$B220-SUM($D220:I220),$B220/$C220)</f>
        <v>416.47269232109306</v>
      </c>
      <c r="K220" s="85">
        <f>IF((SUM($D220:J220)+$B220/$C220)&gt;$B220,$B220-SUM($D220:J220),$B220/$C220)</f>
        <v>416.47269232109306</v>
      </c>
      <c r="L220" s="85">
        <f>IF((SUM($D220:K220)+$B220/$C220)&gt;$B220,$B220-SUM($D220:K220),$B220/$C220)</f>
        <v>416.47269232109306</v>
      </c>
      <c r="M220" s="85">
        <f>IF((SUM($D220:L220)+$B220/$C220)&gt;$B220,$B220-SUM($D220:L220),$B220/$C220)</f>
        <v>416.47269232109306</v>
      </c>
      <c r="N220" s="85">
        <f>IF((SUM($D220:M220)+$B220/$C220)&gt;$B220,$B220-SUM($D220:M220),$B220/$C220)</f>
        <v>416.47269232109306</v>
      </c>
      <c r="O220" s="85">
        <f>IF((SUM($D220:N220)+$B220/$C220)&gt;$B220,$B220-SUM($D220:N220),$B220/$C220)</f>
        <v>416.47269232109306</v>
      </c>
      <c r="P220" s="85">
        <f>IF((SUM($D220:O220)+$B220/$C220)&gt;$B220,$B220-SUM($D220:O220),$B220/$C220)</f>
        <v>416.47269232109306</v>
      </c>
      <c r="Q220" s="85">
        <f>IF((SUM($D220:P220)+$B220/$C220)&gt;$B220,$B220-SUM($D220:P220),$B220/$C220)</f>
        <v>416.47269232109306</v>
      </c>
      <c r="R220" s="85">
        <f>IF((SUM($D220:Q220)+$B220/$C220)&gt;$B220,$B220-SUM($D220:Q220),$B220/$C220)</f>
        <v>416.47269232109306</v>
      </c>
      <c r="S220" s="85">
        <f>IF((SUM($D220:R220)+$B220/$C220)&gt;$B220,$B220-SUM($D220:R220),$B220/$C220)</f>
        <v>416.47269232109306</v>
      </c>
      <c r="T220" s="85">
        <f>IF((SUM($D220:S220)+$B220/$C220)&gt;$B220,$B220-SUM($D220:S220),$B220/$C220)</f>
        <v>416.47269232109306</v>
      </c>
      <c r="U220" s="85">
        <f>IF((SUM($D220:T220)+$B220/$C220)&gt;$B220,$B220-SUM($D220:T220),$B220/$C220)</f>
        <v>416.47269232109306</v>
      </c>
      <c r="V220" s="85">
        <f>IF((SUM($D220:U220)+$B220/$C220)&gt;$B220,$B220-SUM($D220:U220),$B220/$C220)</f>
        <v>416.47269232109306</v>
      </c>
      <c r="W220" s="85">
        <f>IF((SUM($D220:V220)+$B220/$C220)&gt;$B220,$B220-SUM($D220:V220),$B220/$C220)</f>
        <v>416.47269232109306</v>
      </c>
      <c r="X220" s="85">
        <f>IF((SUM($D220:W220)+$B220/$C220)&gt;$B220,$B220-SUM($D220:W220),$B220/$C220)</f>
        <v>208.23634616054915</v>
      </c>
      <c r="Y220" s="85">
        <f>IF((SUM($D220:X220)+$B220/$C220)&gt;$B220,$B220-SUM($D220:X220),$B220/$C220)</f>
        <v>0</v>
      </c>
      <c r="Z220" s="85">
        <f>IF((SUM($D220:Y220)+$B220/$C220)&gt;$B220,$B220-SUM($D220:Y220),$B220/$C220)</f>
        <v>0</v>
      </c>
      <c r="AA220" s="85">
        <f>IF((SUM($D220:Z220)+$B220/$C220)&gt;$B220,$B220-SUM($D220:Z220),$B220/$C220)</f>
        <v>0</v>
      </c>
    </row>
    <row r="221" spans="1:27" outlineLevel="1" x14ac:dyDescent="0.2">
      <c r="A221" s="462">
        <v>2015</v>
      </c>
      <c r="B221" s="464">
        <f>J$182</f>
        <v>6224.2055387159771</v>
      </c>
      <c r="C221" s="463">
        <f>'Data 2009-15 (Real $2008)'!C$154</f>
        <v>15</v>
      </c>
      <c r="D221" s="473"/>
      <c r="E221" s="473"/>
      <c r="F221" s="473"/>
      <c r="G221" s="473"/>
      <c r="H221" s="473"/>
      <c r="I221" s="473"/>
      <c r="J221" s="85">
        <f>IF($C221=1,$B221,$B221/2/$C221)</f>
        <v>207.47351795719925</v>
      </c>
      <c r="K221" s="85">
        <f>IF((SUM($D221:J221)+$B221/$C221)&gt;$B221,$B221-SUM($D221:J221),$B221/$C221)</f>
        <v>414.9470359143985</v>
      </c>
      <c r="L221" s="85">
        <f>IF((SUM($D221:K221)+$B221/$C221)&gt;$B221,$B221-SUM($D221:K221),$B221/$C221)</f>
        <v>414.9470359143985</v>
      </c>
      <c r="M221" s="85">
        <f>IF((SUM($D221:L221)+$B221/$C221)&gt;$B221,$B221-SUM($D221:L221),$B221/$C221)</f>
        <v>414.9470359143985</v>
      </c>
      <c r="N221" s="85">
        <f>IF((SUM($D221:M221)+$B221/$C221)&gt;$B221,$B221-SUM($D221:M221),$B221/$C221)</f>
        <v>414.9470359143985</v>
      </c>
      <c r="O221" s="85">
        <f>IF((SUM($D221:N221)+$B221/$C221)&gt;$B221,$B221-SUM($D221:N221),$B221/$C221)</f>
        <v>414.9470359143985</v>
      </c>
      <c r="P221" s="85">
        <f>IF((SUM($D221:O221)+$B221/$C221)&gt;$B221,$B221-SUM($D221:O221),$B221/$C221)</f>
        <v>414.9470359143985</v>
      </c>
      <c r="Q221" s="85">
        <f>IF((SUM($D221:P221)+$B221/$C221)&gt;$B221,$B221-SUM($D221:P221),$B221/$C221)</f>
        <v>414.9470359143985</v>
      </c>
      <c r="R221" s="85">
        <f>IF((SUM($D221:Q221)+$B221/$C221)&gt;$B221,$B221-SUM($D221:Q221),$B221/$C221)</f>
        <v>414.9470359143985</v>
      </c>
      <c r="S221" s="85">
        <f>IF((SUM($D221:R221)+$B221/$C221)&gt;$B221,$B221-SUM($D221:R221),$B221/$C221)</f>
        <v>414.9470359143985</v>
      </c>
      <c r="T221" s="85">
        <f>IF((SUM($D221:S221)+$B221/$C221)&gt;$B221,$B221-SUM($D221:S221),$B221/$C221)</f>
        <v>414.9470359143985</v>
      </c>
      <c r="U221" s="85">
        <f>IF((SUM($D221:T221)+$B221/$C221)&gt;$B221,$B221-SUM($D221:T221),$B221/$C221)</f>
        <v>414.9470359143985</v>
      </c>
      <c r="V221" s="85">
        <f>IF((SUM($D221:U221)+$B221/$C221)&gt;$B221,$B221-SUM($D221:U221),$B221/$C221)</f>
        <v>414.9470359143985</v>
      </c>
      <c r="W221" s="85">
        <f>IF((SUM($D221:V221)+$B221/$C221)&gt;$B221,$B221-SUM($D221:V221),$B221/$C221)</f>
        <v>414.9470359143985</v>
      </c>
      <c r="X221" s="85">
        <f>IF((SUM($D221:W221)+$B221/$C221)&gt;$B221,$B221-SUM($D221:W221),$B221/$C221)</f>
        <v>414.9470359143985</v>
      </c>
      <c r="Y221" s="85">
        <f>IF((SUM($D221:X221)+$B221/$C221)&gt;$B221,$B221-SUM($D221:X221),$B221/$C221)</f>
        <v>207.47351795719806</v>
      </c>
      <c r="Z221" s="85">
        <f>IF((SUM($D221:Y221)+$B221/$C221)&gt;$B221,$B221-SUM($D221:Y221),$B221/$C221)</f>
        <v>0</v>
      </c>
      <c r="AA221" s="85">
        <f>IF((SUM($D221:Z221)+$B221/$C221)&gt;$B221,$B221-SUM($D221:Z221),$B221/$C221)</f>
        <v>0</v>
      </c>
    </row>
    <row r="222" spans="1:27" s="462" customFormat="1" outlineLevel="1" x14ac:dyDescent="0.2">
      <c r="B222" s="465">
        <f>SUM(B215:B221)</f>
        <v>310970.38833121798</v>
      </c>
      <c r="D222" s="694">
        <f t="shared" ref="D222:AA222" si="70">SUM(D215:D221)</f>
        <v>70.197234443243261</v>
      </c>
      <c r="E222" s="694">
        <f t="shared" si="70"/>
        <v>2211.8600994262256</v>
      </c>
      <c r="F222" s="694">
        <f t="shared" si="70"/>
        <v>7116.0130645433128</v>
      </c>
      <c r="G222" s="694">
        <f t="shared" si="70"/>
        <v>12820.777788929414</v>
      </c>
      <c r="H222" s="694">
        <f t="shared" si="70"/>
        <v>17796.397336291935</v>
      </c>
      <c r="I222" s="694">
        <f t="shared" si="70"/>
        <v>20108.175840006254</v>
      </c>
      <c r="J222" s="694">
        <f t="shared" si="70"/>
        <v>20523.885704124001</v>
      </c>
      <c r="K222" s="694">
        <f t="shared" si="70"/>
        <v>20731.359222081202</v>
      </c>
      <c r="L222" s="694">
        <f t="shared" si="70"/>
        <v>20731.359222081202</v>
      </c>
      <c r="M222" s="694">
        <f t="shared" si="70"/>
        <v>20731.359222081202</v>
      </c>
      <c r="N222" s="694">
        <f t="shared" si="70"/>
        <v>20731.359222081202</v>
      </c>
      <c r="O222" s="694">
        <f t="shared" si="70"/>
        <v>20731.359222081202</v>
      </c>
      <c r="P222" s="694">
        <f t="shared" si="70"/>
        <v>20731.359222081202</v>
      </c>
      <c r="Q222" s="694">
        <f t="shared" si="70"/>
        <v>20731.359222081202</v>
      </c>
      <c r="R222" s="694">
        <f t="shared" si="70"/>
        <v>20731.359222081202</v>
      </c>
      <c r="S222" s="694">
        <f t="shared" si="70"/>
        <v>20661.161987637959</v>
      </c>
      <c r="T222" s="694">
        <f t="shared" si="70"/>
        <v>18519.499122654965</v>
      </c>
      <c r="U222" s="694">
        <f t="shared" si="70"/>
        <v>13615.346157537871</v>
      </c>
      <c r="V222" s="694">
        <f t="shared" si="70"/>
        <v>7910.5814331518122</v>
      </c>
      <c r="W222" s="694">
        <f t="shared" si="70"/>
        <v>2934.9618857892679</v>
      </c>
      <c r="X222" s="694">
        <f t="shared" si="70"/>
        <v>623.18338207494764</v>
      </c>
      <c r="Y222" s="694">
        <f t="shared" si="70"/>
        <v>207.47351795719806</v>
      </c>
      <c r="Z222" s="694">
        <f t="shared" si="70"/>
        <v>0</v>
      </c>
      <c r="AA222" s="694">
        <f t="shared" si="70"/>
        <v>0</v>
      </c>
    </row>
    <row r="223" spans="1:27" outlineLevel="1" x14ac:dyDescent="0.2">
      <c r="A223" s="458"/>
      <c r="B223" s="458"/>
      <c r="C223" s="458"/>
      <c r="D223" s="458"/>
      <c r="E223" s="458"/>
      <c r="F223" s="458"/>
      <c r="G223" s="458"/>
      <c r="H223" s="458"/>
      <c r="I223" s="458"/>
    </row>
    <row r="224" spans="1:27" outlineLevel="1" x14ac:dyDescent="0.2">
      <c r="A224" s="458"/>
      <c r="B224" s="458"/>
      <c r="C224" s="458"/>
      <c r="D224" s="458"/>
      <c r="E224" s="458"/>
      <c r="F224" s="458"/>
      <c r="G224" s="458"/>
      <c r="H224" s="458"/>
      <c r="I224" s="458"/>
    </row>
    <row r="225" spans="1:27" outlineLevel="1" x14ac:dyDescent="0.2">
      <c r="A225" s="344" t="s">
        <v>284</v>
      </c>
      <c r="B225" s="466" t="s">
        <v>332</v>
      </c>
      <c r="C225" s="307" t="s">
        <v>7</v>
      </c>
      <c r="D225" s="461">
        <f>D$4</f>
        <v>2009</v>
      </c>
      <c r="E225" s="461">
        <f t="shared" ref="E225:AA225" si="71">E$4</f>
        <v>2010</v>
      </c>
      <c r="F225" s="461">
        <f t="shared" si="71"/>
        <v>2011</v>
      </c>
      <c r="G225" s="461">
        <f t="shared" si="71"/>
        <v>2012</v>
      </c>
      <c r="H225" s="461">
        <f t="shared" si="71"/>
        <v>2013</v>
      </c>
      <c r="I225" s="461">
        <f t="shared" si="71"/>
        <v>2014</v>
      </c>
      <c r="J225" s="461">
        <f t="shared" si="71"/>
        <v>2015</v>
      </c>
      <c r="K225" s="461">
        <f t="shared" si="71"/>
        <v>2016</v>
      </c>
      <c r="L225" s="461">
        <f t="shared" si="71"/>
        <v>2017</v>
      </c>
      <c r="M225" s="461">
        <f t="shared" si="71"/>
        <v>2018</v>
      </c>
      <c r="N225" s="461">
        <f t="shared" si="71"/>
        <v>2019</v>
      </c>
      <c r="O225" s="461">
        <f t="shared" si="71"/>
        <v>2020</v>
      </c>
      <c r="P225" s="461">
        <f t="shared" si="71"/>
        <v>2021</v>
      </c>
      <c r="Q225" s="461">
        <f t="shared" si="71"/>
        <v>2022</v>
      </c>
      <c r="R225" s="461">
        <f t="shared" si="71"/>
        <v>2023</v>
      </c>
      <c r="S225" s="461">
        <f t="shared" si="71"/>
        <v>2024</v>
      </c>
      <c r="T225" s="461">
        <f t="shared" si="71"/>
        <v>2025</v>
      </c>
      <c r="U225" s="461">
        <f t="shared" si="71"/>
        <v>2026</v>
      </c>
      <c r="V225" s="461">
        <f t="shared" si="71"/>
        <v>2027</v>
      </c>
      <c r="W225" s="461">
        <f t="shared" si="71"/>
        <v>2028</v>
      </c>
      <c r="X225" s="461">
        <f t="shared" si="71"/>
        <v>2029</v>
      </c>
      <c r="Y225" s="461">
        <f t="shared" si="71"/>
        <v>2030</v>
      </c>
      <c r="Z225" s="461">
        <f t="shared" si="71"/>
        <v>2031</v>
      </c>
      <c r="AA225" s="461">
        <f t="shared" si="71"/>
        <v>2032</v>
      </c>
    </row>
    <row r="226" spans="1:27" outlineLevel="1" x14ac:dyDescent="0.2">
      <c r="A226" s="344" t="str">
        <f>$A$4</f>
        <v>($000 Real 2008)</v>
      </c>
      <c r="B226" s="467" t="s">
        <v>333</v>
      </c>
      <c r="C226" s="468" t="s">
        <v>329</v>
      </c>
      <c r="D226" s="453"/>
      <c r="E226" s="453"/>
      <c r="F226" s="453"/>
      <c r="G226" s="453"/>
      <c r="H226" s="453"/>
      <c r="I226" s="453"/>
      <c r="J226" s="453"/>
    </row>
    <row r="227" spans="1:27" outlineLevel="1" x14ac:dyDescent="0.2">
      <c r="A227" s="462">
        <v>2009</v>
      </c>
      <c r="B227" s="464">
        <f>D$183</f>
        <v>22906.55290616216</v>
      </c>
      <c r="C227" s="463">
        <f>'Data 2009-15 (Real $2008)'!C$155</f>
        <v>7</v>
      </c>
      <c r="D227" s="85">
        <f>IF(C227&lt;1,B227,B227/2/C227)</f>
        <v>1636.1823504401543</v>
      </c>
      <c r="E227" s="85">
        <f>IF((SUM($D227:D227)+$B227/$C227)&gt;$B227,$B227-SUM($D227:D227),$B227/$C227)</f>
        <v>3272.3647008803086</v>
      </c>
      <c r="F227" s="85">
        <f>IF((SUM($D227:E227)+$B227/$C227)&gt;$B227,$B227-SUM($D227:E227),$B227/$C227)</f>
        <v>3272.3647008803086</v>
      </c>
      <c r="G227" s="85">
        <f>IF((SUM($D227:F227)+$B227/$C227)&gt;$B227,$B227-SUM($D227:F227),$B227/$C227)</f>
        <v>3272.3647008803086</v>
      </c>
      <c r="H227" s="85">
        <f>IF((SUM($D227:G227)+$B227/$C227)&gt;$B227,$B227-SUM($D227:G227),$B227/$C227)</f>
        <v>3272.3647008803086</v>
      </c>
      <c r="I227" s="85">
        <f>IF((SUM($D227:H227)+$B227/$C227)&gt;$B227,$B227-SUM($D227:H227),$B227/$C227)</f>
        <v>3272.3647008803086</v>
      </c>
      <c r="J227" s="85">
        <f>IF((SUM($D227:I227)+$B227/$C227)&gt;$B227,$B227-SUM($D227:I227),$B227/$C227)</f>
        <v>3272.3647008803086</v>
      </c>
      <c r="K227" s="85">
        <f>IF((SUM($D227:J227)+$B227/$C227)&gt;$B227,$B227-SUM($D227:J227),$B227/$C227)</f>
        <v>1636.1823504401546</v>
      </c>
      <c r="L227" s="85">
        <f>IF((SUM($D227:K227)+$B227/$C227)&gt;$B227,$B227-SUM($D227:K227),$B227/$C227)</f>
        <v>0</v>
      </c>
      <c r="M227" s="85">
        <f>IF((SUM($D227:L227)+$B227/$C227)&gt;$B227,$B227-SUM($D227:L227),$B227/$C227)</f>
        <v>0</v>
      </c>
      <c r="N227" s="85">
        <f>IF((SUM($D227:M227)+$B227/$C227)&gt;$B227,$B227-SUM($D227:M227),$B227/$C227)</f>
        <v>0</v>
      </c>
      <c r="O227" s="85">
        <f>IF((SUM($D227:N227)+$B227/$C227)&gt;$B227,$B227-SUM($D227:N227),$B227/$C227)</f>
        <v>0</v>
      </c>
      <c r="P227" s="85">
        <f>IF((SUM($D227:O227)+$B227/$C227)&gt;$B227,$B227-SUM($D227:O227),$B227/$C227)</f>
        <v>0</v>
      </c>
      <c r="Q227" s="85">
        <f>IF((SUM($D227:P227)+$B227/$C227)&gt;$B227,$B227-SUM($D227:P227),$B227/$C227)</f>
        <v>0</v>
      </c>
      <c r="R227" s="85">
        <f>IF((SUM($D227:Q227)+$B227/$C227)&gt;$B227,$B227-SUM($D227:Q227),$B227/$C227)</f>
        <v>0</v>
      </c>
      <c r="S227" s="85">
        <f>IF((SUM($D227:R227)+$B227/$C227)&gt;$B227,$B227-SUM($D227:R227),$B227/$C227)</f>
        <v>0</v>
      </c>
      <c r="T227" s="85">
        <f>IF((SUM($D227:S227)+$B227/$C227)&gt;$B227,$B227-SUM($D227:S227),$B227/$C227)</f>
        <v>0</v>
      </c>
      <c r="U227" s="85">
        <f>IF((SUM($D227:T227)+$B227/$C227)&gt;$B227,$B227-SUM($D227:T227),$B227/$C227)</f>
        <v>0</v>
      </c>
      <c r="V227" s="85">
        <f>IF((SUM($D227:U227)+$B227/$C227)&gt;$B227,$B227-SUM($D227:U227),$B227/$C227)</f>
        <v>0</v>
      </c>
      <c r="W227" s="85">
        <f>IF((SUM($D227:V227)+$B227/$C227)&gt;$B227,$B227-SUM($D227:V227),$B227/$C227)</f>
        <v>0</v>
      </c>
      <c r="X227" s="85">
        <f>IF((SUM($D227:W227)+$B227/$C227)&gt;$B227,$B227-SUM($D227:W227),$B227/$C227)</f>
        <v>0</v>
      </c>
      <c r="Y227" s="85">
        <f>IF((SUM($D227:X227)+$B227/$C227)&gt;$B227,$B227-SUM($D227:X227),$B227/$C227)</f>
        <v>0</v>
      </c>
      <c r="Z227" s="85">
        <f>IF((SUM($D227:Y227)+$B227/$C227)&gt;$B227,$B227-SUM($D227:Y227),$B227/$C227)</f>
        <v>0</v>
      </c>
      <c r="AA227" s="85">
        <f>IF((SUM($D227:Z227)+$B227/$C227)&gt;$B227,$B227-SUM($D227:Z227),$B227/$C227)</f>
        <v>0</v>
      </c>
    </row>
    <row r="228" spans="1:27" outlineLevel="1" x14ac:dyDescent="0.2">
      <c r="A228" s="462">
        <v>2010</v>
      </c>
      <c r="B228" s="464">
        <f>E$183</f>
        <v>19865.495396322662</v>
      </c>
      <c r="C228" s="463">
        <f>'Data 2009-15 (Real $2008)'!C$155</f>
        <v>7</v>
      </c>
      <c r="D228" s="473"/>
      <c r="E228" s="85">
        <f>IF(C228&lt;1,B228,B228/2/C228)</f>
        <v>1418.9639568801902</v>
      </c>
      <c r="F228" s="85">
        <f>IF((SUM($D228:E228)+$B228/$C228)&gt;$B228,$B228-SUM($D228:E228),$B228/$C228)</f>
        <v>2837.9279137603803</v>
      </c>
      <c r="G228" s="85">
        <f>IF((SUM($D228:F228)+$B228/$C228)&gt;$B228,$B228-SUM($D228:F228),$B228/$C228)</f>
        <v>2837.9279137603803</v>
      </c>
      <c r="H228" s="85">
        <f>IF((SUM($D228:G228)+$B228/$C228)&gt;$B228,$B228-SUM($D228:G228),$B228/$C228)</f>
        <v>2837.9279137603803</v>
      </c>
      <c r="I228" s="85">
        <f>IF((SUM($D228:H228)+$B228/$C228)&gt;$B228,$B228-SUM($D228:H228),$B228/$C228)</f>
        <v>2837.9279137603803</v>
      </c>
      <c r="J228" s="85">
        <f>IF((SUM($D228:I228)+$B228/$C228)&gt;$B228,$B228-SUM($D228:I228),$B228/$C228)</f>
        <v>2837.9279137603803</v>
      </c>
      <c r="K228" s="85">
        <f>IF((SUM($D228:J228)+$B228/$C228)&gt;$B228,$B228-SUM($D228:J228),$B228/$C228)</f>
        <v>2837.9279137603803</v>
      </c>
      <c r="L228" s="85">
        <f>IF((SUM($D228:K228)+$B228/$C228)&gt;$B228,$B228-SUM($D228:K228),$B228/$C228)</f>
        <v>1418.9639568801904</v>
      </c>
      <c r="M228" s="85">
        <f>IF((SUM($D228:L228)+$B228/$C228)&gt;$B228,$B228-SUM($D228:L228),$B228/$C228)</f>
        <v>0</v>
      </c>
      <c r="N228" s="85">
        <f>IF((SUM($D228:M228)+$B228/$C228)&gt;$B228,$B228-SUM($D228:M228),$B228/$C228)</f>
        <v>0</v>
      </c>
      <c r="O228" s="85">
        <f>IF((SUM($D228:N228)+$B228/$C228)&gt;$B228,$B228-SUM($D228:N228),$B228/$C228)</f>
        <v>0</v>
      </c>
      <c r="P228" s="85">
        <f>IF((SUM($D228:O228)+$B228/$C228)&gt;$B228,$B228-SUM($D228:O228),$B228/$C228)</f>
        <v>0</v>
      </c>
      <c r="Q228" s="85">
        <f>IF((SUM($D228:P228)+$B228/$C228)&gt;$B228,$B228-SUM($D228:P228),$B228/$C228)</f>
        <v>0</v>
      </c>
      <c r="R228" s="85">
        <f>IF((SUM($D228:Q228)+$B228/$C228)&gt;$B228,$B228-SUM($D228:Q228),$B228/$C228)</f>
        <v>0</v>
      </c>
      <c r="S228" s="85">
        <f>IF((SUM($D228:R228)+$B228/$C228)&gt;$B228,$B228-SUM($D228:R228),$B228/$C228)</f>
        <v>0</v>
      </c>
      <c r="T228" s="85">
        <f>IF((SUM($D228:S228)+$B228/$C228)&gt;$B228,$B228-SUM($D228:S228),$B228/$C228)</f>
        <v>0</v>
      </c>
      <c r="U228" s="85">
        <f>IF((SUM($D228:T228)+$B228/$C228)&gt;$B228,$B228-SUM($D228:T228),$B228/$C228)</f>
        <v>0</v>
      </c>
      <c r="V228" s="85">
        <f>IF((SUM($D228:U228)+$B228/$C228)&gt;$B228,$B228-SUM($D228:U228),$B228/$C228)</f>
        <v>0</v>
      </c>
      <c r="W228" s="85">
        <f>IF((SUM($D228:V228)+$B228/$C228)&gt;$B228,$B228-SUM($D228:V228),$B228/$C228)</f>
        <v>0</v>
      </c>
      <c r="X228" s="85">
        <f>IF((SUM($D228:W228)+$B228/$C228)&gt;$B228,$B228-SUM($D228:W228),$B228/$C228)</f>
        <v>0</v>
      </c>
      <c r="Y228" s="85">
        <f>IF((SUM($D228:X228)+$B228/$C228)&gt;$B228,$B228-SUM($D228:X228),$B228/$C228)</f>
        <v>0</v>
      </c>
      <c r="Z228" s="85">
        <f>IF((SUM($D228:Y228)+$B228/$C228)&gt;$B228,$B228-SUM($D228:Y228),$B228/$C228)</f>
        <v>0</v>
      </c>
      <c r="AA228" s="85">
        <f>IF((SUM($D228:Z228)+$B228/$C228)&gt;$B228,$B228-SUM($D228:Z228),$B228/$C228)</f>
        <v>0</v>
      </c>
    </row>
    <row r="229" spans="1:27" outlineLevel="1" x14ac:dyDescent="0.2">
      <c r="A229" s="462">
        <v>2011</v>
      </c>
      <c r="B229" s="464">
        <f>F$183</f>
        <v>10372.068667339874</v>
      </c>
      <c r="C229" s="463">
        <f>'Data 2009-15 (Real $2008)'!C$155</f>
        <v>7</v>
      </c>
      <c r="D229" s="473"/>
      <c r="E229" s="473"/>
      <c r="F229" s="85">
        <f>IF(C229&lt;1,B229,B229/2/C229)</f>
        <v>740.86204766713388</v>
      </c>
      <c r="G229" s="85">
        <f>IF((SUM($D229:F229)+$B229/$C229)&gt;$B229,$B229-SUM($D229:F229),$B229/$C229)</f>
        <v>1481.7240953342678</v>
      </c>
      <c r="H229" s="85">
        <f>IF((SUM($D229:G229)+$B229/$C229)&gt;$B229,$B229-SUM($D229:G229),$B229/$C229)</f>
        <v>1481.7240953342678</v>
      </c>
      <c r="I229" s="85">
        <f>IF((SUM($D229:H229)+$B229/$C229)&gt;$B229,$B229-SUM($D229:H229),$B229/$C229)</f>
        <v>1481.7240953342678</v>
      </c>
      <c r="J229" s="85">
        <f>IF((SUM($D229:I229)+$B229/$C229)&gt;$B229,$B229-SUM($D229:I229),$B229/$C229)</f>
        <v>1481.7240953342678</v>
      </c>
      <c r="K229" s="85">
        <f>IF((SUM($D229:J229)+$B229/$C229)&gt;$B229,$B229-SUM($D229:J229),$B229/$C229)</f>
        <v>1481.7240953342678</v>
      </c>
      <c r="L229" s="85">
        <f>IF((SUM($D229:K229)+$B229/$C229)&gt;$B229,$B229-SUM($D229:K229),$B229/$C229)</f>
        <v>1481.7240953342678</v>
      </c>
      <c r="M229" s="85">
        <f>IF((SUM($D229:L229)+$B229/$C229)&gt;$B229,$B229-SUM($D229:L229),$B229/$C229)</f>
        <v>740.86204766713308</v>
      </c>
      <c r="N229" s="85">
        <f>IF((SUM($D229:M229)+$B229/$C229)&gt;$B229,$B229-SUM($D229:M229),$B229/$C229)</f>
        <v>0</v>
      </c>
      <c r="O229" s="85">
        <f>IF((SUM($D229:N229)+$B229/$C229)&gt;$B229,$B229-SUM($D229:N229),$B229/$C229)</f>
        <v>0</v>
      </c>
      <c r="P229" s="85">
        <f>IF((SUM($D229:O229)+$B229/$C229)&gt;$B229,$B229-SUM($D229:O229),$B229/$C229)</f>
        <v>0</v>
      </c>
      <c r="Q229" s="85">
        <f>IF((SUM($D229:P229)+$B229/$C229)&gt;$B229,$B229-SUM($D229:P229),$B229/$C229)</f>
        <v>0</v>
      </c>
      <c r="R229" s="85">
        <f>IF((SUM($D229:Q229)+$B229/$C229)&gt;$B229,$B229-SUM($D229:Q229),$B229/$C229)</f>
        <v>0</v>
      </c>
      <c r="S229" s="85">
        <f>IF((SUM($D229:R229)+$B229/$C229)&gt;$B229,$B229-SUM($D229:R229),$B229/$C229)</f>
        <v>0</v>
      </c>
      <c r="T229" s="85">
        <f>IF((SUM($D229:S229)+$B229/$C229)&gt;$B229,$B229-SUM($D229:S229),$B229/$C229)</f>
        <v>0</v>
      </c>
      <c r="U229" s="85">
        <f>IF((SUM($D229:T229)+$B229/$C229)&gt;$B229,$B229-SUM($D229:T229),$B229/$C229)</f>
        <v>0</v>
      </c>
      <c r="V229" s="85">
        <f>IF((SUM($D229:U229)+$B229/$C229)&gt;$B229,$B229-SUM($D229:U229),$B229/$C229)</f>
        <v>0</v>
      </c>
      <c r="W229" s="85">
        <f>IF((SUM($D229:V229)+$B229/$C229)&gt;$B229,$B229-SUM($D229:V229),$B229/$C229)</f>
        <v>0</v>
      </c>
      <c r="X229" s="85">
        <f>IF((SUM($D229:W229)+$B229/$C229)&gt;$B229,$B229-SUM($D229:W229),$B229/$C229)</f>
        <v>0</v>
      </c>
      <c r="Y229" s="85">
        <f>IF((SUM($D229:X229)+$B229/$C229)&gt;$B229,$B229-SUM($D229:X229),$B229/$C229)</f>
        <v>0</v>
      </c>
      <c r="Z229" s="85">
        <f>IF((SUM($D229:Y229)+$B229/$C229)&gt;$B229,$B229-SUM($D229:Y229),$B229/$C229)</f>
        <v>0</v>
      </c>
      <c r="AA229" s="85">
        <f>IF((SUM($D229:Z229)+$B229/$C229)&gt;$B229,$B229-SUM($D229:Z229),$B229/$C229)</f>
        <v>0</v>
      </c>
    </row>
    <row r="230" spans="1:27" outlineLevel="1" x14ac:dyDescent="0.2">
      <c r="A230" s="462">
        <v>2012</v>
      </c>
      <c r="B230" s="464">
        <f>G$183</f>
        <v>8184.2504311594212</v>
      </c>
      <c r="C230" s="463">
        <f>'Data 2009-15 (Real $2008)'!C$155</f>
        <v>7</v>
      </c>
      <c r="D230" s="473"/>
      <c r="E230" s="473"/>
      <c r="F230" s="473"/>
      <c r="G230" s="85">
        <f>IF($C230=1,$B230,$B230/2/$C230)</f>
        <v>584.58931651138721</v>
      </c>
      <c r="H230" s="85">
        <f>IF((SUM($D230:G230)+$B230/$C230)&gt;$B230,$B230-SUM($D230:G230),$B230/$C230)</f>
        <v>1169.1786330227744</v>
      </c>
      <c r="I230" s="85">
        <f>IF((SUM($D230:H230)+$B230/$C230)&gt;$B230,$B230-SUM($D230:H230),$B230/$C230)</f>
        <v>1169.1786330227744</v>
      </c>
      <c r="J230" s="85">
        <f>IF((SUM($D230:I230)+$B230/$C230)&gt;$B230,$B230-SUM($D230:I230),$B230/$C230)</f>
        <v>1169.1786330227744</v>
      </c>
      <c r="K230" s="85">
        <f>IF((SUM($D230:J230)+$B230/$C230)&gt;$B230,$B230-SUM($D230:J230),$B230/$C230)</f>
        <v>1169.1786330227744</v>
      </c>
      <c r="L230" s="85">
        <f>IF((SUM($D230:K230)+$B230/$C230)&gt;$B230,$B230-SUM($D230:K230),$B230/$C230)</f>
        <v>1169.1786330227744</v>
      </c>
      <c r="M230" s="85">
        <f>IF((SUM($D230:L230)+$B230/$C230)&gt;$B230,$B230-SUM($D230:L230),$B230/$C230)</f>
        <v>1169.1786330227744</v>
      </c>
      <c r="N230" s="85">
        <f>IF((SUM($D230:M230)+$B230/$C230)&gt;$B230,$B230-SUM($D230:M230),$B230/$C230)</f>
        <v>584.58931651138846</v>
      </c>
      <c r="O230" s="85">
        <f>IF((SUM($D230:N230)+$B230/$C230)&gt;$B230,$B230-SUM($D230:N230),$B230/$C230)</f>
        <v>0</v>
      </c>
      <c r="P230" s="85">
        <f>IF((SUM($D230:O230)+$B230/$C230)&gt;$B230,$B230-SUM($D230:O230),$B230/$C230)</f>
        <v>0</v>
      </c>
      <c r="Q230" s="85">
        <f>IF((SUM($D230:P230)+$B230/$C230)&gt;$B230,$B230-SUM($D230:P230),$B230/$C230)</f>
        <v>0</v>
      </c>
      <c r="R230" s="85">
        <f>IF((SUM($D230:Q230)+$B230/$C230)&gt;$B230,$B230-SUM($D230:Q230),$B230/$C230)</f>
        <v>0</v>
      </c>
      <c r="S230" s="85">
        <f>IF((SUM($D230:R230)+$B230/$C230)&gt;$B230,$B230-SUM($D230:R230),$B230/$C230)</f>
        <v>0</v>
      </c>
      <c r="T230" s="85">
        <f>IF((SUM($D230:S230)+$B230/$C230)&gt;$B230,$B230-SUM($D230:S230),$B230/$C230)</f>
        <v>0</v>
      </c>
      <c r="U230" s="85">
        <f>IF((SUM($D230:T230)+$B230/$C230)&gt;$B230,$B230-SUM($D230:T230),$B230/$C230)</f>
        <v>0</v>
      </c>
      <c r="V230" s="85">
        <f>IF((SUM($D230:U230)+$B230/$C230)&gt;$B230,$B230-SUM($D230:U230),$B230/$C230)</f>
        <v>0</v>
      </c>
      <c r="W230" s="85">
        <f>IF((SUM($D230:V230)+$B230/$C230)&gt;$B230,$B230-SUM($D230:V230),$B230/$C230)</f>
        <v>0</v>
      </c>
      <c r="X230" s="85">
        <f>IF((SUM($D230:W230)+$B230/$C230)&gt;$B230,$B230-SUM($D230:W230),$B230/$C230)</f>
        <v>0</v>
      </c>
      <c r="Y230" s="85">
        <f>IF((SUM($D230:X230)+$B230/$C230)&gt;$B230,$B230-SUM($D230:X230),$B230/$C230)</f>
        <v>0</v>
      </c>
      <c r="Z230" s="85">
        <f>IF((SUM($D230:Y230)+$B230/$C230)&gt;$B230,$B230-SUM($D230:Y230),$B230/$C230)</f>
        <v>0</v>
      </c>
      <c r="AA230" s="85">
        <f>IF((SUM($D230:Z230)+$B230/$C230)&gt;$B230,$B230-SUM($D230:Z230),$B230/$C230)</f>
        <v>0</v>
      </c>
    </row>
    <row r="231" spans="1:27" outlineLevel="1" x14ac:dyDescent="0.2">
      <c r="A231" s="462">
        <v>2013</v>
      </c>
      <c r="B231" s="464">
        <f>H$183</f>
        <v>5535.9412246744123</v>
      </c>
      <c r="C231" s="463">
        <f>'Data 2009-15 (Real $2008)'!C$155</f>
        <v>7</v>
      </c>
      <c r="D231" s="473"/>
      <c r="E231" s="473"/>
      <c r="F231" s="473"/>
      <c r="G231" s="473"/>
      <c r="H231" s="85">
        <f>IF($C231=1,$B231,$B231/2/$C231)</f>
        <v>395.42437319102947</v>
      </c>
      <c r="I231" s="85">
        <f>IF((SUM($D231:H231)+$B231/$C231)&gt;$B231,$B231-SUM($D231:H231),$B231/$C231)</f>
        <v>790.84874638205895</v>
      </c>
      <c r="J231" s="85">
        <f>IF((SUM($D231:I231)+$B231/$C231)&gt;$B231,$B231-SUM($D231:I231),$B231/$C231)</f>
        <v>790.84874638205895</v>
      </c>
      <c r="K231" s="85">
        <f>IF((SUM($D231:J231)+$B231/$C231)&gt;$B231,$B231-SUM($D231:J231),$B231/$C231)</f>
        <v>790.84874638205895</v>
      </c>
      <c r="L231" s="85">
        <f>IF((SUM($D231:K231)+$B231/$C231)&gt;$B231,$B231-SUM($D231:K231),$B231/$C231)</f>
        <v>790.84874638205895</v>
      </c>
      <c r="M231" s="85">
        <f>IF((SUM($D231:L231)+$B231/$C231)&gt;$B231,$B231-SUM($D231:L231),$B231/$C231)</f>
        <v>790.84874638205895</v>
      </c>
      <c r="N231" s="85">
        <f>IF((SUM($D231:M231)+$B231/$C231)&gt;$B231,$B231-SUM($D231:M231),$B231/$C231)</f>
        <v>790.84874638205895</v>
      </c>
      <c r="O231" s="85">
        <f>IF((SUM($D231:N231)+$B231/$C231)&gt;$B231,$B231-SUM($D231:N231),$B231/$C231)</f>
        <v>395.42437319102919</v>
      </c>
      <c r="P231" s="85">
        <f>IF((SUM($D231:O231)+$B231/$C231)&gt;$B231,$B231-SUM($D231:O231),$B231/$C231)</f>
        <v>0</v>
      </c>
      <c r="Q231" s="85">
        <f>IF((SUM($D231:P231)+$B231/$C231)&gt;$B231,$B231-SUM($D231:P231),$B231/$C231)</f>
        <v>0</v>
      </c>
      <c r="R231" s="85">
        <f>IF((SUM($D231:Q231)+$B231/$C231)&gt;$B231,$B231-SUM($D231:Q231),$B231/$C231)</f>
        <v>0</v>
      </c>
      <c r="S231" s="85">
        <f>IF((SUM($D231:R231)+$B231/$C231)&gt;$B231,$B231-SUM($D231:R231),$B231/$C231)</f>
        <v>0</v>
      </c>
      <c r="T231" s="85">
        <f>IF((SUM($D231:S231)+$B231/$C231)&gt;$B231,$B231-SUM($D231:S231),$B231/$C231)</f>
        <v>0</v>
      </c>
      <c r="U231" s="85">
        <f>IF((SUM($D231:T231)+$B231/$C231)&gt;$B231,$B231-SUM($D231:T231),$B231/$C231)</f>
        <v>0</v>
      </c>
      <c r="V231" s="85">
        <f>IF((SUM($D231:U231)+$B231/$C231)&gt;$B231,$B231-SUM($D231:U231),$B231/$C231)</f>
        <v>0</v>
      </c>
      <c r="W231" s="85">
        <f>IF((SUM($D231:V231)+$B231/$C231)&gt;$B231,$B231-SUM($D231:V231),$B231/$C231)</f>
        <v>0</v>
      </c>
      <c r="X231" s="85">
        <f>IF((SUM($D231:W231)+$B231/$C231)&gt;$B231,$B231-SUM($D231:W231),$B231/$C231)</f>
        <v>0</v>
      </c>
      <c r="Y231" s="85">
        <f>IF((SUM($D231:X231)+$B231/$C231)&gt;$B231,$B231-SUM($D231:X231),$B231/$C231)</f>
        <v>0</v>
      </c>
      <c r="Z231" s="85">
        <f>IF((SUM($D231:Y231)+$B231/$C231)&gt;$B231,$B231-SUM($D231:Y231),$B231/$C231)</f>
        <v>0</v>
      </c>
      <c r="AA231" s="85">
        <f>IF((SUM($D231:Z231)+$B231/$C231)&gt;$B231,$B231-SUM($D231:Z231),$B231/$C231)</f>
        <v>0</v>
      </c>
    </row>
    <row r="232" spans="1:27" outlineLevel="1" x14ac:dyDescent="0.2">
      <c r="A232" s="462">
        <v>2014</v>
      </c>
      <c r="B232" s="464">
        <f>I$183</f>
        <v>6166.3498576883421</v>
      </c>
      <c r="C232" s="463">
        <f>'Data 2009-15 (Real $2008)'!C$155</f>
        <v>7</v>
      </c>
      <c r="D232" s="473"/>
      <c r="E232" s="473"/>
      <c r="F232" s="473"/>
      <c r="G232" s="473"/>
      <c r="H232" s="473"/>
      <c r="I232" s="85">
        <f>IF($C232=1,$B232,$B232/2/$C232)</f>
        <v>440.45356126345303</v>
      </c>
      <c r="J232" s="85">
        <f>IF((SUM($D232:I232)+$B232/$C232)&gt;$B232,$B232-SUM($D232:I232),$B232/$C232)</f>
        <v>880.90712252690605</v>
      </c>
      <c r="K232" s="85">
        <f>IF((SUM($D232:J232)+$B232/$C232)&gt;$B232,$B232-SUM($D232:J232),$B232/$C232)</f>
        <v>880.90712252690605</v>
      </c>
      <c r="L232" s="85">
        <f>IF((SUM($D232:K232)+$B232/$C232)&gt;$B232,$B232-SUM($D232:K232),$B232/$C232)</f>
        <v>880.90712252690605</v>
      </c>
      <c r="M232" s="85">
        <f>IF((SUM($D232:L232)+$B232/$C232)&gt;$B232,$B232-SUM($D232:L232),$B232/$C232)</f>
        <v>880.90712252690605</v>
      </c>
      <c r="N232" s="85">
        <f>IF((SUM($D232:M232)+$B232/$C232)&gt;$B232,$B232-SUM($D232:M232),$B232/$C232)</f>
        <v>880.90712252690605</v>
      </c>
      <c r="O232" s="85">
        <f>IF((SUM($D232:N232)+$B232/$C232)&gt;$B232,$B232-SUM($D232:N232),$B232/$C232)</f>
        <v>880.90712252690605</v>
      </c>
      <c r="P232" s="85">
        <f>IF((SUM($D232:O232)+$B232/$C232)&gt;$B232,$B232-SUM($D232:O232),$B232/$C232)</f>
        <v>440.45356126345177</v>
      </c>
      <c r="Q232" s="85">
        <f>IF((SUM($D232:P232)+$B232/$C232)&gt;$B232,$B232-SUM($D232:P232),$B232/$C232)</f>
        <v>0</v>
      </c>
      <c r="R232" s="85">
        <f>IF((SUM($D232:Q232)+$B232/$C232)&gt;$B232,$B232-SUM($D232:Q232),$B232/$C232)</f>
        <v>0</v>
      </c>
      <c r="S232" s="85">
        <f>IF((SUM($D232:R232)+$B232/$C232)&gt;$B232,$B232-SUM($D232:R232),$B232/$C232)</f>
        <v>0</v>
      </c>
      <c r="T232" s="85">
        <f>IF((SUM($D232:S232)+$B232/$C232)&gt;$B232,$B232-SUM($D232:S232),$B232/$C232)</f>
        <v>0</v>
      </c>
      <c r="U232" s="85">
        <f>IF((SUM($D232:T232)+$B232/$C232)&gt;$B232,$B232-SUM($D232:T232),$B232/$C232)</f>
        <v>0</v>
      </c>
      <c r="V232" s="85">
        <f>IF((SUM($D232:U232)+$B232/$C232)&gt;$B232,$B232-SUM($D232:U232),$B232/$C232)</f>
        <v>0</v>
      </c>
      <c r="W232" s="85">
        <f>IF((SUM($D232:V232)+$B232/$C232)&gt;$B232,$B232-SUM($D232:V232),$B232/$C232)</f>
        <v>0</v>
      </c>
      <c r="X232" s="85">
        <f>IF((SUM($D232:W232)+$B232/$C232)&gt;$B232,$B232-SUM($D232:W232),$B232/$C232)</f>
        <v>0</v>
      </c>
      <c r="Y232" s="85">
        <f>IF((SUM($D232:X232)+$B232/$C232)&gt;$B232,$B232-SUM($D232:X232),$B232/$C232)</f>
        <v>0</v>
      </c>
      <c r="Z232" s="85">
        <f>IF((SUM($D232:Y232)+$B232/$C232)&gt;$B232,$B232-SUM($D232:Y232),$B232/$C232)</f>
        <v>0</v>
      </c>
      <c r="AA232" s="85">
        <f>IF((SUM($D232:Z232)+$B232/$C232)&gt;$B232,$B232-SUM($D232:Z232),$B232/$C232)</f>
        <v>0</v>
      </c>
    </row>
    <row r="233" spans="1:27" outlineLevel="1" x14ac:dyDescent="0.2">
      <c r="A233" s="462">
        <v>2015</v>
      </c>
      <c r="B233" s="464">
        <f>J$183</f>
        <v>4594.6998172959602</v>
      </c>
      <c r="C233" s="463">
        <f>'Data 2009-15 (Real $2008)'!C$155</f>
        <v>7</v>
      </c>
      <c r="D233" s="473"/>
      <c r="E233" s="473"/>
      <c r="F233" s="473"/>
      <c r="G233" s="473"/>
      <c r="H233" s="473"/>
      <c r="I233" s="473"/>
      <c r="J233" s="85">
        <f>IF($C233=1,$B233,$B233/2/$C233)</f>
        <v>328.19284409256858</v>
      </c>
      <c r="K233" s="85">
        <f>IF((SUM($D233:J233)+$B233/$C233)&gt;$B233,$B233-SUM($D233:J233),$B233/$C233)</f>
        <v>656.38568818513716</v>
      </c>
      <c r="L233" s="85">
        <f>IF((SUM($D233:K233)+$B233/$C233)&gt;$B233,$B233-SUM($D233:K233),$B233/$C233)</f>
        <v>656.38568818513716</v>
      </c>
      <c r="M233" s="85">
        <f>IF((SUM($D233:L233)+$B233/$C233)&gt;$B233,$B233-SUM($D233:L233),$B233/$C233)</f>
        <v>656.38568818513716</v>
      </c>
      <c r="N233" s="85">
        <f>IF((SUM($D233:M233)+$B233/$C233)&gt;$B233,$B233-SUM($D233:M233),$B233/$C233)</f>
        <v>656.38568818513716</v>
      </c>
      <c r="O233" s="85">
        <f>IF((SUM($D233:N233)+$B233/$C233)&gt;$B233,$B233-SUM($D233:N233),$B233/$C233)</f>
        <v>656.38568818513716</v>
      </c>
      <c r="P233" s="85">
        <f>IF((SUM($D233:O233)+$B233/$C233)&gt;$B233,$B233-SUM($D233:O233),$B233/$C233)</f>
        <v>656.38568818513716</v>
      </c>
      <c r="Q233" s="85">
        <f>IF((SUM($D233:P233)+$B233/$C233)&gt;$B233,$B233-SUM($D233:P233),$B233/$C233)</f>
        <v>328.19284409256852</v>
      </c>
      <c r="R233" s="85">
        <f>IF((SUM($D233:Q233)+$B233/$C233)&gt;$B233,$B233-SUM($D233:Q233),$B233/$C233)</f>
        <v>0</v>
      </c>
      <c r="S233" s="85">
        <f>IF((SUM($D233:R233)+$B233/$C233)&gt;$B233,$B233-SUM($D233:R233),$B233/$C233)</f>
        <v>0</v>
      </c>
      <c r="T233" s="85">
        <f>IF((SUM($D233:S233)+$B233/$C233)&gt;$B233,$B233-SUM($D233:S233),$B233/$C233)</f>
        <v>0</v>
      </c>
      <c r="U233" s="85">
        <f>IF((SUM($D233:T233)+$B233/$C233)&gt;$B233,$B233-SUM($D233:T233),$B233/$C233)</f>
        <v>0</v>
      </c>
      <c r="V233" s="85">
        <f>IF((SUM($D233:U233)+$B233/$C233)&gt;$B233,$B233-SUM($D233:U233),$B233/$C233)</f>
        <v>0</v>
      </c>
      <c r="W233" s="85">
        <f>IF((SUM($D233:V233)+$B233/$C233)&gt;$B233,$B233-SUM($D233:V233),$B233/$C233)</f>
        <v>0</v>
      </c>
      <c r="X233" s="85">
        <f>IF((SUM($D233:W233)+$B233/$C233)&gt;$B233,$B233-SUM($D233:W233),$B233/$C233)</f>
        <v>0</v>
      </c>
      <c r="Y233" s="85">
        <f>IF((SUM($D233:X233)+$B233/$C233)&gt;$B233,$B233-SUM($D233:X233),$B233/$C233)</f>
        <v>0</v>
      </c>
      <c r="Z233" s="85">
        <f>IF((SUM($D233:Y233)+$B233/$C233)&gt;$B233,$B233-SUM($D233:Y233),$B233/$C233)</f>
        <v>0</v>
      </c>
      <c r="AA233" s="85">
        <f>IF((SUM($D233:Z233)+$B233/$C233)&gt;$B233,$B233-SUM($D233:Z233),$B233/$C233)</f>
        <v>0</v>
      </c>
    </row>
    <row r="234" spans="1:27" s="462" customFormat="1" outlineLevel="1" x14ac:dyDescent="0.2">
      <c r="B234" s="465">
        <f>SUM(B227:B233)</f>
        <v>77625.358300642838</v>
      </c>
      <c r="D234" s="694">
        <f t="shared" ref="D234:AA234" si="72">SUM(D227:D233)</f>
        <v>1636.1823504401543</v>
      </c>
      <c r="E234" s="694">
        <f t="shared" si="72"/>
        <v>4691.3286577604986</v>
      </c>
      <c r="F234" s="694">
        <f t="shared" si="72"/>
        <v>6851.1546623078229</v>
      </c>
      <c r="G234" s="694">
        <f t="shared" si="72"/>
        <v>8176.6060264863445</v>
      </c>
      <c r="H234" s="694">
        <f t="shared" si="72"/>
        <v>9156.6197161887612</v>
      </c>
      <c r="I234" s="694">
        <f t="shared" si="72"/>
        <v>9992.4976506432431</v>
      </c>
      <c r="J234" s="694">
        <f t="shared" si="72"/>
        <v>10761.144055999264</v>
      </c>
      <c r="K234" s="694">
        <f t="shared" si="72"/>
        <v>9453.1545496516792</v>
      </c>
      <c r="L234" s="694">
        <f t="shared" si="72"/>
        <v>6398.0082423313352</v>
      </c>
      <c r="M234" s="694">
        <f t="shared" si="72"/>
        <v>4238.1822377840099</v>
      </c>
      <c r="N234" s="694">
        <f t="shared" si="72"/>
        <v>2912.7308736054902</v>
      </c>
      <c r="O234" s="694">
        <f t="shared" si="72"/>
        <v>1932.7171839030725</v>
      </c>
      <c r="P234" s="694">
        <f t="shared" si="72"/>
        <v>1096.8392494485888</v>
      </c>
      <c r="Q234" s="694">
        <f t="shared" si="72"/>
        <v>328.19284409256852</v>
      </c>
      <c r="R234" s="694">
        <f t="shared" si="72"/>
        <v>0</v>
      </c>
      <c r="S234" s="694">
        <f t="shared" si="72"/>
        <v>0</v>
      </c>
      <c r="T234" s="694">
        <f t="shared" si="72"/>
        <v>0</v>
      </c>
      <c r="U234" s="694">
        <f t="shared" si="72"/>
        <v>0</v>
      </c>
      <c r="V234" s="694">
        <f t="shared" si="72"/>
        <v>0</v>
      </c>
      <c r="W234" s="694">
        <f t="shared" si="72"/>
        <v>0</v>
      </c>
      <c r="X234" s="694">
        <f t="shared" si="72"/>
        <v>0</v>
      </c>
      <c r="Y234" s="694">
        <f t="shared" si="72"/>
        <v>0</v>
      </c>
      <c r="Z234" s="694">
        <f t="shared" si="72"/>
        <v>0</v>
      </c>
      <c r="AA234" s="694">
        <f t="shared" si="72"/>
        <v>0</v>
      </c>
    </row>
    <row r="235" spans="1:27" outlineLevel="1" x14ac:dyDescent="0.2">
      <c r="A235" s="458"/>
      <c r="B235" s="458"/>
      <c r="C235" s="458"/>
      <c r="D235" s="458"/>
      <c r="E235" s="458"/>
      <c r="F235" s="458"/>
      <c r="G235" s="458"/>
      <c r="H235" s="458"/>
      <c r="I235" s="458"/>
    </row>
    <row r="236" spans="1:27" outlineLevel="1" x14ac:dyDescent="0.2">
      <c r="A236" s="458"/>
      <c r="B236" s="458"/>
      <c r="C236" s="458"/>
      <c r="D236" s="458"/>
      <c r="E236" s="458"/>
      <c r="F236" s="458"/>
      <c r="G236" s="458"/>
      <c r="H236" s="458"/>
      <c r="I236" s="458"/>
    </row>
    <row r="237" spans="1:27" outlineLevel="1" x14ac:dyDescent="0.2">
      <c r="A237" s="344" t="s">
        <v>286</v>
      </c>
      <c r="B237" s="466" t="s">
        <v>332</v>
      </c>
      <c r="C237" s="307" t="s">
        <v>7</v>
      </c>
      <c r="D237" s="461">
        <f>D$4</f>
        <v>2009</v>
      </c>
      <c r="E237" s="461">
        <f t="shared" ref="E237:AA237" si="73">E$4</f>
        <v>2010</v>
      </c>
      <c r="F237" s="461">
        <f t="shared" si="73"/>
        <v>2011</v>
      </c>
      <c r="G237" s="461">
        <f t="shared" si="73"/>
        <v>2012</v>
      </c>
      <c r="H237" s="461">
        <f t="shared" si="73"/>
        <v>2013</v>
      </c>
      <c r="I237" s="461">
        <f t="shared" si="73"/>
        <v>2014</v>
      </c>
      <c r="J237" s="461">
        <f t="shared" si="73"/>
        <v>2015</v>
      </c>
      <c r="K237" s="461">
        <f t="shared" si="73"/>
        <v>2016</v>
      </c>
      <c r="L237" s="461">
        <f t="shared" si="73"/>
        <v>2017</v>
      </c>
      <c r="M237" s="461">
        <f t="shared" si="73"/>
        <v>2018</v>
      </c>
      <c r="N237" s="461">
        <f t="shared" si="73"/>
        <v>2019</v>
      </c>
      <c r="O237" s="461">
        <f t="shared" si="73"/>
        <v>2020</v>
      </c>
      <c r="P237" s="461">
        <f t="shared" si="73"/>
        <v>2021</v>
      </c>
      <c r="Q237" s="461">
        <f t="shared" si="73"/>
        <v>2022</v>
      </c>
      <c r="R237" s="461">
        <f t="shared" si="73"/>
        <v>2023</v>
      </c>
      <c r="S237" s="461">
        <f t="shared" si="73"/>
        <v>2024</v>
      </c>
      <c r="T237" s="461">
        <f t="shared" si="73"/>
        <v>2025</v>
      </c>
      <c r="U237" s="461">
        <f t="shared" si="73"/>
        <v>2026</v>
      </c>
      <c r="V237" s="461">
        <f t="shared" si="73"/>
        <v>2027</v>
      </c>
      <c r="W237" s="461">
        <f t="shared" si="73"/>
        <v>2028</v>
      </c>
      <c r="X237" s="461">
        <f t="shared" si="73"/>
        <v>2029</v>
      </c>
      <c r="Y237" s="461">
        <f t="shared" si="73"/>
        <v>2030</v>
      </c>
      <c r="Z237" s="461">
        <f t="shared" si="73"/>
        <v>2031</v>
      </c>
      <c r="AA237" s="461">
        <f t="shared" si="73"/>
        <v>2032</v>
      </c>
    </row>
    <row r="238" spans="1:27" outlineLevel="1" x14ac:dyDescent="0.2">
      <c r="A238" s="344" t="str">
        <f>$A$4</f>
        <v>($000 Real 2008)</v>
      </c>
      <c r="B238" s="467" t="s">
        <v>333</v>
      </c>
      <c r="C238" s="468" t="s">
        <v>329</v>
      </c>
      <c r="D238" s="453"/>
      <c r="E238" s="453"/>
      <c r="F238" s="453"/>
      <c r="G238" s="453"/>
      <c r="H238" s="453"/>
      <c r="I238" s="453"/>
      <c r="J238" s="453"/>
    </row>
    <row r="239" spans="1:27" outlineLevel="1" x14ac:dyDescent="0.2">
      <c r="A239" s="462">
        <v>2009</v>
      </c>
      <c r="B239" s="464">
        <f>D$184</f>
        <v>900.87381417417419</v>
      </c>
      <c r="C239" s="463">
        <f>'Data 2009-15 (Real $2008)'!C$156</f>
        <v>7</v>
      </c>
      <c r="D239" s="85">
        <f>IF(C239&lt;1,B239,B239/2/C239)</f>
        <v>64.348129583869579</v>
      </c>
      <c r="E239" s="85">
        <f>IF((SUM($D239:D239)+$B239/$C239)&gt;$B239,$B239-SUM($D239:D239),$B239/$C239)</f>
        <v>128.69625916773916</v>
      </c>
      <c r="F239" s="85">
        <f>IF((SUM($D239:E239)+$B239/$C239)&gt;$B239,$B239-SUM($D239:E239),$B239/$C239)</f>
        <v>128.69625916773916</v>
      </c>
      <c r="G239" s="85">
        <f>IF((SUM($D239:F239)+$B239/$C239)&gt;$B239,$B239-SUM($D239:F239),$B239/$C239)</f>
        <v>128.69625916773916</v>
      </c>
      <c r="H239" s="85">
        <f>IF((SUM($D239:G239)+$B239/$C239)&gt;$B239,$B239-SUM($D239:G239),$B239/$C239)</f>
        <v>128.69625916773916</v>
      </c>
      <c r="I239" s="85">
        <f>IF((SUM($D239:H239)+$B239/$C239)&gt;$B239,$B239-SUM($D239:H239),$B239/$C239)</f>
        <v>128.69625916773916</v>
      </c>
      <c r="J239" s="85">
        <f>IF((SUM($D239:I239)+$B239/$C239)&gt;$B239,$B239-SUM($D239:I239),$B239/$C239)</f>
        <v>128.69625916773916</v>
      </c>
      <c r="K239" s="85">
        <f>IF((SUM($D239:J239)+$B239/$C239)&gt;$B239,$B239-SUM($D239:J239),$B239/$C239)</f>
        <v>64.348129583869536</v>
      </c>
      <c r="L239" s="85">
        <f>IF((SUM($D239:K239)+$B239/$C239)&gt;$B239,$B239-SUM($D239:K239),$B239/$C239)</f>
        <v>0</v>
      </c>
      <c r="M239" s="85">
        <f>IF((SUM($D239:L239)+$B239/$C239)&gt;$B239,$B239-SUM($D239:L239),$B239/$C239)</f>
        <v>0</v>
      </c>
      <c r="N239" s="85">
        <f>IF((SUM($D239:M239)+$B239/$C239)&gt;$B239,$B239-SUM($D239:M239),$B239/$C239)</f>
        <v>0</v>
      </c>
      <c r="O239" s="85">
        <f>IF((SUM($D239:N239)+$B239/$C239)&gt;$B239,$B239-SUM($D239:N239),$B239/$C239)</f>
        <v>0</v>
      </c>
      <c r="P239" s="85">
        <f>IF((SUM($D239:O239)+$B239/$C239)&gt;$B239,$B239-SUM($D239:O239),$B239/$C239)</f>
        <v>0</v>
      </c>
      <c r="Q239" s="85">
        <f>IF((SUM($D239:P239)+$B239/$C239)&gt;$B239,$B239-SUM($D239:P239),$B239/$C239)</f>
        <v>0</v>
      </c>
      <c r="R239" s="85">
        <f>IF((SUM($D239:Q239)+$B239/$C239)&gt;$B239,$B239-SUM($D239:Q239),$B239/$C239)</f>
        <v>0</v>
      </c>
      <c r="S239" s="85">
        <f>IF((SUM($D239:R239)+$B239/$C239)&gt;$B239,$B239-SUM($D239:R239),$B239/$C239)</f>
        <v>0</v>
      </c>
      <c r="T239" s="85">
        <f>IF((SUM($D239:S239)+$B239/$C239)&gt;$B239,$B239-SUM($D239:S239),$B239/$C239)</f>
        <v>0</v>
      </c>
      <c r="U239" s="85">
        <f>IF((SUM($D239:T239)+$B239/$C239)&gt;$B239,$B239-SUM($D239:T239),$B239/$C239)</f>
        <v>0</v>
      </c>
      <c r="V239" s="85">
        <f>IF((SUM($D239:U239)+$B239/$C239)&gt;$B239,$B239-SUM($D239:U239),$B239/$C239)</f>
        <v>0</v>
      </c>
      <c r="W239" s="85">
        <f>IF((SUM($D239:V239)+$B239/$C239)&gt;$B239,$B239-SUM($D239:V239),$B239/$C239)</f>
        <v>0</v>
      </c>
      <c r="X239" s="85">
        <f>IF((SUM($D239:W239)+$B239/$C239)&gt;$B239,$B239-SUM($D239:W239),$B239/$C239)</f>
        <v>0</v>
      </c>
      <c r="Y239" s="85">
        <f>IF((SUM($D239:X239)+$B239/$C239)&gt;$B239,$B239-SUM($D239:X239),$B239/$C239)</f>
        <v>0</v>
      </c>
      <c r="Z239" s="85">
        <f>IF((SUM($D239:Y239)+$B239/$C239)&gt;$B239,$B239-SUM($D239:Y239),$B239/$C239)</f>
        <v>0</v>
      </c>
      <c r="AA239" s="85">
        <f>IF((SUM($D239:Z239)+$B239/$C239)&gt;$B239,$B239-SUM($D239:Z239),$B239/$C239)</f>
        <v>0</v>
      </c>
    </row>
    <row r="240" spans="1:27" outlineLevel="1" x14ac:dyDescent="0.2">
      <c r="A240" s="462">
        <v>2010</v>
      </c>
      <c r="B240" s="464">
        <f>E$184</f>
        <v>3128.8651083511272</v>
      </c>
      <c r="C240" s="463">
        <f>'Data 2009-15 (Real $2008)'!C$156</f>
        <v>7</v>
      </c>
      <c r="D240" s="473"/>
      <c r="E240" s="85">
        <f>IF(C240&lt;1,B240,B240/2/C240)</f>
        <v>223.49036488222336</v>
      </c>
      <c r="F240" s="85">
        <f>IF((SUM($D240:E240)+$B240/$C240)&gt;$B240,$B240-SUM($D240:E240),$B240/$C240)</f>
        <v>446.98072976444672</v>
      </c>
      <c r="G240" s="85">
        <f>IF((SUM($D240:F240)+$B240/$C240)&gt;$B240,$B240-SUM($D240:F240),$B240/$C240)</f>
        <v>446.98072976444672</v>
      </c>
      <c r="H240" s="85">
        <f>IF((SUM($D240:G240)+$B240/$C240)&gt;$B240,$B240-SUM($D240:G240),$B240/$C240)</f>
        <v>446.98072976444672</v>
      </c>
      <c r="I240" s="85">
        <f>IF((SUM($D240:H240)+$B240/$C240)&gt;$B240,$B240-SUM($D240:H240),$B240/$C240)</f>
        <v>446.98072976444672</v>
      </c>
      <c r="J240" s="85">
        <f>IF((SUM($D240:I240)+$B240/$C240)&gt;$B240,$B240-SUM($D240:I240),$B240/$C240)</f>
        <v>446.98072976444672</v>
      </c>
      <c r="K240" s="85">
        <f>IF((SUM($D240:J240)+$B240/$C240)&gt;$B240,$B240-SUM($D240:J240),$B240/$C240)</f>
        <v>446.98072976444672</v>
      </c>
      <c r="L240" s="85">
        <f>IF((SUM($D240:K240)+$B240/$C240)&gt;$B240,$B240-SUM($D240:K240),$B240/$C240)</f>
        <v>223.49036488222373</v>
      </c>
      <c r="M240" s="85">
        <f>IF((SUM($D240:L240)+$B240/$C240)&gt;$B240,$B240-SUM($D240:L240),$B240/$C240)</f>
        <v>0</v>
      </c>
      <c r="N240" s="85">
        <f>IF((SUM($D240:M240)+$B240/$C240)&gt;$B240,$B240-SUM($D240:M240),$B240/$C240)</f>
        <v>0</v>
      </c>
      <c r="O240" s="85">
        <f>IF((SUM($D240:N240)+$B240/$C240)&gt;$B240,$B240-SUM($D240:N240),$B240/$C240)</f>
        <v>0</v>
      </c>
      <c r="P240" s="85">
        <f>IF((SUM($D240:O240)+$B240/$C240)&gt;$B240,$B240-SUM($D240:O240),$B240/$C240)</f>
        <v>0</v>
      </c>
      <c r="Q240" s="85">
        <f>IF((SUM($D240:P240)+$B240/$C240)&gt;$B240,$B240-SUM($D240:P240),$B240/$C240)</f>
        <v>0</v>
      </c>
      <c r="R240" s="85">
        <f>IF((SUM($D240:Q240)+$B240/$C240)&gt;$B240,$B240-SUM($D240:Q240),$B240/$C240)</f>
        <v>0</v>
      </c>
      <c r="S240" s="85">
        <f>IF((SUM($D240:R240)+$B240/$C240)&gt;$B240,$B240-SUM($D240:R240),$B240/$C240)</f>
        <v>0</v>
      </c>
      <c r="T240" s="85">
        <f>IF((SUM($D240:S240)+$B240/$C240)&gt;$B240,$B240-SUM($D240:S240),$B240/$C240)</f>
        <v>0</v>
      </c>
      <c r="U240" s="85">
        <f>IF((SUM($D240:T240)+$B240/$C240)&gt;$B240,$B240-SUM($D240:T240),$B240/$C240)</f>
        <v>0</v>
      </c>
      <c r="V240" s="85">
        <f>IF((SUM($D240:U240)+$B240/$C240)&gt;$B240,$B240-SUM($D240:U240),$B240/$C240)</f>
        <v>0</v>
      </c>
      <c r="W240" s="85">
        <f>IF((SUM($D240:V240)+$B240/$C240)&gt;$B240,$B240-SUM($D240:V240),$B240/$C240)</f>
        <v>0</v>
      </c>
      <c r="X240" s="85">
        <f>IF((SUM($D240:W240)+$B240/$C240)&gt;$B240,$B240-SUM($D240:W240),$B240/$C240)</f>
        <v>0</v>
      </c>
      <c r="Y240" s="85">
        <f>IF((SUM($D240:X240)+$B240/$C240)&gt;$B240,$B240-SUM($D240:X240),$B240/$C240)</f>
        <v>0</v>
      </c>
      <c r="Z240" s="85">
        <f>IF((SUM($D240:Y240)+$B240/$C240)&gt;$B240,$B240-SUM($D240:Y240),$B240/$C240)</f>
        <v>0</v>
      </c>
      <c r="AA240" s="85">
        <f>IF((SUM($D240:Z240)+$B240/$C240)&gt;$B240,$B240-SUM($D240:Z240),$B240/$C240)</f>
        <v>0</v>
      </c>
    </row>
    <row r="241" spans="1:27" outlineLevel="1" x14ac:dyDescent="0.2">
      <c r="A241" s="462">
        <v>2011</v>
      </c>
      <c r="B241" s="464">
        <f>F$184</f>
        <v>14800.781096006922</v>
      </c>
      <c r="C241" s="463">
        <f>'Data 2009-15 (Real $2008)'!C$156</f>
        <v>7</v>
      </c>
      <c r="D241" s="473"/>
      <c r="E241" s="473"/>
      <c r="F241" s="85">
        <f>IF(C241&lt;1,B241,B241/2/C241)</f>
        <v>1057.1986497147802</v>
      </c>
      <c r="G241" s="85">
        <f>IF((SUM($D241:F241)+$B241/$C241)&gt;$B241,$B241-SUM($D241:F241),$B241/$C241)</f>
        <v>2114.3972994295605</v>
      </c>
      <c r="H241" s="85">
        <f>IF((SUM($D241:G241)+$B241/$C241)&gt;$B241,$B241-SUM($D241:G241),$B241/$C241)</f>
        <v>2114.3972994295605</v>
      </c>
      <c r="I241" s="85">
        <f>IF((SUM($D241:H241)+$B241/$C241)&gt;$B241,$B241-SUM($D241:H241),$B241/$C241)</f>
        <v>2114.3972994295605</v>
      </c>
      <c r="J241" s="85">
        <f>IF((SUM($D241:I241)+$B241/$C241)&gt;$B241,$B241-SUM($D241:I241),$B241/$C241)</f>
        <v>2114.3972994295605</v>
      </c>
      <c r="K241" s="85">
        <f>IF((SUM($D241:J241)+$B241/$C241)&gt;$B241,$B241-SUM($D241:J241),$B241/$C241)</f>
        <v>2114.3972994295605</v>
      </c>
      <c r="L241" s="85">
        <f>IF((SUM($D241:K241)+$B241/$C241)&gt;$B241,$B241-SUM($D241:K241),$B241/$C241)</f>
        <v>2114.3972994295605</v>
      </c>
      <c r="M241" s="85">
        <f>IF((SUM($D241:L241)+$B241/$C241)&gt;$B241,$B241-SUM($D241:L241),$B241/$C241)</f>
        <v>1057.1986497147809</v>
      </c>
      <c r="N241" s="85">
        <f>IF((SUM($D241:M241)+$B241/$C241)&gt;$B241,$B241-SUM($D241:M241),$B241/$C241)</f>
        <v>0</v>
      </c>
      <c r="O241" s="85">
        <f>IF((SUM($D241:N241)+$B241/$C241)&gt;$B241,$B241-SUM($D241:N241),$B241/$C241)</f>
        <v>0</v>
      </c>
      <c r="P241" s="85">
        <f>IF((SUM($D241:O241)+$B241/$C241)&gt;$B241,$B241-SUM($D241:O241),$B241/$C241)</f>
        <v>0</v>
      </c>
      <c r="Q241" s="85">
        <f>IF((SUM($D241:P241)+$B241/$C241)&gt;$B241,$B241-SUM($D241:P241),$B241/$C241)</f>
        <v>0</v>
      </c>
      <c r="R241" s="85">
        <f>IF((SUM($D241:Q241)+$B241/$C241)&gt;$B241,$B241-SUM($D241:Q241),$B241/$C241)</f>
        <v>0</v>
      </c>
      <c r="S241" s="85">
        <f>IF((SUM($D241:R241)+$B241/$C241)&gt;$B241,$B241-SUM($D241:R241),$B241/$C241)</f>
        <v>0</v>
      </c>
      <c r="T241" s="85">
        <f>IF((SUM($D241:S241)+$B241/$C241)&gt;$B241,$B241-SUM($D241:S241),$B241/$C241)</f>
        <v>0</v>
      </c>
      <c r="U241" s="85">
        <f>IF((SUM($D241:T241)+$B241/$C241)&gt;$B241,$B241-SUM($D241:T241),$B241/$C241)</f>
        <v>0</v>
      </c>
      <c r="V241" s="85">
        <f>IF((SUM($D241:U241)+$B241/$C241)&gt;$B241,$B241-SUM($D241:U241),$B241/$C241)</f>
        <v>0</v>
      </c>
      <c r="W241" s="85">
        <f>IF((SUM($D241:V241)+$B241/$C241)&gt;$B241,$B241-SUM($D241:V241),$B241/$C241)</f>
        <v>0</v>
      </c>
      <c r="X241" s="85">
        <f>IF((SUM($D241:W241)+$B241/$C241)&gt;$B241,$B241-SUM($D241:W241),$B241/$C241)</f>
        <v>0</v>
      </c>
      <c r="Y241" s="85">
        <f>IF((SUM($D241:X241)+$B241/$C241)&gt;$B241,$B241-SUM($D241:X241),$B241/$C241)</f>
        <v>0</v>
      </c>
      <c r="Z241" s="85">
        <f>IF((SUM($D241:Y241)+$B241/$C241)&gt;$B241,$B241-SUM($D241:Y241),$B241/$C241)</f>
        <v>0</v>
      </c>
      <c r="AA241" s="85">
        <f>IF((SUM($D241:Z241)+$B241/$C241)&gt;$B241,$B241-SUM($D241:Z241),$B241/$C241)</f>
        <v>0</v>
      </c>
    </row>
    <row r="242" spans="1:27" outlineLevel="1" x14ac:dyDescent="0.2">
      <c r="A242" s="462">
        <v>2012</v>
      </c>
      <c r="B242" s="464">
        <f>G$184</f>
        <v>10192.341702945465</v>
      </c>
      <c r="C242" s="463">
        <f>'Data 2009-15 (Real $2008)'!C$156</f>
        <v>7</v>
      </c>
      <c r="D242" s="473"/>
      <c r="E242" s="473"/>
      <c r="F242" s="473"/>
      <c r="G242" s="85">
        <f>IF($C242=1,$B242,$B242/2/$C242)</f>
        <v>728.02440735324751</v>
      </c>
      <c r="H242" s="85">
        <f>IF((SUM($D242:G242)+$B242/$C242)&gt;$B242,$B242-SUM($D242:G242),$B242/$C242)</f>
        <v>1456.048814706495</v>
      </c>
      <c r="I242" s="85">
        <f>IF((SUM($D242:H242)+$B242/$C242)&gt;$B242,$B242-SUM($D242:H242),$B242/$C242)</f>
        <v>1456.048814706495</v>
      </c>
      <c r="J242" s="85">
        <f>IF((SUM($D242:I242)+$B242/$C242)&gt;$B242,$B242-SUM($D242:I242),$B242/$C242)</f>
        <v>1456.048814706495</v>
      </c>
      <c r="K242" s="85">
        <f>IF((SUM($D242:J242)+$B242/$C242)&gt;$B242,$B242-SUM($D242:J242),$B242/$C242)</f>
        <v>1456.048814706495</v>
      </c>
      <c r="L242" s="85">
        <f>IF((SUM($D242:K242)+$B242/$C242)&gt;$B242,$B242-SUM($D242:K242),$B242/$C242)</f>
        <v>1456.048814706495</v>
      </c>
      <c r="M242" s="85">
        <f>IF((SUM($D242:L242)+$B242/$C242)&gt;$B242,$B242-SUM($D242:L242),$B242/$C242)</f>
        <v>1456.048814706495</v>
      </c>
      <c r="N242" s="85">
        <f>IF((SUM($D242:M242)+$B242/$C242)&gt;$B242,$B242-SUM($D242:M242),$B242/$C242)</f>
        <v>728.02440735324672</v>
      </c>
      <c r="O242" s="85">
        <f>IF((SUM($D242:N242)+$B242/$C242)&gt;$B242,$B242-SUM($D242:N242),$B242/$C242)</f>
        <v>0</v>
      </c>
      <c r="P242" s="85">
        <f>IF((SUM($D242:O242)+$B242/$C242)&gt;$B242,$B242-SUM($D242:O242),$B242/$C242)</f>
        <v>0</v>
      </c>
      <c r="Q242" s="85">
        <f>IF((SUM($D242:P242)+$B242/$C242)&gt;$B242,$B242-SUM($D242:P242),$B242/$C242)</f>
        <v>0</v>
      </c>
      <c r="R242" s="85">
        <f>IF((SUM($D242:Q242)+$B242/$C242)&gt;$B242,$B242-SUM($D242:Q242),$B242/$C242)</f>
        <v>0</v>
      </c>
      <c r="S242" s="85">
        <f>IF((SUM($D242:R242)+$B242/$C242)&gt;$B242,$B242-SUM($D242:R242),$B242/$C242)</f>
        <v>0</v>
      </c>
      <c r="T242" s="85">
        <f>IF((SUM($D242:S242)+$B242/$C242)&gt;$B242,$B242-SUM($D242:S242),$B242/$C242)</f>
        <v>0</v>
      </c>
      <c r="U242" s="85">
        <f>IF((SUM($D242:T242)+$B242/$C242)&gt;$B242,$B242-SUM($D242:T242),$B242/$C242)</f>
        <v>0</v>
      </c>
      <c r="V242" s="85">
        <f>IF((SUM($D242:U242)+$B242/$C242)&gt;$B242,$B242-SUM($D242:U242),$B242/$C242)</f>
        <v>0</v>
      </c>
      <c r="W242" s="85">
        <f>IF((SUM($D242:V242)+$B242/$C242)&gt;$B242,$B242-SUM($D242:V242),$B242/$C242)</f>
        <v>0</v>
      </c>
      <c r="X242" s="85">
        <f>IF((SUM($D242:W242)+$B242/$C242)&gt;$B242,$B242-SUM($D242:W242),$B242/$C242)</f>
        <v>0</v>
      </c>
      <c r="Y242" s="85">
        <f>IF((SUM($D242:X242)+$B242/$C242)&gt;$B242,$B242-SUM($D242:X242),$B242/$C242)</f>
        <v>0</v>
      </c>
      <c r="Z242" s="85">
        <f>IF((SUM($D242:Y242)+$B242/$C242)&gt;$B242,$B242-SUM($D242:Y242),$B242/$C242)</f>
        <v>0</v>
      </c>
      <c r="AA242" s="85">
        <f>IF((SUM($D242:Z242)+$B242/$C242)&gt;$B242,$B242-SUM($D242:Z242),$B242/$C242)</f>
        <v>0</v>
      </c>
    </row>
    <row r="243" spans="1:27" outlineLevel="1" x14ac:dyDescent="0.2">
      <c r="A243" s="462">
        <v>2013</v>
      </c>
      <c r="B243" s="464">
        <f>H$184</f>
        <v>3566.2709641136021</v>
      </c>
      <c r="C243" s="463">
        <f>'Data 2009-15 (Real $2008)'!C$156</f>
        <v>7</v>
      </c>
      <c r="D243" s="473"/>
      <c r="E243" s="473"/>
      <c r="F243" s="473"/>
      <c r="G243" s="473"/>
      <c r="H243" s="85">
        <f>IF($C243=1,$B243,$B243/2/$C243)</f>
        <v>254.73364029382873</v>
      </c>
      <c r="I243" s="85">
        <f>IF((SUM($D243:H243)+$B243/$C243)&gt;$B243,$B243-SUM($D243:H243),$B243/$C243)</f>
        <v>509.46728058765746</v>
      </c>
      <c r="J243" s="85">
        <f>IF((SUM($D243:I243)+$B243/$C243)&gt;$B243,$B243-SUM($D243:I243),$B243/$C243)</f>
        <v>509.46728058765746</v>
      </c>
      <c r="K243" s="85">
        <f>IF((SUM($D243:J243)+$B243/$C243)&gt;$B243,$B243-SUM($D243:J243),$B243/$C243)</f>
        <v>509.46728058765746</v>
      </c>
      <c r="L243" s="85">
        <f>IF((SUM($D243:K243)+$B243/$C243)&gt;$B243,$B243-SUM($D243:K243),$B243/$C243)</f>
        <v>509.46728058765746</v>
      </c>
      <c r="M243" s="85">
        <f>IF((SUM($D243:L243)+$B243/$C243)&gt;$B243,$B243-SUM($D243:L243),$B243/$C243)</f>
        <v>509.46728058765746</v>
      </c>
      <c r="N243" s="85">
        <f>IF((SUM($D243:M243)+$B243/$C243)&gt;$B243,$B243-SUM($D243:M243),$B243/$C243)</f>
        <v>509.46728058765746</v>
      </c>
      <c r="O243" s="85">
        <f>IF((SUM($D243:N243)+$B243/$C243)&gt;$B243,$B243-SUM($D243:N243),$B243/$C243)</f>
        <v>254.7336402938281</v>
      </c>
      <c r="P243" s="85">
        <f>IF((SUM($D243:O243)+$B243/$C243)&gt;$B243,$B243-SUM($D243:O243),$B243/$C243)</f>
        <v>0</v>
      </c>
      <c r="Q243" s="85">
        <f>IF((SUM($D243:P243)+$B243/$C243)&gt;$B243,$B243-SUM($D243:P243),$B243/$C243)</f>
        <v>0</v>
      </c>
      <c r="R243" s="85">
        <f>IF((SUM($D243:Q243)+$B243/$C243)&gt;$B243,$B243-SUM($D243:Q243),$B243/$C243)</f>
        <v>0</v>
      </c>
      <c r="S243" s="85">
        <f>IF((SUM($D243:R243)+$B243/$C243)&gt;$B243,$B243-SUM($D243:R243),$B243/$C243)</f>
        <v>0</v>
      </c>
      <c r="T243" s="85">
        <f>IF((SUM($D243:S243)+$B243/$C243)&gt;$B243,$B243-SUM($D243:S243),$B243/$C243)</f>
        <v>0</v>
      </c>
      <c r="U243" s="85">
        <f>IF((SUM($D243:T243)+$B243/$C243)&gt;$B243,$B243-SUM($D243:T243),$B243/$C243)</f>
        <v>0</v>
      </c>
      <c r="V243" s="85">
        <f>IF((SUM($D243:U243)+$B243/$C243)&gt;$B243,$B243-SUM($D243:U243),$B243/$C243)</f>
        <v>0</v>
      </c>
      <c r="W243" s="85">
        <f>IF((SUM($D243:V243)+$B243/$C243)&gt;$B243,$B243-SUM($D243:V243),$B243/$C243)</f>
        <v>0</v>
      </c>
      <c r="X243" s="85">
        <f>IF((SUM($D243:W243)+$B243/$C243)&gt;$B243,$B243-SUM($D243:W243),$B243/$C243)</f>
        <v>0</v>
      </c>
      <c r="Y243" s="85">
        <f>IF((SUM($D243:X243)+$B243/$C243)&gt;$B243,$B243-SUM($D243:X243),$B243/$C243)</f>
        <v>0</v>
      </c>
      <c r="Z243" s="85">
        <f>IF((SUM($D243:Y243)+$B243/$C243)&gt;$B243,$B243-SUM($D243:Y243),$B243/$C243)</f>
        <v>0</v>
      </c>
      <c r="AA243" s="85">
        <f>IF((SUM($D243:Z243)+$B243/$C243)&gt;$B243,$B243-SUM($D243:Z243),$B243/$C243)</f>
        <v>0</v>
      </c>
    </row>
    <row r="244" spans="1:27" outlineLevel="1" x14ac:dyDescent="0.2">
      <c r="A244" s="462">
        <v>2014</v>
      </c>
      <c r="B244" s="464">
        <f>I$184</f>
        <v>1993.4553734855997</v>
      </c>
      <c r="C244" s="463">
        <f>'Data 2009-15 (Real $2008)'!C$156</f>
        <v>7</v>
      </c>
      <c r="D244" s="473"/>
      <c r="E244" s="473"/>
      <c r="F244" s="473"/>
      <c r="G244" s="473"/>
      <c r="H244" s="473"/>
      <c r="I244" s="85">
        <f>IF($C244=1,$B244,$B244/2/$C244)</f>
        <v>142.38966953468568</v>
      </c>
      <c r="J244" s="85">
        <f>IF((SUM($D244:I244)+$B244/$C244)&gt;$B244,$B244-SUM($D244:I244),$B244/$C244)</f>
        <v>284.77933906937136</v>
      </c>
      <c r="K244" s="85">
        <f>IF((SUM($D244:J244)+$B244/$C244)&gt;$B244,$B244-SUM($D244:J244),$B244/$C244)</f>
        <v>284.77933906937136</v>
      </c>
      <c r="L244" s="85">
        <f>IF((SUM($D244:K244)+$B244/$C244)&gt;$B244,$B244-SUM($D244:K244),$B244/$C244)</f>
        <v>284.77933906937136</v>
      </c>
      <c r="M244" s="85">
        <f>IF((SUM($D244:L244)+$B244/$C244)&gt;$B244,$B244-SUM($D244:L244),$B244/$C244)</f>
        <v>284.77933906937136</v>
      </c>
      <c r="N244" s="85">
        <f>IF((SUM($D244:M244)+$B244/$C244)&gt;$B244,$B244-SUM($D244:M244),$B244/$C244)</f>
        <v>284.77933906937136</v>
      </c>
      <c r="O244" s="85">
        <f>IF((SUM($D244:N244)+$B244/$C244)&gt;$B244,$B244-SUM($D244:N244),$B244/$C244)</f>
        <v>284.77933906937136</v>
      </c>
      <c r="P244" s="85">
        <f>IF((SUM($D244:O244)+$B244/$C244)&gt;$B244,$B244-SUM($D244:O244),$B244/$C244)</f>
        <v>142.38966953468571</v>
      </c>
      <c r="Q244" s="85">
        <f>IF((SUM($D244:P244)+$B244/$C244)&gt;$B244,$B244-SUM($D244:P244),$B244/$C244)</f>
        <v>0</v>
      </c>
      <c r="R244" s="85">
        <f>IF((SUM($D244:Q244)+$B244/$C244)&gt;$B244,$B244-SUM($D244:Q244),$B244/$C244)</f>
        <v>0</v>
      </c>
      <c r="S244" s="85">
        <f>IF((SUM($D244:R244)+$B244/$C244)&gt;$B244,$B244-SUM($D244:R244),$B244/$C244)</f>
        <v>0</v>
      </c>
      <c r="T244" s="85">
        <f>IF((SUM($D244:S244)+$B244/$C244)&gt;$B244,$B244-SUM($D244:S244),$B244/$C244)</f>
        <v>0</v>
      </c>
      <c r="U244" s="85">
        <f>IF((SUM($D244:T244)+$B244/$C244)&gt;$B244,$B244-SUM($D244:T244),$B244/$C244)</f>
        <v>0</v>
      </c>
      <c r="V244" s="85">
        <f>IF((SUM($D244:U244)+$B244/$C244)&gt;$B244,$B244-SUM($D244:U244),$B244/$C244)</f>
        <v>0</v>
      </c>
      <c r="W244" s="85">
        <f>IF((SUM($D244:V244)+$B244/$C244)&gt;$B244,$B244-SUM($D244:V244),$B244/$C244)</f>
        <v>0</v>
      </c>
      <c r="X244" s="85">
        <f>IF((SUM($D244:W244)+$B244/$C244)&gt;$B244,$B244-SUM($D244:W244),$B244/$C244)</f>
        <v>0</v>
      </c>
      <c r="Y244" s="85">
        <f>IF((SUM($D244:X244)+$B244/$C244)&gt;$B244,$B244-SUM($D244:X244),$B244/$C244)</f>
        <v>0</v>
      </c>
      <c r="Z244" s="85">
        <f>IF((SUM($D244:Y244)+$B244/$C244)&gt;$B244,$B244-SUM($D244:Y244),$B244/$C244)</f>
        <v>0</v>
      </c>
      <c r="AA244" s="85">
        <f>IF((SUM($D244:Z244)+$B244/$C244)&gt;$B244,$B244-SUM($D244:Z244),$B244/$C244)</f>
        <v>0</v>
      </c>
    </row>
    <row r="245" spans="1:27" outlineLevel="1" x14ac:dyDescent="0.2">
      <c r="A245" s="462">
        <v>2015</v>
      </c>
      <c r="B245" s="464">
        <f>J$184</f>
        <v>940.88673833913867</v>
      </c>
      <c r="C245" s="463">
        <f>'Data 2009-15 (Real $2008)'!C$156</f>
        <v>7</v>
      </c>
      <c r="D245" s="473"/>
      <c r="E245" s="473"/>
      <c r="F245" s="473"/>
      <c r="G245" s="473"/>
      <c r="H245" s="473"/>
      <c r="I245" s="473"/>
      <c r="J245" s="85">
        <f>IF($C245=1,$B245,$B245/2/$C245)</f>
        <v>67.206195595652758</v>
      </c>
      <c r="K245" s="85">
        <f>IF((SUM($D245:J245)+$B245/$C245)&gt;$B245,$B245-SUM($D245:J245),$B245/$C245)</f>
        <v>134.41239119130552</v>
      </c>
      <c r="L245" s="85">
        <f>IF((SUM($D245:K245)+$B245/$C245)&gt;$B245,$B245-SUM($D245:K245),$B245/$C245)</f>
        <v>134.41239119130552</v>
      </c>
      <c r="M245" s="85">
        <f>IF((SUM($D245:L245)+$B245/$C245)&gt;$B245,$B245-SUM($D245:L245),$B245/$C245)</f>
        <v>134.41239119130552</v>
      </c>
      <c r="N245" s="85">
        <f>IF((SUM($D245:M245)+$B245/$C245)&gt;$B245,$B245-SUM($D245:M245),$B245/$C245)</f>
        <v>134.41239119130552</v>
      </c>
      <c r="O245" s="85">
        <f>IF((SUM($D245:N245)+$B245/$C245)&gt;$B245,$B245-SUM($D245:N245),$B245/$C245)</f>
        <v>134.41239119130552</v>
      </c>
      <c r="P245" s="85">
        <f>IF((SUM($D245:O245)+$B245/$C245)&gt;$B245,$B245-SUM($D245:O245),$B245/$C245)</f>
        <v>134.41239119130552</v>
      </c>
      <c r="Q245" s="85">
        <f>IF((SUM($D245:P245)+$B245/$C245)&gt;$B245,$B245-SUM($D245:P245),$B245/$C245)</f>
        <v>67.206195595652844</v>
      </c>
      <c r="R245" s="85">
        <f>IF((SUM($D245:Q245)+$B245/$C245)&gt;$B245,$B245-SUM($D245:Q245),$B245/$C245)</f>
        <v>0</v>
      </c>
      <c r="S245" s="85">
        <f>IF((SUM($D245:R245)+$B245/$C245)&gt;$B245,$B245-SUM($D245:R245),$B245/$C245)</f>
        <v>0</v>
      </c>
      <c r="T245" s="85">
        <f>IF((SUM($D245:S245)+$B245/$C245)&gt;$B245,$B245-SUM($D245:S245),$B245/$C245)</f>
        <v>0</v>
      </c>
      <c r="U245" s="85">
        <f>IF((SUM($D245:T245)+$B245/$C245)&gt;$B245,$B245-SUM($D245:T245),$B245/$C245)</f>
        <v>0</v>
      </c>
      <c r="V245" s="85">
        <f>IF((SUM($D245:U245)+$B245/$C245)&gt;$B245,$B245-SUM($D245:U245),$B245/$C245)</f>
        <v>0</v>
      </c>
      <c r="W245" s="85">
        <f>IF((SUM($D245:V245)+$B245/$C245)&gt;$B245,$B245-SUM($D245:V245),$B245/$C245)</f>
        <v>0</v>
      </c>
      <c r="X245" s="85">
        <f>IF((SUM($D245:W245)+$B245/$C245)&gt;$B245,$B245-SUM($D245:W245),$B245/$C245)</f>
        <v>0</v>
      </c>
      <c r="Y245" s="85">
        <f>IF((SUM($D245:X245)+$B245/$C245)&gt;$B245,$B245-SUM($D245:X245),$B245/$C245)</f>
        <v>0</v>
      </c>
      <c r="Z245" s="85">
        <f>IF((SUM($D245:Y245)+$B245/$C245)&gt;$B245,$B245-SUM($D245:Y245),$B245/$C245)</f>
        <v>0</v>
      </c>
      <c r="AA245" s="85">
        <f>IF((SUM($D245:Z245)+$B245/$C245)&gt;$B245,$B245-SUM($D245:Z245),$B245/$C245)</f>
        <v>0</v>
      </c>
    </row>
    <row r="246" spans="1:27" s="462" customFormat="1" outlineLevel="1" x14ac:dyDescent="0.2">
      <c r="B246" s="465">
        <f>SUM(B239:B245)</f>
        <v>35523.474797416035</v>
      </c>
      <c r="D246" s="694">
        <f t="shared" ref="D246:AA246" si="74">SUM(D239:D245)</f>
        <v>64.348129583869579</v>
      </c>
      <c r="E246" s="694">
        <f t="shared" si="74"/>
        <v>352.18662404996252</v>
      </c>
      <c r="F246" s="694">
        <f t="shared" si="74"/>
        <v>1632.8756386469661</v>
      </c>
      <c r="G246" s="694">
        <f t="shared" si="74"/>
        <v>3418.0986957149939</v>
      </c>
      <c r="H246" s="694">
        <f t="shared" si="74"/>
        <v>4400.8567433620701</v>
      </c>
      <c r="I246" s="694">
        <f t="shared" si="74"/>
        <v>4797.9800531905839</v>
      </c>
      <c r="J246" s="694">
        <f t="shared" si="74"/>
        <v>5007.575918320922</v>
      </c>
      <c r="K246" s="694">
        <f t="shared" si="74"/>
        <v>5010.4339843327061</v>
      </c>
      <c r="L246" s="694">
        <f t="shared" si="74"/>
        <v>4722.5954898666132</v>
      </c>
      <c r="M246" s="694">
        <f t="shared" si="74"/>
        <v>3441.9064752696108</v>
      </c>
      <c r="N246" s="694">
        <f t="shared" si="74"/>
        <v>1656.6834182015812</v>
      </c>
      <c r="O246" s="694">
        <f t="shared" si="74"/>
        <v>673.92537055450498</v>
      </c>
      <c r="P246" s="694">
        <f t="shared" si="74"/>
        <v>276.80206072599123</v>
      </c>
      <c r="Q246" s="694">
        <f t="shared" si="74"/>
        <v>67.206195595652844</v>
      </c>
      <c r="R246" s="694">
        <f t="shared" si="74"/>
        <v>0</v>
      </c>
      <c r="S246" s="694">
        <f t="shared" si="74"/>
        <v>0</v>
      </c>
      <c r="T246" s="694">
        <f t="shared" si="74"/>
        <v>0</v>
      </c>
      <c r="U246" s="694">
        <f t="shared" si="74"/>
        <v>0</v>
      </c>
      <c r="V246" s="694">
        <f t="shared" si="74"/>
        <v>0</v>
      </c>
      <c r="W246" s="694">
        <f t="shared" si="74"/>
        <v>0</v>
      </c>
      <c r="X246" s="694">
        <f t="shared" si="74"/>
        <v>0</v>
      </c>
      <c r="Y246" s="694">
        <f t="shared" si="74"/>
        <v>0</v>
      </c>
      <c r="Z246" s="694">
        <f t="shared" si="74"/>
        <v>0</v>
      </c>
      <c r="AA246" s="694">
        <f t="shared" si="74"/>
        <v>0</v>
      </c>
    </row>
    <row r="247" spans="1:27" outlineLevel="1" x14ac:dyDescent="0.2">
      <c r="A247" s="458"/>
      <c r="B247" s="458"/>
      <c r="C247" s="458"/>
      <c r="D247" s="458"/>
      <c r="E247" s="458"/>
      <c r="F247" s="458"/>
      <c r="G247" s="458"/>
      <c r="H247" s="458"/>
      <c r="I247" s="458"/>
    </row>
    <row r="248" spans="1:27" outlineLevel="1" x14ac:dyDescent="0.2">
      <c r="A248" s="458"/>
      <c r="B248" s="458"/>
      <c r="C248" s="458"/>
      <c r="D248" s="458"/>
      <c r="E248" s="458"/>
      <c r="F248" s="458"/>
      <c r="G248" s="458"/>
      <c r="H248" s="458"/>
      <c r="I248" s="458"/>
    </row>
    <row r="249" spans="1:27" outlineLevel="1" x14ac:dyDescent="0.2">
      <c r="A249" s="344" t="s">
        <v>285</v>
      </c>
      <c r="B249" s="466" t="s">
        <v>332</v>
      </c>
      <c r="C249" s="307" t="s">
        <v>7</v>
      </c>
      <c r="D249" s="461">
        <f>D$4</f>
        <v>2009</v>
      </c>
      <c r="E249" s="461">
        <f t="shared" ref="E249:AA249" si="75">E$4</f>
        <v>2010</v>
      </c>
      <c r="F249" s="461">
        <f t="shared" si="75"/>
        <v>2011</v>
      </c>
      <c r="G249" s="461">
        <f t="shared" si="75"/>
        <v>2012</v>
      </c>
      <c r="H249" s="461">
        <f t="shared" si="75"/>
        <v>2013</v>
      </c>
      <c r="I249" s="461">
        <f t="shared" si="75"/>
        <v>2014</v>
      </c>
      <c r="J249" s="461">
        <f t="shared" si="75"/>
        <v>2015</v>
      </c>
      <c r="K249" s="461">
        <f t="shared" si="75"/>
        <v>2016</v>
      </c>
      <c r="L249" s="461">
        <f t="shared" si="75"/>
        <v>2017</v>
      </c>
      <c r="M249" s="461">
        <f t="shared" si="75"/>
        <v>2018</v>
      </c>
      <c r="N249" s="461">
        <f t="shared" si="75"/>
        <v>2019</v>
      </c>
      <c r="O249" s="461">
        <f t="shared" si="75"/>
        <v>2020</v>
      </c>
      <c r="P249" s="461">
        <f t="shared" si="75"/>
        <v>2021</v>
      </c>
      <c r="Q249" s="461">
        <f t="shared" si="75"/>
        <v>2022</v>
      </c>
      <c r="R249" s="461">
        <f t="shared" si="75"/>
        <v>2023</v>
      </c>
      <c r="S249" s="461">
        <f t="shared" si="75"/>
        <v>2024</v>
      </c>
      <c r="T249" s="461">
        <f t="shared" si="75"/>
        <v>2025</v>
      </c>
      <c r="U249" s="461">
        <f t="shared" si="75"/>
        <v>2026</v>
      </c>
      <c r="V249" s="461">
        <f t="shared" si="75"/>
        <v>2027</v>
      </c>
      <c r="W249" s="461">
        <f t="shared" si="75"/>
        <v>2028</v>
      </c>
      <c r="X249" s="461">
        <f t="shared" si="75"/>
        <v>2029</v>
      </c>
      <c r="Y249" s="461">
        <f t="shared" si="75"/>
        <v>2030</v>
      </c>
      <c r="Z249" s="461">
        <f t="shared" si="75"/>
        <v>2031</v>
      </c>
      <c r="AA249" s="461">
        <f t="shared" si="75"/>
        <v>2032</v>
      </c>
    </row>
    <row r="250" spans="1:27" outlineLevel="1" x14ac:dyDescent="0.2">
      <c r="A250" s="344" t="str">
        <f>$A$4</f>
        <v>($000 Real 2008)</v>
      </c>
      <c r="B250" s="467" t="s">
        <v>333</v>
      </c>
      <c r="C250" s="468" t="s">
        <v>329</v>
      </c>
      <c r="D250" s="453"/>
      <c r="E250" s="453"/>
      <c r="F250" s="453"/>
      <c r="G250" s="453"/>
      <c r="H250" s="453"/>
      <c r="I250" s="453"/>
      <c r="J250" s="453"/>
    </row>
    <row r="251" spans="1:27" outlineLevel="1" x14ac:dyDescent="0.2">
      <c r="A251" s="462">
        <v>2009</v>
      </c>
      <c r="B251" s="464">
        <f>D$185</f>
        <v>502.68955837837836</v>
      </c>
      <c r="C251" s="463">
        <f>'Data 2009-15 (Real $2008)'!C$157</f>
        <v>7</v>
      </c>
      <c r="D251" s="85">
        <f>IF(C251&lt;1,B251,B251/2/C251)</f>
        <v>35.906397027027026</v>
      </c>
      <c r="E251" s="85">
        <f>IF((SUM($D251:D251)+$B251/$C251)&gt;$B251,$B251-SUM($D251:D251),$B251/$C251)</f>
        <v>71.812794054054052</v>
      </c>
      <c r="F251" s="85">
        <f>IF((SUM($D251:E251)+$B251/$C251)&gt;$B251,$B251-SUM($D251:E251),$B251/$C251)</f>
        <v>71.812794054054052</v>
      </c>
      <c r="G251" s="85">
        <f>IF((SUM($D251:F251)+$B251/$C251)&gt;$B251,$B251-SUM($D251:F251),$B251/$C251)</f>
        <v>71.812794054054052</v>
      </c>
      <c r="H251" s="85">
        <f>IF((SUM($D251:G251)+$B251/$C251)&gt;$B251,$B251-SUM($D251:G251),$B251/$C251)</f>
        <v>71.812794054054052</v>
      </c>
      <c r="I251" s="85">
        <f>IF((SUM($D251:H251)+$B251/$C251)&gt;$B251,$B251-SUM($D251:H251),$B251/$C251)</f>
        <v>71.812794054054052</v>
      </c>
      <c r="J251" s="85">
        <f>IF((SUM($D251:I251)+$B251/$C251)&gt;$B251,$B251-SUM($D251:I251),$B251/$C251)</f>
        <v>71.812794054054052</v>
      </c>
      <c r="K251" s="85">
        <f>IF((SUM($D251:J251)+$B251/$C251)&gt;$B251,$B251-SUM($D251:J251),$B251/$C251)</f>
        <v>35.906397027027026</v>
      </c>
      <c r="L251" s="85">
        <f>IF((SUM($D251:K251)+$B251/$C251)&gt;$B251,$B251-SUM($D251:K251),$B251/$C251)</f>
        <v>0</v>
      </c>
      <c r="M251" s="85">
        <f>IF((SUM($D251:L251)+$B251/$C251)&gt;$B251,$B251-SUM($D251:L251),$B251/$C251)</f>
        <v>0</v>
      </c>
      <c r="N251" s="85">
        <f>IF((SUM($D251:M251)+$B251/$C251)&gt;$B251,$B251-SUM($D251:M251),$B251/$C251)</f>
        <v>0</v>
      </c>
      <c r="O251" s="85">
        <f>IF((SUM($D251:N251)+$B251/$C251)&gt;$B251,$B251-SUM($D251:N251),$B251/$C251)</f>
        <v>0</v>
      </c>
      <c r="P251" s="85">
        <f>IF((SUM($D251:O251)+$B251/$C251)&gt;$B251,$B251-SUM($D251:O251),$B251/$C251)</f>
        <v>0</v>
      </c>
      <c r="Q251" s="85">
        <f>IF((SUM($D251:P251)+$B251/$C251)&gt;$B251,$B251-SUM($D251:P251),$B251/$C251)</f>
        <v>0</v>
      </c>
      <c r="R251" s="85">
        <f>IF((SUM($D251:Q251)+$B251/$C251)&gt;$B251,$B251-SUM($D251:Q251),$B251/$C251)</f>
        <v>0</v>
      </c>
      <c r="S251" s="85">
        <f>IF((SUM($D251:R251)+$B251/$C251)&gt;$B251,$B251-SUM($D251:R251),$B251/$C251)</f>
        <v>0</v>
      </c>
      <c r="T251" s="85">
        <f>IF((SUM($D251:S251)+$B251/$C251)&gt;$B251,$B251-SUM($D251:S251),$B251/$C251)</f>
        <v>0</v>
      </c>
      <c r="U251" s="85">
        <f>IF((SUM($D251:T251)+$B251/$C251)&gt;$B251,$B251-SUM($D251:T251),$B251/$C251)</f>
        <v>0</v>
      </c>
      <c r="V251" s="85">
        <f>IF((SUM($D251:U251)+$B251/$C251)&gt;$B251,$B251-SUM($D251:U251),$B251/$C251)</f>
        <v>0</v>
      </c>
      <c r="W251" s="85">
        <f>IF((SUM($D251:V251)+$B251/$C251)&gt;$B251,$B251-SUM($D251:V251),$B251/$C251)</f>
        <v>0</v>
      </c>
      <c r="X251" s="85">
        <f>IF((SUM($D251:W251)+$B251/$C251)&gt;$B251,$B251-SUM($D251:W251),$B251/$C251)</f>
        <v>0</v>
      </c>
      <c r="Y251" s="85">
        <f>IF((SUM($D251:X251)+$B251/$C251)&gt;$B251,$B251-SUM($D251:X251),$B251/$C251)</f>
        <v>0</v>
      </c>
      <c r="Z251" s="85">
        <f>IF((SUM($D251:Y251)+$B251/$C251)&gt;$B251,$B251-SUM($D251:Y251),$B251/$C251)</f>
        <v>0</v>
      </c>
      <c r="AA251" s="85">
        <f>IF((SUM($D251:Z251)+$B251/$C251)&gt;$B251,$B251-SUM($D251:Z251),$B251/$C251)</f>
        <v>0</v>
      </c>
    </row>
    <row r="252" spans="1:27" outlineLevel="1" x14ac:dyDescent="0.2">
      <c r="A252" s="462">
        <v>2010</v>
      </c>
      <c r="B252" s="464">
        <f>E$185</f>
        <v>590.42642854092537</v>
      </c>
      <c r="C252" s="463">
        <f>'Data 2009-15 (Real $2008)'!C$157</f>
        <v>7</v>
      </c>
      <c r="D252" s="473"/>
      <c r="E252" s="85">
        <f>IF(C252&lt;1,B252,B252/2/C252)</f>
        <v>42.173316324351809</v>
      </c>
      <c r="F252" s="85">
        <f>IF((SUM($D252:E252)+$B252/$C252)&gt;$B252,$B252-SUM($D252:E252),$B252/$C252)</f>
        <v>84.346632648703618</v>
      </c>
      <c r="G252" s="85">
        <f>IF((SUM($D252:F252)+$B252/$C252)&gt;$B252,$B252-SUM($D252:F252),$B252/$C252)</f>
        <v>84.346632648703618</v>
      </c>
      <c r="H252" s="85">
        <f>IF((SUM($D252:G252)+$B252/$C252)&gt;$B252,$B252-SUM($D252:G252),$B252/$C252)</f>
        <v>84.346632648703618</v>
      </c>
      <c r="I252" s="85">
        <f>IF((SUM($D252:H252)+$B252/$C252)&gt;$B252,$B252-SUM($D252:H252),$B252/$C252)</f>
        <v>84.346632648703618</v>
      </c>
      <c r="J252" s="85">
        <f>IF((SUM($D252:I252)+$B252/$C252)&gt;$B252,$B252-SUM($D252:I252),$B252/$C252)</f>
        <v>84.346632648703618</v>
      </c>
      <c r="K252" s="85">
        <f>IF((SUM($D252:J252)+$B252/$C252)&gt;$B252,$B252-SUM($D252:J252),$B252/$C252)</f>
        <v>84.346632648703618</v>
      </c>
      <c r="L252" s="85">
        <f>IF((SUM($D252:K252)+$B252/$C252)&gt;$B252,$B252-SUM($D252:K252),$B252/$C252)</f>
        <v>42.173316324351845</v>
      </c>
      <c r="M252" s="85">
        <f>IF((SUM($D252:L252)+$B252/$C252)&gt;$B252,$B252-SUM($D252:L252),$B252/$C252)</f>
        <v>0</v>
      </c>
      <c r="N252" s="85">
        <f>IF((SUM($D252:M252)+$B252/$C252)&gt;$B252,$B252-SUM($D252:M252),$B252/$C252)</f>
        <v>0</v>
      </c>
      <c r="O252" s="85">
        <f>IF((SUM($D252:N252)+$B252/$C252)&gt;$B252,$B252-SUM($D252:N252),$B252/$C252)</f>
        <v>0</v>
      </c>
      <c r="P252" s="85">
        <f>IF((SUM($D252:O252)+$B252/$C252)&gt;$B252,$B252-SUM($D252:O252),$B252/$C252)</f>
        <v>0</v>
      </c>
      <c r="Q252" s="85">
        <f>IF((SUM($D252:P252)+$B252/$C252)&gt;$B252,$B252-SUM($D252:P252),$B252/$C252)</f>
        <v>0</v>
      </c>
      <c r="R252" s="85">
        <f>IF((SUM($D252:Q252)+$B252/$C252)&gt;$B252,$B252-SUM($D252:Q252),$B252/$C252)</f>
        <v>0</v>
      </c>
      <c r="S252" s="85">
        <f>IF((SUM($D252:R252)+$B252/$C252)&gt;$B252,$B252-SUM($D252:R252),$B252/$C252)</f>
        <v>0</v>
      </c>
      <c r="T252" s="85">
        <f>IF((SUM($D252:S252)+$B252/$C252)&gt;$B252,$B252-SUM($D252:S252),$B252/$C252)</f>
        <v>0</v>
      </c>
      <c r="U252" s="85">
        <f>IF((SUM($D252:T252)+$B252/$C252)&gt;$B252,$B252-SUM($D252:T252),$B252/$C252)</f>
        <v>0</v>
      </c>
      <c r="V252" s="85">
        <f>IF((SUM($D252:U252)+$B252/$C252)&gt;$B252,$B252-SUM($D252:U252),$B252/$C252)</f>
        <v>0</v>
      </c>
      <c r="W252" s="85">
        <f>IF((SUM($D252:V252)+$B252/$C252)&gt;$B252,$B252-SUM($D252:V252),$B252/$C252)</f>
        <v>0</v>
      </c>
      <c r="X252" s="85">
        <f>IF((SUM($D252:W252)+$B252/$C252)&gt;$B252,$B252-SUM($D252:W252),$B252/$C252)</f>
        <v>0</v>
      </c>
      <c r="Y252" s="85">
        <f>IF((SUM($D252:X252)+$B252/$C252)&gt;$B252,$B252-SUM($D252:X252),$B252/$C252)</f>
        <v>0</v>
      </c>
      <c r="Z252" s="85">
        <f>IF((SUM($D252:Y252)+$B252/$C252)&gt;$B252,$B252-SUM($D252:Y252),$B252/$C252)</f>
        <v>0</v>
      </c>
      <c r="AA252" s="85">
        <f>IF((SUM($D252:Z252)+$B252/$C252)&gt;$B252,$B252-SUM($D252:Z252),$B252/$C252)</f>
        <v>0</v>
      </c>
    </row>
    <row r="253" spans="1:27" outlineLevel="1" x14ac:dyDescent="0.2">
      <c r="A253" s="462">
        <v>2011</v>
      </c>
      <c r="B253" s="464">
        <f>F$185</f>
        <v>319.49326631275244</v>
      </c>
      <c r="C253" s="463">
        <f>'Data 2009-15 (Real $2008)'!C$157</f>
        <v>7</v>
      </c>
      <c r="D253" s="473"/>
      <c r="E253" s="473"/>
      <c r="F253" s="85">
        <f>IF(C253&lt;1,B253,B253/2/C253)</f>
        <v>22.820947593768032</v>
      </c>
      <c r="G253" s="85">
        <f>IF((SUM($D253:F253)+$B253/$C253)&gt;$B253,$B253-SUM($D253:F253),$B253/$C253)</f>
        <v>45.641895187536065</v>
      </c>
      <c r="H253" s="85">
        <f>IF((SUM($D253:G253)+$B253/$C253)&gt;$B253,$B253-SUM($D253:G253),$B253/$C253)</f>
        <v>45.641895187536065</v>
      </c>
      <c r="I253" s="85">
        <f>IF((SUM($D253:H253)+$B253/$C253)&gt;$B253,$B253-SUM($D253:H253),$B253/$C253)</f>
        <v>45.641895187536065</v>
      </c>
      <c r="J253" s="85">
        <f>IF((SUM($D253:I253)+$B253/$C253)&gt;$B253,$B253-SUM($D253:I253),$B253/$C253)</f>
        <v>45.641895187536065</v>
      </c>
      <c r="K253" s="85">
        <f>IF((SUM($D253:J253)+$B253/$C253)&gt;$B253,$B253-SUM($D253:J253),$B253/$C253)</f>
        <v>45.641895187536065</v>
      </c>
      <c r="L253" s="85">
        <f>IF((SUM($D253:K253)+$B253/$C253)&gt;$B253,$B253-SUM($D253:K253),$B253/$C253)</f>
        <v>45.641895187536065</v>
      </c>
      <c r="M253" s="85">
        <f>IF((SUM($D253:L253)+$B253/$C253)&gt;$B253,$B253-SUM($D253:L253),$B253/$C253)</f>
        <v>22.820947593767983</v>
      </c>
      <c r="N253" s="85">
        <f>IF((SUM($D253:M253)+$B253/$C253)&gt;$B253,$B253-SUM($D253:M253),$B253/$C253)</f>
        <v>0</v>
      </c>
      <c r="O253" s="85">
        <f>IF((SUM($D253:N253)+$B253/$C253)&gt;$B253,$B253-SUM($D253:N253),$B253/$C253)</f>
        <v>0</v>
      </c>
      <c r="P253" s="85">
        <f>IF((SUM($D253:O253)+$B253/$C253)&gt;$B253,$B253-SUM($D253:O253),$B253/$C253)</f>
        <v>0</v>
      </c>
      <c r="Q253" s="85">
        <f>IF((SUM($D253:P253)+$B253/$C253)&gt;$B253,$B253-SUM($D253:P253),$B253/$C253)</f>
        <v>0</v>
      </c>
      <c r="R253" s="85">
        <f>IF((SUM($D253:Q253)+$B253/$C253)&gt;$B253,$B253-SUM($D253:Q253),$B253/$C253)</f>
        <v>0</v>
      </c>
      <c r="S253" s="85">
        <f>IF((SUM($D253:R253)+$B253/$C253)&gt;$B253,$B253-SUM($D253:R253),$B253/$C253)</f>
        <v>0</v>
      </c>
      <c r="T253" s="85">
        <f>IF((SUM($D253:S253)+$B253/$C253)&gt;$B253,$B253-SUM($D253:S253),$B253/$C253)</f>
        <v>0</v>
      </c>
      <c r="U253" s="85">
        <f>IF((SUM($D253:T253)+$B253/$C253)&gt;$B253,$B253-SUM($D253:T253),$B253/$C253)</f>
        <v>0</v>
      </c>
      <c r="V253" s="85">
        <f>IF((SUM($D253:U253)+$B253/$C253)&gt;$B253,$B253-SUM($D253:U253),$B253/$C253)</f>
        <v>0</v>
      </c>
      <c r="W253" s="85">
        <f>IF((SUM($D253:V253)+$B253/$C253)&gt;$B253,$B253-SUM($D253:V253),$B253/$C253)</f>
        <v>0</v>
      </c>
      <c r="X253" s="85">
        <f>IF((SUM($D253:W253)+$B253/$C253)&gt;$B253,$B253-SUM($D253:W253),$B253/$C253)</f>
        <v>0</v>
      </c>
      <c r="Y253" s="85">
        <f>IF((SUM($D253:X253)+$B253/$C253)&gt;$B253,$B253-SUM($D253:X253),$B253/$C253)</f>
        <v>0</v>
      </c>
      <c r="Z253" s="85">
        <f>IF((SUM($D253:Y253)+$B253/$C253)&gt;$B253,$B253-SUM($D253:Y253),$B253/$C253)</f>
        <v>0</v>
      </c>
      <c r="AA253" s="85">
        <f>IF((SUM($D253:Z253)+$B253/$C253)&gt;$B253,$B253-SUM($D253:Z253),$B253/$C253)</f>
        <v>0</v>
      </c>
    </row>
    <row r="254" spans="1:27" outlineLevel="1" x14ac:dyDescent="0.2">
      <c r="A254" s="462">
        <v>2012</v>
      </c>
      <c r="B254" s="464">
        <f>G$185</f>
        <v>154.46595927536234</v>
      </c>
      <c r="C254" s="463">
        <f>'Data 2009-15 (Real $2008)'!C$157</f>
        <v>7</v>
      </c>
      <c r="D254" s="473"/>
      <c r="E254" s="473"/>
      <c r="F254" s="473"/>
      <c r="G254" s="85">
        <f>IF($C254=1,$B254,$B254/2/$C254)</f>
        <v>11.033282805383024</v>
      </c>
      <c r="H254" s="85">
        <f>IF((SUM($D254:G254)+$B254/$C254)&gt;$B254,$B254-SUM($D254:G254),$B254/$C254)</f>
        <v>22.066565610766048</v>
      </c>
      <c r="I254" s="85">
        <f>IF((SUM($D254:H254)+$B254/$C254)&gt;$B254,$B254-SUM($D254:H254),$B254/$C254)</f>
        <v>22.066565610766048</v>
      </c>
      <c r="J254" s="85">
        <f>IF((SUM($D254:I254)+$B254/$C254)&gt;$B254,$B254-SUM($D254:I254),$B254/$C254)</f>
        <v>22.066565610766048</v>
      </c>
      <c r="K254" s="85">
        <f>IF((SUM($D254:J254)+$B254/$C254)&gt;$B254,$B254-SUM($D254:J254),$B254/$C254)</f>
        <v>22.066565610766048</v>
      </c>
      <c r="L254" s="85">
        <f>IF((SUM($D254:K254)+$B254/$C254)&gt;$B254,$B254-SUM($D254:K254),$B254/$C254)</f>
        <v>22.066565610766048</v>
      </c>
      <c r="M254" s="85">
        <f>IF((SUM($D254:L254)+$B254/$C254)&gt;$B254,$B254-SUM($D254:L254),$B254/$C254)</f>
        <v>22.066565610766048</v>
      </c>
      <c r="N254" s="85">
        <f>IF((SUM($D254:M254)+$B254/$C254)&gt;$B254,$B254-SUM($D254:M254),$B254/$C254)</f>
        <v>11.033282805383038</v>
      </c>
      <c r="O254" s="85">
        <f>IF((SUM($D254:N254)+$B254/$C254)&gt;$B254,$B254-SUM($D254:N254),$B254/$C254)</f>
        <v>0</v>
      </c>
      <c r="P254" s="85">
        <f>IF((SUM($D254:O254)+$B254/$C254)&gt;$B254,$B254-SUM($D254:O254),$B254/$C254)</f>
        <v>0</v>
      </c>
      <c r="Q254" s="85">
        <f>IF((SUM($D254:P254)+$B254/$C254)&gt;$B254,$B254-SUM($D254:P254),$B254/$C254)</f>
        <v>0</v>
      </c>
      <c r="R254" s="85">
        <f>IF((SUM($D254:Q254)+$B254/$C254)&gt;$B254,$B254-SUM($D254:Q254),$B254/$C254)</f>
        <v>0</v>
      </c>
      <c r="S254" s="85">
        <f>IF((SUM($D254:R254)+$B254/$C254)&gt;$B254,$B254-SUM($D254:R254),$B254/$C254)</f>
        <v>0</v>
      </c>
      <c r="T254" s="85">
        <f>IF((SUM($D254:S254)+$B254/$C254)&gt;$B254,$B254-SUM($D254:S254),$B254/$C254)</f>
        <v>0</v>
      </c>
      <c r="U254" s="85">
        <f>IF((SUM($D254:T254)+$B254/$C254)&gt;$B254,$B254-SUM($D254:T254),$B254/$C254)</f>
        <v>0</v>
      </c>
      <c r="V254" s="85">
        <f>IF((SUM($D254:U254)+$B254/$C254)&gt;$B254,$B254-SUM($D254:U254),$B254/$C254)</f>
        <v>0</v>
      </c>
      <c r="W254" s="85">
        <f>IF((SUM($D254:V254)+$B254/$C254)&gt;$B254,$B254-SUM($D254:V254),$B254/$C254)</f>
        <v>0</v>
      </c>
      <c r="X254" s="85">
        <f>IF((SUM($D254:W254)+$B254/$C254)&gt;$B254,$B254-SUM($D254:W254),$B254/$C254)</f>
        <v>0</v>
      </c>
      <c r="Y254" s="85">
        <f>IF((SUM($D254:X254)+$B254/$C254)&gt;$B254,$B254-SUM($D254:X254),$B254/$C254)</f>
        <v>0</v>
      </c>
      <c r="Z254" s="85">
        <f>IF((SUM($D254:Y254)+$B254/$C254)&gt;$B254,$B254-SUM($D254:Y254),$B254/$C254)</f>
        <v>0</v>
      </c>
      <c r="AA254" s="85">
        <f>IF((SUM($D254:Z254)+$B254/$C254)&gt;$B254,$B254-SUM($D254:Z254),$B254/$C254)</f>
        <v>0</v>
      </c>
    </row>
    <row r="255" spans="1:27" outlineLevel="1" x14ac:dyDescent="0.2">
      <c r="A255" s="462">
        <v>2013</v>
      </c>
      <c r="B255" s="464">
        <f>H$185</f>
        <v>32.701787470744009</v>
      </c>
      <c r="C255" s="463">
        <f>'Data 2009-15 (Real $2008)'!C$157</f>
        <v>7</v>
      </c>
      <c r="D255" s="473"/>
      <c r="E255" s="473"/>
      <c r="F255" s="473"/>
      <c r="G255" s="473"/>
      <c r="H255" s="85">
        <f>IF($C255=1,$B255,$B255/2/$C255)</f>
        <v>2.3358419621960005</v>
      </c>
      <c r="I255" s="85">
        <f>IF((SUM($D255:H255)+$B255/$C255)&gt;$B255,$B255-SUM($D255:H255),$B255/$C255)</f>
        <v>4.671683924392001</v>
      </c>
      <c r="J255" s="85">
        <f>IF((SUM($D255:I255)+$B255/$C255)&gt;$B255,$B255-SUM($D255:I255),$B255/$C255)</f>
        <v>4.671683924392001</v>
      </c>
      <c r="K255" s="85">
        <f>IF((SUM($D255:J255)+$B255/$C255)&gt;$B255,$B255-SUM($D255:J255),$B255/$C255)</f>
        <v>4.671683924392001</v>
      </c>
      <c r="L255" s="85">
        <f>IF((SUM($D255:K255)+$B255/$C255)&gt;$B255,$B255-SUM($D255:K255),$B255/$C255)</f>
        <v>4.671683924392001</v>
      </c>
      <c r="M255" s="85">
        <f>IF((SUM($D255:L255)+$B255/$C255)&gt;$B255,$B255-SUM($D255:L255),$B255/$C255)</f>
        <v>4.671683924392001</v>
      </c>
      <c r="N255" s="85">
        <f>IF((SUM($D255:M255)+$B255/$C255)&gt;$B255,$B255-SUM($D255:M255),$B255/$C255)</f>
        <v>4.671683924392001</v>
      </c>
      <c r="O255" s="85">
        <f>IF((SUM($D255:N255)+$B255/$C255)&gt;$B255,$B255-SUM($D255:N255),$B255/$C255)</f>
        <v>2.3358419621960067</v>
      </c>
      <c r="P255" s="85">
        <f>IF((SUM($D255:O255)+$B255/$C255)&gt;$B255,$B255-SUM($D255:O255),$B255/$C255)</f>
        <v>0</v>
      </c>
      <c r="Q255" s="85">
        <f>IF((SUM($D255:P255)+$B255/$C255)&gt;$B255,$B255-SUM($D255:P255),$B255/$C255)</f>
        <v>0</v>
      </c>
      <c r="R255" s="85">
        <f>IF((SUM($D255:Q255)+$B255/$C255)&gt;$B255,$B255-SUM($D255:Q255),$B255/$C255)</f>
        <v>0</v>
      </c>
      <c r="S255" s="85">
        <f>IF((SUM($D255:R255)+$B255/$C255)&gt;$B255,$B255-SUM($D255:R255),$B255/$C255)</f>
        <v>0</v>
      </c>
      <c r="T255" s="85">
        <f>IF((SUM($D255:S255)+$B255/$C255)&gt;$B255,$B255-SUM($D255:S255),$B255/$C255)</f>
        <v>0</v>
      </c>
      <c r="U255" s="85">
        <f>IF((SUM($D255:T255)+$B255/$C255)&gt;$B255,$B255-SUM($D255:T255),$B255/$C255)</f>
        <v>0</v>
      </c>
      <c r="V255" s="85">
        <f>IF((SUM($D255:U255)+$B255/$C255)&gt;$B255,$B255-SUM($D255:U255),$B255/$C255)</f>
        <v>0</v>
      </c>
      <c r="W255" s="85">
        <f>IF((SUM($D255:V255)+$B255/$C255)&gt;$B255,$B255-SUM($D255:V255),$B255/$C255)</f>
        <v>0</v>
      </c>
      <c r="X255" s="85">
        <f>IF((SUM($D255:W255)+$B255/$C255)&gt;$B255,$B255-SUM($D255:W255),$B255/$C255)</f>
        <v>0</v>
      </c>
      <c r="Y255" s="85">
        <f>IF((SUM($D255:X255)+$B255/$C255)&gt;$B255,$B255-SUM($D255:X255),$B255/$C255)</f>
        <v>0</v>
      </c>
      <c r="Z255" s="85">
        <f>IF((SUM($D255:Y255)+$B255/$C255)&gt;$B255,$B255-SUM($D255:Y255),$B255/$C255)</f>
        <v>0</v>
      </c>
      <c r="AA255" s="85">
        <f>IF((SUM($D255:Z255)+$B255/$C255)&gt;$B255,$B255-SUM($D255:Z255),$B255/$C255)</f>
        <v>0</v>
      </c>
    </row>
    <row r="256" spans="1:27" outlineLevel="1" x14ac:dyDescent="0.2">
      <c r="A256" s="462">
        <v>2014</v>
      </c>
      <c r="B256" s="464">
        <f>I$185</f>
        <v>106.79371725331792</v>
      </c>
      <c r="C256" s="463">
        <f>'Data 2009-15 (Real $2008)'!C$157</f>
        <v>7</v>
      </c>
      <c r="D256" s="473"/>
      <c r="E256" s="473"/>
      <c r="F256" s="473"/>
      <c r="G256" s="473"/>
      <c r="H256" s="473"/>
      <c r="I256" s="85">
        <f>IF($C256=1,$B256,$B256/2/$C256)</f>
        <v>7.6281226609512798</v>
      </c>
      <c r="J256" s="85">
        <f>IF((SUM($D256:I256)+$B256/$C256)&gt;$B256,$B256-SUM($D256:I256),$B256/$C256)</f>
        <v>15.25624532190256</v>
      </c>
      <c r="K256" s="85">
        <f>IF((SUM($D256:J256)+$B256/$C256)&gt;$B256,$B256-SUM($D256:J256),$B256/$C256)</f>
        <v>15.25624532190256</v>
      </c>
      <c r="L256" s="85">
        <f>IF((SUM($D256:K256)+$B256/$C256)&gt;$B256,$B256-SUM($D256:K256),$B256/$C256)</f>
        <v>15.25624532190256</v>
      </c>
      <c r="M256" s="85">
        <f>IF((SUM($D256:L256)+$B256/$C256)&gt;$B256,$B256-SUM($D256:L256),$B256/$C256)</f>
        <v>15.25624532190256</v>
      </c>
      <c r="N256" s="85">
        <f>IF((SUM($D256:M256)+$B256/$C256)&gt;$B256,$B256-SUM($D256:M256),$B256/$C256)</f>
        <v>15.25624532190256</v>
      </c>
      <c r="O256" s="85">
        <f>IF((SUM($D256:N256)+$B256/$C256)&gt;$B256,$B256-SUM($D256:N256),$B256/$C256)</f>
        <v>15.25624532190256</v>
      </c>
      <c r="P256" s="85">
        <f>IF((SUM($D256:O256)+$B256/$C256)&gt;$B256,$B256-SUM($D256:O256),$B256/$C256)</f>
        <v>7.6281226609512913</v>
      </c>
      <c r="Q256" s="85">
        <f>IF((SUM($D256:P256)+$B256/$C256)&gt;$B256,$B256-SUM($D256:P256),$B256/$C256)</f>
        <v>0</v>
      </c>
      <c r="R256" s="85">
        <f>IF((SUM($D256:Q256)+$B256/$C256)&gt;$B256,$B256-SUM($D256:Q256),$B256/$C256)</f>
        <v>0</v>
      </c>
      <c r="S256" s="85">
        <f>IF((SUM($D256:R256)+$B256/$C256)&gt;$B256,$B256-SUM($D256:R256),$B256/$C256)</f>
        <v>0</v>
      </c>
      <c r="T256" s="85">
        <f>IF((SUM($D256:S256)+$B256/$C256)&gt;$B256,$B256-SUM($D256:S256),$B256/$C256)</f>
        <v>0</v>
      </c>
      <c r="U256" s="85">
        <f>IF((SUM($D256:T256)+$B256/$C256)&gt;$B256,$B256-SUM($D256:T256),$B256/$C256)</f>
        <v>0</v>
      </c>
      <c r="V256" s="85">
        <f>IF((SUM($D256:U256)+$B256/$C256)&gt;$B256,$B256-SUM($D256:U256),$B256/$C256)</f>
        <v>0</v>
      </c>
      <c r="W256" s="85">
        <f>IF((SUM($D256:V256)+$B256/$C256)&gt;$B256,$B256-SUM($D256:V256),$B256/$C256)</f>
        <v>0</v>
      </c>
      <c r="X256" s="85">
        <f>IF((SUM($D256:W256)+$B256/$C256)&gt;$B256,$B256-SUM($D256:W256),$B256/$C256)</f>
        <v>0</v>
      </c>
      <c r="Y256" s="85">
        <f>IF((SUM($D256:X256)+$B256/$C256)&gt;$B256,$B256-SUM($D256:X256),$B256/$C256)</f>
        <v>0</v>
      </c>
      <c r="Z256" s="85">
        <f>IF((SUM($D256:Y256)+$B256/$C256)&gt;$B256,$B256-SUM($D256:Y256),$B256/$C256)</f>
        <v>0</v>
      </c>
      <c r="AA256" s="85">
        <f>IF((SUM($D256:Z256)+$B256/$C256)&gt;$B256,$B256-SUM($D256:Z256),$B256/$C256)</f>
        <v>0</v>
      </c>
    </row>
    <row r="257" spans="1:27" outlineLevel="1" x14ac:dyDescent="0.2">
      <c r="A257" s="462">
        <v>2015</v>
      </c>
      <c r="B257" s="464">
        <f>J$185</f>
        <v>115.13463127524524</v>
      </c>
      <c r="C257" s="463">
        <f>'Data 2009-15 (Real $2008)'!C$157</f>
        <v>7</v>
      </c>
      <c r="D257" s="473"/>
      <c r="E257" s="473"/>
      <c r="F257" s="473"/>
      <c r="G257" s="473"/>
      <c r="H257" s="473"/>
      <c r="I257" s="473"/>
      <c r="J257" s="85">
        <f>IF($C257=1,$B257,$B257/2/$C257)</f>
        <v>8.2239022339460881</v>
      </c>
      <c r="K257" s="85">
        <f>IF((SUM($D257:J257)+$B257/$C257)&gt;$B257,$B257-SUM($D257:J257),$B257/$C257)</f>
        <v>16.447804467892176</v>
      </c>
      <c r="L257" s="85">
        <f>IF((SUM($D257:K257)+$B257/$C257)&gt;$B257,$B257-SUM($D257:K257),$B257/$C257)</f>
        <v>16.447804467892176</v>
      </c>
      <c r="M257" s="85">
        <f>IF((SUM($D257:L257)+$B257/$C257)&gt;$B257,$B257-SUM($D257:L257),$B257/$C257)</f>
        <v>16.447804467892176</v>
      </c>
      <c r="N257" s="85">
        <f>IF((SUM($D257:M257)+$B257/$C257)&gt;$B257,$B257-SUM($D257:M257),$B257/$C257)</f>
        <v>16.447804467892176</v>
      </c>
      <c r="O257" s="85">
        <f>IF((SUM($D257:N257)+$B257/$C257)&gt;$B257,$B257-SUM($D257:N257),$B257/$C257)</f>
        <v>16.447804467892176</v>
      </c>
      <c r="P257" s="85">
        <f>IF((SUM($D257:O257)+$B257/$C257)&gt;$B257,$B257-SUM($D257:O257),$B257/$C257)</f>
        <v>16.447804467892176</v>
      </c>
      <c r="Q257" s="85">
        <f>IF((SUM($D257:P257)+$B257/$C257)&gt;$B257,$B257-SUM($D257:P257),$B257/$C257)</f>
        <v>8.2239022339460774</v>
      </c>
      <c r="R257" s="85">
        <f>IF((SUM($D257:Q257)+$B257/$C257)&gt;$B257,$B257-SUM($D257:Q257),$B257/$C257)</f>
        <v>0</v>
      </c>
      <c r="S257" s="85">
        <f>IF((SUM($D257:R257)+$B257/$C257)&gt;$B257,$B257-SUM($D257:R257),$B257/$C257)</f>
        <v>0</v>
      </c>
      <c r="T257" s="85">
        <f>IF((SUM($D257:S257)+$B257/$C257)&gt;$B257,$B257-SUM($D257:S257),$B257/$C257)</f>
        <v>0</v>
      </c>
      <c r="U257" s="85">
        <f>IF((SUM($D257:T257)+$B257/$C257)&gt;$B257,$B257-SUM($D257:T257),$B257/$C257)</f>
        <v>0</v>
      </c>
      <c r="V257" s="85">
        <f>IF((SUM($D257:U257)+$B257/$C257)&gt;$B257,$B257-SUM($D257:U257),$B257/$C257)</f>
        <v>0</v>
      </c>
      <c r="W257" s="85">
        <f>IF((SUM($D257:V257)+$B257/$C257)&gt;$B257,$B257-SUM($D257:V257),$B257/$C257)</f>
        <v>0</v>
      </c>
      <c r="X257" s="85">
        <f>IF((SUM($D257:W257)+$B257/$C257)&gt;$B257,$B257-SUM($D257:W257),$B257/$C257)</f>
        <v>0</v>
      </c>
      <c r="Y257" s="85">
        <f>IF((SUM($D257:X257)+$B257/$C257)&gt;$B257,$B257-SUM($D257:X257),$B257/$C257)</f>
        <v>0</v>
      </c>
      <c r="Z257" s="85">
        <f>IF((SUM($D257:Y257)+$B257/$C257)&gt;$B257,$B257-SUM($D257:Y257),$B257/$C257)</f>
        <v>0</v>
      </c>
      <c r="AA257" s="85">
        <f>IF((SUM($D257:Z257)+$B257/$C257)&gt;$B257,$B257-SUM($D257:Z257),$B257/$C257)</f>
        <v>0</v>
      </c>
    </row>
    <row r="258" spans="1:27" s="462" customFormat="1" outlineLevel="1" x14ac:dyDescent="0.2">
      <c r="B258" s="465">
        <f>SUM(B251:B257)</f>
        <v>1821.7053485067258</v>
      </c>
      <c r="D258" s="694">
        <f t="shared" ref="D258:AA258" si="76">SUM(D251:D257)</f>
        <v>35.906397027027026</v>
      </c>
      <c r="E258" s="694">
        <f t="shared" si="76"/>
        <v>113.98611037840587</v>
      </c>
      <c r="F258" s="694">
        <f t="shared" si="76"/>
        <v>178.98037429652572</v>
      </c>
      <c r="G258" s="694">
        <f t="shared" si="76"/>
        <v>212.83460469567677</v>
      </c>
      <c r="H258" s="694">
        <f t="shared" si="76"/>
        <v>226.20372946325583</v>
      </c>
      <c r="I258" s="694">
        <f t="shared" si="76"/>
        <v>236.16769408640309</v>
      </c>
      <c r="J258" s="694">
        <f t="shared" si="76"/>
        <v>252.01971898130046</v>
      </c>
      <c r="K258" s="694">
        <f t="shared" si="76"/>
        <v>224.33722418821949</v>
      </c>
      <c r="L258" s="694">
        <f t="shared" si="76"/>
        <v>146.25751083684071</v>
      </c>
      <c r="M258" s="694">
        <f t="shared" si="76"/>
        <v>81.263246918720768</v>
      </c>
      <c r="N258" s="694">
        <f t="shared" si="76"/>
        <v>47.409016519569775</v>
      </c>
      <c r="O258" s="694">
        <f t="shared" si="76"/>
        <v>34.039891751990744</v>
      </c>
      <c r="P258" s="694">
        <f t="shared" si="76"/>
        <v>24.075927128843468</v>
      </c>
      <c r="Q258" s="694">
        <f t="shared" si="76"/>
        <v>8.2239022339460774</v>
      </c>
      <c r="R258" s="694">
        <f t="shared" si="76"/>
        <v>0</v>
      </c>
      <c r="S258" s="694">
        <f t="shared" si="76"/>
        <v>0</v>
      </c>
      <c r="T258" s="694">
        <f t="shared" si="76"/>
        <v>0</v>
      </c>
      <c r="U258" s="694">
        <f t="shared" si="76"/>
        <v>0</v>
      </c>
      <c r="V258" s="694">
        <f t="shared" si="76"/>
        <v>0</v>
      </c>
      <c r="W258" s="694">
        <f t="shared" si="76"/>
        <v>0</v>
      </c>
      <c r="X258" s="694">
        <f t="shared" si="76"/>
        <v>0</v>
      </c>
      <c r="Y258" s="694">
        <f t="shared" si="76"/>
        <v>0</v>
      </c>
      <c r="Z258" s="694">
        <f t="shared" si="76"/>
        <v>0</v>
      </c>
      <c r="AA258" s="694">
        <f t="shared" si="76"/>
        <v>0</v>
      </c>
    </row>
    <row r="259" spans="1:27" outlineLevel="1" x14ac:dyDescent="0.2"/>
    <row r="260" spans="1:27" outlineLevel="1" x14ac:dyDescent="0.2"/>
    <row r="261" spans="1:27" ht="13.5" outlineLevel="1" thickBot="1" x14ac:dyDescent="0.25">
      <c r="A261" s="469" t="s">
        <v>45</v>
      </c>
      <c r="B261" s="470">
        <f>SUM(B198,B210,B222,B234,B246,B258)</f>
        <v>445724.9959642656</v>
      </c>
      <c r="C261" s="469"/>
      <c r="D261" s="472">
        <f>SUM(D198,D210,D222,D234,D246,D258)</f>
        <v>2725.478088467798</v>
      </c>
      <c r="E261" s="472">
        <f t="shared" ref="E261:W261" si="77">SUM(E198,E210,E222,E234,E246,E258)</f>
        <v>10378.781472646639</v>
      </c>
      <c r="F261" s="472">
        <f t="shared" si="77"/>
        <v>20389.397424510826</v>
      </c>
      <c r="G261" s="472">
        <f t="shared" si="77"/>
        <v>29994.837029364968</v>
      </c>
      <c r="H261" s="472">
        <f t="shared" si="77"/>
        <v>37458.989155528216</v>
      </c>
      <c r="I261" s="472">
        <f t="shared" si="77"/>
        <v>35134.821237926488</v>
      </c>
      <c r="J261" s="472">
        <f t="shared" si="77"/>
        <v>36544.625397425487</v>
      </c>
      <c r="K261" s="472">
        <f t="shared" si="77"/>
        <v>35419.284980253804</v>
      </c>
      <c r="L261" s="472">
        <f t="shared" si="77"/>
        <v>31998.220465115992</v>
      </c>
      <c r="M261" s="472">
        <f t="shared" si="77"/>
        <v>28492.711182053543</v>
      </c>
      <c r="N261" s="472">
        <f t="shared" si="77"/>
        <v>25348.182530407845</v>
      </c>
      <c r="O261" s="472">
        <f t="shared" si="77"/>
        <v>23372.041668290774</v>
      </c>
      <c r="P261" s="472">
        <f t="shared" si="77"/>
        <v>22129.076459384625</v>
      </c>
      <c r="Q261" s="472">
        <f t="shared" si="77"/>
        <v>21134.98216400337</v>
      </c>
      <c r="R261" s="472">
        <f t="shared" si="77"/>
        <v>20731.359222081202</v>
      </c>
      <c r="S261" s="472">
        <f t="shared" si="77"/>
        <v>20661.161987637959</v>
      </c>
      <c r="T261" s="472">
        <f t="shared" si="77"/>
        <v>18519.499122654965</v>
      </c>
      <c r="U261" s="472">
        <f t="shared" si="77"/>
        <v>13615.346157537871</v>
      </c>
      <c r="V261" s="472">
        <f t="shared" si="77"/>
        <v>7910.5814331518122</v>
      </c>
      <c r="W261" s="472">
        <f t="shared" si="77"/>
        <v>2934.9618857892679</v>
      </c>
      <c r="X261" s="472">
        <f>SUM(X198,X210,X222,X234,X246,X258)</f>
        <v>623.18338207494764</v>
      </c>
      <c r="Y261" s="472">
        <f>SUM(Y198,Y210,Y222,Y234,Y246,Y258)</f>
        <v>207.47351795719806</v>
      </c>
      <c r="Z261" s="472">
        <f>SUM(Z198,Z210,Z222,Z234,Z246,Z258)</f>
        <v>0</v>
      </c>
      <c r="AA261" s="472">
        <f>SUM(AA198,AA210,AA222,AA234,AA246,AA258)</f>
        <v>0</v>
      </c>
    </row>
    <row r="262" spans="1:27" ht="13.5" thickTop="1" x14ac:dyDescent="0.2"/>
  </sheetData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5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55" customWidth="1"/>
    <col min="2" max="2" width="10" style="55" customWidth="1"/>
    <col min="3" max="3" width="11.42578125" style="55" customWidth="1"/>
    <col min="4" max="4" width="16.28515625" style="55" customWidth="1"/>
    <col min="5" max="5" width="13.140625" style="55" customWidth="1"/>
    <col min="6" max="6" width="12.85546875" style="55" customWidth="1"/>
    <col min="7" max="7" width="12.7109375" style="55" customWidth="1"/>
    <col min="8" max="8" width="14.42578125" style="55" customWidth="1"/>
    <col min="9" max="9" width="11.5703125" style="55" bestFit="1" customWidth="1"/>
    <col min="10" max="10" width="10" style="55" customWidth="1"/>
    <col min="11" max="11" width="9.140625" style="55"/>
    <col min="12" max="14" width="9.28515625" style="55" bestFit="1" customWidth="1"/>
    <col min="15" max="16" width="10" style="55" customWidth="1"/>
    <col min="17" max="17" width="9.42578125" style="55" bestFit="1" customWidth="1"/>
    <col min="18" max="18" width="9.85546875" style="55" customWidth="1"/>
    <col min="19" max="16384" width="9.140625" style="55"/>
  </cols>
  <sheetData>
    <row r="1" spans="1:11" ht="15.75" x14ac:dyDescent="0.25">
      <c r="A1" s="542" t="str">
        <f>'Data 2006-08'!$A$1</f>
        <v>Powercor</v>
      </c>
      <c r="B1" s="340"/>
      <c r="C1" s="340"/>
      <c r="D1" s="346">
        <v>2006</v>
      </c>
      <c r="E1" s="346">
        <v>2007</v>
      </c>
      <c r="F1" s="346">
        <v>2008</v>
      </c>
      <c r="G1" s="75">
        <v>2009</v>
      </c>
      <c r="H1" s="75">
        <v>2010</v>
      </c>
      <c r="I1" s="75">
        <v>2011</v>
      </c>
      <c r="J1" s="75">
        <v>2012</v>
      </c>
      <c r="K1" s="75">
        <v>2013</v>
      </c>
    </row>
    <row r="2" spans="1:11" ht="15.75" x14ac:dyDescent="0.25">
      <c r="B2" s="340"/>
      <c r="C2" s="340"/>
    </row>
    <row r="3" spans="1:11" x14ac:dyDescent="0.2">
      <c r="A3" s="343"/>
      <c r="B3" s="344"/>
      <c r="C3" s="344"/>
      <c r="D3" s="346">
        <v>2006</v>
      </c>
      <c r="E3" s="346">
        <v>2007</v>
      </c>
      <c r="F3" s="346">
        <v>2008</v>
      </c>
      <c r="G3" s="75">
        <v>2009</v>
      </c>
      <c r="H3" s="75">
        <v>2010</v>
      </c>
      <c r="I3" s="75">
        <v>2011</v>
      </c>
      <c r="J3" s="75">
        <v>2012</v>
      </c>
      <c r="K3" s="75">
        <v>2013</v>
      </c>
    </row>
    <row r="4" spans="1:11" x14ac:dyDescent="0.2">
      <c r="A4" s="420" t="s">
        <v>86</v>
      </c>
      <c r="B4" s="344"/>
      <c r="C4" s="344"/>
      <c r="D4" s="419">
        <f>'Data 2006-08'!D155</f>
        <v>3.0261348005502064E-2</v>
      </c>
      <c r="E4" s="419">
        <f>'Data 2006-08'!E155</f>
        <v>3.9385847797062556E-2</v>
      </c>
      <c r="F4" s="419">
        <f>'Data 2006-08'!F155</f>
        <v>1.862556197816323E-2</v>
      </c>
      <c r="G4" s="426">
        <f>'Data 2009-15 (Real $2008)'!D144</f>
        <v>4.9810844892812067E-2</v>
      </c>
      <c r="H4" s="426">
        <f>'Data 2009-15 (Real $2008)'!E144</f>
        <v>1.2612612612612484E-2</v>
      </c>
      <c r="I4" s="426">
        <f>'Data 2009-15 (Real $2008)'!F144</f>
        <v>2.7876631079478242E-2</v>
      </c>
      <c r="J4" s="426">
        <f>'Data 2009-15 (Real $2008)'!G144</f>
        <v>3.5199076745527913E-2</v>
      </c>
      <c r="K4" s="426">
        <f>'Data 2009-15 (Real $2008)'!H144</f>
        <v>2.0040080160320661E-2</v>
      </c>
    </row>
    <row r="5" spans="1:11" x14ac:dyDescent="0.2">
      <c r="A5" s="277" t="str">
        <f>'Data 2006-08'!A141</f>
        <v>'Vanilla' after tax WACC (real)</v>
      </c>
      <c r="B5" s="278"/>
      <c r="C5" s="278"/>
      <c r="D5" s="403">
        <f>'Data 2006-08'!$C$141</f>
        <v>5.8999999999999997E-2</v>
      </c>
      <c r="E5" s="403">
        <f>'Data 2006-08'!$C$141</f>
        <v>5.8999999999999997E-2</v>
      </c>
      <c r="F5" s="403">
        <f>'Data 2006-08'!$C$141</f>
        <v>5.8999999999999997E-2</v>
      </c>
      <c r="G5" s="426">
        <f>'AMI Building Blocks 2009-15'!$C$18</f>
        <v>6.7716458658346301E-2</v>
      </c>
      <c r="H5" s="426">
        <f>'AMI Building Blocks 2009-15'!$C$18</f>
        <v>6.7716458658346301E-2</v>
      </c>
      <c r="I5" s="426">
        <f>'AMI Building Blocks 2009-15'!$C$18</f>
        <v>6.7716458658346301E-2</v>
      </c>
      <c r="J5" s="426">
        <f>'AMI Building Blocks 2009-15'!$C$18</f>
        <v>6.7716458658346301E-2</v>
      </c>
      <c r="K5" s="426">
        <f>'AMI Building Blocks 2009-15'!$C$18</f>
        <v>6.7716458658346301E-2</v>
      </c>
    </row>
    <row r="6" spans="1:11" x14ac:dyDescent="0.2">
      <c r="A6" s="421" t="s">
        <v>303</v>
      </c>
      <c r="B6" s="344"/>
      <c r="C6" s="344"/>
      <c r="D6" s="419">
        <f t="shared" ref="D6:K6" si="0">(1+D4)*(1+D5)-1</f>
        <v>9.1046767537826589E-2</v>
      </c>
      <c r="E6" s="419">
        <f t="shared" si="0"/>
        <v>0.10070961281708923</v>
      </c>
      <c r="F6" s="419">
        <f t="shared" si="0"/>
        <v>7.8724470134874824E-2</v>
      </c>
      <c r="G6" s="419">
        <f t="shared" si="0"/>
        <v>0.1209003175700798</v>
      </c>
      <c r="H6" s="419">
        <f t="shared" si="0"/>
        <v>8.1183152731514552E-2</v>
      </c>
      <c r="I6" s="419">
        <f t="shared" si="0"/>
        <v>9.7480796473851994E-2</v>
      </c>
      <c r="J6" s="419">
        <f t="shared" si="0"/>
        <v>0.10529909222912481</v>
      </c>
      <c r="K6" s="419">
        <f t="shared" si="0"/>
        <v>8.9113582078353293E-2</v>
      </c>
    </row>
    <row r="7" spans="1:11" x14ac:dyDescent="0.2">
      <c r="A7" s="343"/>
      <c r="B7" s="344"/>
      <c r="C7" s="344"/>
      <c r="D7" s="345"/>
      <c r="E7" s="345"/>
      <c r="F7" s="345"/>
      <c r="G7" s="345"/>
      <c r="H7" s="345"/>
      <c r="I7" s="345"/>
      <c r="J7" s="345"/>
    </row>
    <row r="8" spans="1:11" x14ac:dyDescent="0.2">
      <c r="A8" s="343"/>
      <c r="B8" s="344"/>
      <c r="C8" s="344"/>
      <c r="D8" s="345"/>
      <c r="E8" s="345"/>
      <c r="F8" s="345"/>
      <c r="G8" s="345"/>
      <c r="H8" s="345"/>
      <c r="I8" s="345"/>
      <c r="J8" s="345"/>
    </row>
    <row r="9" spans="1:11" x14ac:dyDescent="0.2">
      <c r="A9" s="343"/>
      <c r="B9" s="344"/>
      <c r="C9" s="344"/>
      <c r="D9" s="345"/>
      <c r="E9" s="345"/>
      <c r="F9" s="345"/>
      <c r="G9" s="345"/>
      <c r="H9" s="345"/>
      <c r="I9" s="345"/>
      <c r="J9" s="345"/>
    </row>
    <row r="10" spans="1:11" x14ac:dyDescent="0.2">
      <c r="A10" s="493" t="s">
        <v>351</v>
      </c>
      <c r="B10" s="344"/>
      <c r="C10" s="344"/>
      <c r="D10" s="346">
        <v>2006</v>
      </c>
      <c r="E10" s="346">
        <v>2007</v>
      </c>
      <c r="F10" s="346">
        <v>2008</v>
      </c>
      <c r="G10" s="75">
        <v>2009</v>
      </c>
      <c r="H10" s="75">
        <v>2010</v>
      </c>
      <c r="I10" s="75">
        <v>2011</v>
      </c>
      <c r="J10" s="75">
        <v>2012</v>
      </c>
      <c r="K10" s="75">
        <v>2013</v>
      </c>
    </row>
    <row r="11" spans="1:11" x14ac:dyDescent="0.2">
      <c r="A11" s="407" t="s">
        <v>304</v>
      </c>
      <c r="B11" s="344"/>
      <c r="C11" s="344"/>
      <c r="D11" s="345"/>
      <c r="E11" s="345"/>
      <c r="F11" s="345"/>
      <c r="G11" s="345"/>
      <c r="H11" s="345"/>
      <c r="I11" s="345"/>
      <c r="J11" s="345"/>
    </row>
    <row r="12" spans="1:11" x14ac:dyDescent="0.2">
      <c r="A12" s="420" t="s">
        <v>306</v>
      </c>
      <c r="B12" s="344"/>
      <c r="C12" s="344"/>
      <c r="D12" s="345">
        <f>D73</f>
        <v>-6618.5966232817555</v>
      </c>
      <c r="E12" s="345">
        <f>E73</f>
        <v>-9926.8982245523548</v>
      </c>
      <c r="F12" s="345">
        <f>F73</f>
        <v>-14653.44966701607</v>
      </c>
      <c r="G12" s="519"/>
      <c r="H12" s="519"/>
      <c r="I12" s="519"/>
      <c r="J12" s="519"/>
      <c r="K12" s="512"/>
    </row>
    <row r="13" spans="1:11" x14ac:dyDescent="0.2">
      <c r="A13" s="420" t="s">
        <v>312</v>
      </c>
      <c r="B13" s="344"/>
      <c r="C13" s="344"/>
      <c r="D13" s="345">
        <f>D36</f>
        <v>0</v>
      </c>
      <c r="E13" s="345">
        <f>E36</f>
        <v>832.05512918969782</v>
      </c>
      <c r="F13" s="345">
        <f>F36</f>
        <v>1918.3413148522152</v>
      </c>
      <c r="G13" s="345">
        <f>G36</f>
        <v>2485.6424974192855</v>
      </c>
      <c r="H13" s="345">
        <f>H36</f>
        <v>2242.0914128294144</v>
      </c>
      <c r="I13" s="519"/>
      <c r="J13" s="519"/>
      <c r="K13" s="512"/>
    </row>
    <row r="14" spans="1:11" x14ac:dyDescent="0.2">
      <c r="A14" s="420" t="s">
        <v>311</v>
      </c>
      <c r="B14" s="344"/>
      <c r="C14" s="344"/>
      <c r="D14" s="378">
        <f>D65</f>
        <v>5125.3416810623858</v>
      </c>
      <c r="E14" s="378">
        <f t="shared" ref="E14:K14" si="1">E65</f>
        <v>5651.5378527054718</v>
      </c>
      <c r="F14" s="378">
        <f t="shared" si="1"/>
        <v>5782.7557934843262</v>
      </c>
      <c r="G14" s="378">
        <f t="shared" si="1"/>
        <v>6070.7997453665839</v>
      </c>
      <c r="H14" s="378">
        <f t="shared" si="1"/>
        <v>6147.3683908036392</v>
      </c>
      <c r="I14" s="378">
        <f t="shared" si="1"/>
        <v>6318.7363115437183</v>
      </c>
      <c r="J14" s="378">
        <f t="shared" si="1"/>
        <v>403.05722165888778</v>
      </c>
      <c r="K14" s="378">
        <f t="shared" si="1"/>
        <v>29.947142404065424</v>
      </c>
    </row>
    <row r="15" spans="1:11" x14ac:dyDescent="0.2">
      <c r="A15" s="420" t="s">
        <v>313</v>
      </c>
      <c r="B15" s="344"/>
      <c r="C15" s="344"/>
      <c r="D15" s="345">
        <f>'Data 2006-08'!D115/10^3</f>
        <v>1528.6643097925446</v>
      </c>
      <c r="E15" s="345">
        <f>'Data 2006-08'!E115/10^3</f>
        <v>5857.7100682765486</v>
      </c>
      <c r="F15" s="345">
        <f>'Data 2006-08'!F115/10^3</f>
        <v>9571.029124431283</v>
      </c>
      <c r="G15" s="519"/>
      <c r="H15" s="519"/>
      <c r="I15" s="519"/>
      <c r="J15" s="519"/>
      <c r="K15" s="512"/>
    </row>
    <row r="16" spans="1:11" x14ac:dyDescent="0.2">
      <c r="A16" s="420" t="s">
        <v>45</v>
      </c>
      <c r="B16" s="344"/>
      <c r="C16" s="344"/>
      <c r="D16" s="387">
        <f t="shared" ref="D16:K16" si="2">SUM(D12:D15)</f>
        <v>35.409367573174904</v>
      </c>
      <c r="E16" s="387">
        <f t="shared" si="2"/>
        <v>2414.4048256193628</v>
      </c>
      <c r="F16" s="387">
        <f t="shared" si="2"/>
        <v>2618.6765657517553</v>
      </c>
      <c r="G16" s="387">
        <f t="shared" si="2"/>
        <v>8556.4422427858699</v>
      </c>
      <c r="H16" s="387">
        <f t="shared" si="2"/>
        <v>8389.4598036330535</v>
      </c>
      <c r="I16" s="387">
        <f t="shared" si="2"/>
        <v>6318.7363115437183</v>
      </c>
      <c r="J16" s="387">
        <f t="shared" si="2"/>
        <v>403.05722165888778</v>
      </c>
      <c r="K16" s="387">
        <f t="shared" si="2"/>
        <v>29.947142404065424</v>
      </c>
    </row>
    <row r="17" spans="1:11" x14ac:dyDescent="0.2">
      <c r="A17" s="343"/>
      <c r="B17" s="344"/>
      <c r="C17" s="344"/>
      <c r="D17" s="345"/>
      <c r="E17" s="345"/>
      <c r="F17" s="345"/>
      <c r="G17" s="345"/>
      <c r="H17" s="345"/>
      <c r="I17" s="345"/>
      <c r="J17" s="345"/>
    </row>
    <row r="18" spans="1:11" x14ac:dyDescent="0.2">
      <c r="A18" s="420" t="s">
        <v>314</v>
      </c>
      <c r="B18" s="344"/>
      <c r="C18" s="344"/>
      <c r="D18" s="424">
        <f>E18*(1+E6)</f>
        <v>1.330914884346738</v>
      </c>
      <c r="E18" s="424">
        <f>F18*(1+F6)</f>
        <v>1.2091426011447972</v>
      </c>
      <c r="F18" s="424">
        <f>G18*(1+G6)</f>
        <v>1.1209003175700798</v>
      </c>
      <c r="G18" s="425">
        <v>1</v>
      </c>
      <c r="H18" s="424">
        <f>G18/(1+H6)</f>
        <v>0.92491267318917014</v>
      </c>
      <c r="I18" s="424">
        <f>H18/(1+I6)</f>
        <v>0.84275977872311369</v>
      </c>
      <c r="J18" s="424">
        <f>I18/(1+J6)</f>
        <v>0.7624721531467723</v>
      </c>
      <c r="K18" s="424">
        <f>J18/(1+K6)</f>
        <v>0.70008506522501368</v>
      </c>
    </row>
    <row r="19" spans="1:11" x14ac:dyDescent="0.2">
      <c r="A19" s="420"/>
      <c r="B19" s="344"/>
      <c r="C19" s="344"/>
      <c r="D19" s="424"/>
      <c r="E19" s="424"/>
      <c r="F19" s="424"/>
      <c r="G19" s="425"/>
      <c r="H19" s="425"/>
      <c r="I19" s="425"/>
      <c r="J19" s="424"/>
      <c r="K19" s="424"/>
    </row>
    <row r="20" spans="1:11" ht="13.5" thickBot="1" x14ac:dyDescent="0.25">
      <c r="A20" s="428" t="s">
        <v>352</v>
      </c>
      <c r="B20" s="429"/>
      <c r="C20" s="429"/>
      <c r="D20" s="521"/>
      <c r="E20" s="521"/>
      <c r="F20" s="521"/>
      <c r="G20" s="427">
        <f>SUMPRODUCT(D16:K16,D18:K18)</f>
        <v>27871.184186465216</v>
      </c>
      <c r="H20" s="520"/>
      <c r="I20" s="520"/>
      <c r="J20" s="521"/>
      <c r="K20" s="521"/>
    </row>
    <row r="21" spans="1:11" ht="13.5" thickTop="1" x14ac:dyDescent="0.2">
      <c r="A21" s="343"/>
      <c r="B21" s="344"/>
      <c r="C21" s="344"/>
      <c r="D21" s="345"/>
      <c r="E21" s="345"/>
      <c r="F21" s="345"/>
      <c r="G21" s="345"/>
      <c r="H21" s="345"/>
      <c r="I21" s="345"/>
      <c r="J21" s="345"/>
    </row>
    <row r="22" spans="1:11" x14ac:dyDescent="0.2">
      <c r="A22" s="343"/>
      <c r="B22" s="344"/>
      <c r="C22" s="344"/>
      <c r="D22" s="345"/>
      <c r="E22" s="345"/>
      <c r="F22" s="345"/>
      <c r="G22" s="345"/>
      <c r="H22" s="345"/>
      <c r="I22" s="345"/>
      <c r="J22" s="345"/>
    </row>
    <row r="23" spans="1:11" x14ac:dyDescent="0.2">
      <c r="A23" s="343"/>
      <c r="B23" s="344"/>
      <c r="C23" s="344"/>
      <c r="D23" s="345"/>
      <c r="E23" s="345"/>
      <c r="F23" s="345"/>
      <c r="G23" s="345"/>
      <c r="H23" s="345"/>
      <c r="I23" s="345"/>
      <c r="J23" s="345"/>
    </row>
    <row r="24" spans="1:11" x14ac:dyDescent="0.2">
      <c r="A24" s="41" t="s">
        <v>310</v>
      </c>
      <c r="D24" s="75">
        <v>2006</v>
      </c>
      <c r="E24" s="75">
        <v>2007</v>
      </c>
      <c r="F24" s="75">
        <v>2008</v>
      </c>
      <c r="G24" s="75">
        <v>2009</v>
      </c>
      <c r="H24" s="75">
        <v>2010</v>
      </c>
    </row>
    <row r="25" spans="1:11" x14ac:dyDescent="0.2">
      <c r="A25" s="407" t="s">
        <v>307</v>
      </c>
      <c r="D25" s="306"/>
      <c r="E25" s="273"/>
      <c r="F25" s="273"/>
      <c r="G25" s="273"/>
      <c r="H25" s="273"/>
    </row>
    <row r="26" spans="1:11" x14ac:dyDescent="0.2">
      <c r="A26" s="83" t="s">
        <v>308</v>
      </c>
      <c r="D26" s="273">
        <f>-IF('Data 2006-08'!D184&gt;0,0,'Data 2006-08'!D184/'Data 2006-08'!D185/10^3)</f>
        <v>0</v>
      </c>
      <c r="E26" s="273">
        <f>-IF('Data 2006-08'!E184&gt;0,0,'Data 2006-08'!E184/'Data 2006-08'!E185/10^3)</f>
        <v>4303.1376056166855</v>
      </c>
      <c r="F26" s="273">
        <f>-IF('Data 2006-08'!F184&gt;0,0,'Data 2006-08'!F184/'Data 2006-08'!F185/10^3)</f>
        <v>9739.6744730737646</v>
      </c>
      <c r="G26" s="273">
        <f>-IF('Data 2006-08'!G184&gt;0,0,'Data 2006-08'!G184/'Data 2006-08'!G185/10^3)</f>
        <v>12021.154316347889</v>
      </c>
      <c r="H26" s="273">
        <f>-IF('Data 2006-08'!H184&gt;0,0,'Data 2006-08'!H184/'Data 2006-08'!H185/10^3)</f>
        <v>10708.225041463067</v>
      </c>
    </row>
    <row r="27" spans="1:11" x14ac:dyDescent="0.2">
      <c r="A27" s="82" t="s">
        <v>132</v>
      </c>
      <c r="D27" s="273">
        <f>D26*'Data 2006-08'!$C$169/(1-'Data 2006-08'!$C$169*(1-'Data 2006-08'!$C$170))</f>
        <v>0</v>
      </c>
      <c r="E27" s="273">
        <f>E26*'Data 2006-08'!$C$169/(1-'Data 2006-08'!$C$169*(1-'Data 2006-08'!$C$170))</f>
        <v>1518.7544490411831</v>
      </c>
      <c r="F27" s="273">
        <f>F26*'Data 2006-08'!$C$169/(1-'Data 2006-08'!$C$169*(1-'Data 2006-08'!$C$170))</f>
        <v>3437.5321669672112</v>
      </c>
      <c r="G27" s="273">
        <f>G26*'Data 2006-08'!$C$169/(1-'Data 2006-08'!$C$169*(1-'Data 2006-08'!$C$170))</f>
        <v>4242.7603469463138</v>
      </c>
      <c r="H27" s="273">
        <f>H26*'Data 2006-08'!$C$169/(1-'Data 2006-08'!$C$169*(1-'Data 2006-08'!$C$170))</f>
        <v>3779.3735440457885</v>
      </c>
    </row>
    <row r="28" spans="1:11" x14ac:dyDescent="0.2">
      <c r="A28" s="277" t="s">
        <v>133</v>
      </c>
      <c r="D28" s="273">
        <f>D27*'Data 2006-08'!$C$170</f>
        <v>0</v>
      </c>
      <c r="E28" s="273">
        <f>E27*'Data 2006-08'!$C$170</f>
        <v>759.37722452059154</v>
      </c>
      <c r="F28" s="273">
        <f>F27*'Data 2006-08'!$C$170</f>
        <v>1718.7660834836056</v>
      </c>
      <c r="G28" s="273">
        <f>G27*'Data 2006-08'!$C$170</f>
        <v>2121.3801734731569</v>
      </c>
      <c r="H28" s="273">
        <f>H27*'Data 2006-08'!$C$170</f>
        <v>1889.6867720228943</v>
      </c>
    </row>
    <row r="29" spans="1:11" ht="13.5" thickBot="1" x14ac:dyDescent="0.25">
      <c r="A29" s="55" t="s">
        <v>309</v>
      </c>
      <c r="D29" s="417">
        <f>D27-D28</f>
        <v>0</v>
      </c>
      <c r="E29" s="417">
        <f>E27-E28</f>
        <v>759.37722452059154</v>
      </c>
      <c r="F29" s="417">
        <f>F27-F28</f>
        <v>1718.7660834836056</v>
      </c>
      <c r="G29" s="417">
        <f>G27-G28</f>
        <v>2121.3801734731569</v>
      </c>
      <c r="H29" s="417">
        <f>H27-H28</f>
        <v>1889.6867720228943</v>
      </c>
    </row>
    <row r="30" spans="1:11" ht="13.5" thickTop="1" x14ac:dyDescent="0.2">
      <c r="D30" s="273"/>
      <c r="E30" s="273"/>
      <c r="F30" s="273"/>
      <c r="G30" s="273"/>
      <c r="H30" s="273"/>
    </row>
    <row r="31" spans="1:11" x14ac:dyDescent="0.2">
      <c r="A31" s="55" t="s">
        <v>309</v>
      </c>
      <c r="D31" s="273"/>
      <c r="E31" s="273"/>
      <c r="F31" s="273"/>
      <c r="G31" s="273"/>
      <c r="H31" s="273"/>
    </row>
    <row r="32" spans="1:11" x14ac:dyDescent="0.2">
      <c r="A32" s="407" t="s">
        <v>296</v>
      </c>
      <c r="D32" s="379">
        <f>D29*'Data 2006-08'!$B$156</f>
        <v>0</v>
      </c>
      <c r="E32" s="379">
        <f>E29*'Data 2006-08'!$B$156</f>
        <v>847.55262356766912</v>
      </c>
      <c r="F32" s="379">
        <f>F29*'Data 2006-08'!$B$156</f>
        <v>1918.3413148522152</v>
      </c>
      <c r="G32" s="379">
        <f>G29*'Data 2006-08'!$B$156</f>
        <v>2367.7051056498422</v>
      </c>
      <c r="H32" s="379">
        <f>H29*'Data 2006-08'!$B$156</f>
        <v>2109.1085295061994</v>
      </c>
    </row>
    <row r="33" spans="1:11" x14ac:dyDescent="0.2">
      <c r="D33" s="273"/>
      <c r="E33" s="273"/>
      <c r="F33" s="273"/>
      <c r="G33" s="273"/>
      <c r="H33" s="273"/>
    </row>
    <row r="34" spans="1:11" x14ac:dyDescent="0.2">
      <c r="D34" s="273"/>
      <c r="E34" s="273"/>
      <c r="F34" s="273"/>
      <c r="G34" s="273"/>
      <c r="H34" s="273"/>
    </row>
    <row r="35" spans="1:11" x14ac:dyDescent="0.2">
      <c r="A35" s="55" t="s">
        <v>309</v>
      </c>
      <c r="D35" s="75">
        <v>2006</v>
      </c>
      <c r="E35" s="75">
        <v>2007</v>
      </c>
      <c r="F35" s="75">
        <v>2008</v>
      </c>
      <c r="G35" s="75">
        <v>2009</v>
      </c>
      <c r="H35" s="75">
        <v>2010</v>
      </c>
    </row>
    <row r="36" spans="1:11" x14ac:dyDescent="0.2">
      <c r="A36" s="407" t="s">
        <v>304</v>
      </c>
      <c r="D36" s="273">
        <f>D32/'Data 2006-08'!D156</f>
        <v>0</v>
      </c>
      <c r="E36" s="273">
        <f>E32/'Data 2006-08'!E156</f>
        <v>832.05512918969782</v>
      </c>
      <c r="F36" s="273">
        <f>F32/'Data 2006-08'!F156</f>
        <v>1918.3413148522152</v>
      </c>
      <c r="G36" s="273">
        <f>G32*'Data 2009-15 (Real $2008)'!D145</f>
        <v>2485.6424974192855</v>
      </c>
      <c r="H36" s="273">
        <f>H32*'Data 2009-15 (Real $2008)'!E145</f>
        <v>2242.0914128294144</v>
      </c>
    </row>
    <row r="37" spans="1:11" x14ac:dyDescent="0.2">
      <c r="D37" s="273"/>
      <c r="E37" s="273"/>
      <c r="F37" s="273"/>
      <c r="G37" s="273"/>
      <c r="H37" s="273"/>
    </row>
    <row r="38" spans="1:11" ht="13.5" thickBot="1" x14ac:dyDescent="0.25">
      <c r="A38" s="522"/>
      <c r="B38" s="522"/>
      <c r="C38" s="522"/>
      <c r="D38" s="523"/>
      <c r="E38" s="523"/>
      <c r="F38" s="523"/>
      <c r="G38" s="523"/>
      <c r="H38" s="523"/>
      <c r="I38" s="522"/>
      <c r="J38" s="522"/>
      <c r="K38" s="522"/>
    </row>
    <row r="39" spans="1:11" x14ac:dyDescent="0.2">
      <c r="D39" s="273"/>
      <c r="E39" s="273"/>
      <c r="F39" s="273"/>
      <c r="G39" s="273"/>
      <c r="H39" s="273"/>
    </row>
    <row r="40" spans="1:11" x14ac:dyDescent="0.2">
      <c r="A40" s="41" t="s">
        <v>311</v>
      </c>
      <c r="D40" s="75">
        <v>2006</v>
      </c>
      <c r="E40" s="75">
        <v>2007</v>
      </c>
      <c r="F40" s="75">
        <v>2008</v>
      </c>
      <c r="G40" s="75">
        <v>2009</v>
      </c>
      <c r="H40" s="75">
        <v>2010</v>
      </c>
      <c r="I40" s="75">
        <v>2011</v>
      </c>
      <c r="J40" s="75">
        <v>2012</v>
      </c>
      <c r="K40" s="75">
        <v>2013</v>
      </c>
    </row>
    <row r="41" spans="1:11" x14ac:dyDescent="0.2">
      <c r="A41" s="407" t="s">
        <v>296</v>
      </c>
      <c r="D41" s="273"/>
      <c r="E41" s="273"/>
      <c r="F41" s="273"/>
      <c r="G41" s="273"/>
      <c r="H41" s="273"/>
    </row>
    <row r="42" spans="1:11" x14ac:dyDescent="0.2">
      <c r="A42" s="342" t="s">
        <v>357</v>
      </c>
    </row>
    <row r="43" spans="1:11" x14ac:dyDescent="0.2">
      <c r="A43" s="278" t="s">
        <v>317</v>
      </c>
      <c r="D43" s="273">
        <f>'Data 2006-08'!D205*'Data 2006-08'!D59*'Data 2006-08'!$B$156/10^3</f>
        <v>1455.5430286840249</v>
      </c>
      <c r="E43" s="273">
        <f>'Data 2006-08'!E205*'Data 2006-08'!E59*'Data 2006-08'!$B$156/10^3</f>
        <v>1474.3283225334269</v>
      </c>
      <c r="F43" s="273">
        <f>'Data 2006-08'!F205*'Data 2006-08'!F59*'Data 2006-08'!$B$156/10^3</f>
        <v>1493.209468374384</v>
      </c>
      <c r="G43" s="273"/>
      <c r="H43" s="273"/>
    </row>
    <row r="44" spans="1:11" x14ac:dyDescent="0.2">
      <c r="A44" s="82" t="s">
        <v>24</v>
      </c>
      <c r="D44" s="273">
        <f>((('Data 2006-08'!D208*12+'Data 2006-08'!D210)*'Data 2006-08'!D63+('Data 2006-08'!D208*4+'Data 2006-08'!D210)*'Data 2006-08'!D64)+(('Data 2006-08'!D209*12+'Data 2006-08'!D211)*'Data 2006-08'!D65+('Data 2006-08'!D209*4+'Data 2006-08'!D211)*'Data 2006-08'!D66))*'Data 2006-08'!$B$156/10^3</f>
        <v>10329.86701165163</v>
      </c>
      <c r="E44" s="273">
        <f>((('Data 2006-08'!E208*12+'Data 2006-08'!E210)*'Data 2006-08'!E63+('Data 2006-08'!E208*4+'Data 2006-08'!E210)*'Data 2006-08'!E64)+(('Data 2006-08'!E209*12+'Data 2006-08'!E211)*'Data 2006-08'!E65+('Data 2006-08'!E209*4+'Data 2006-08'!E211)*'Data 2006-08'!E66))*'Data 2006-08'!$B$156/10^3</f>
        <v>10463.184669333354</v>
      </c>
      <c r="F44" s="273">
        <f>((('Data 2006-08'!F208*12+'Data 2006-08'!F210)*'Data 2006-08'!F63+('Data 2006-08'!F208*4+'Data 2006-08'!F210)*'Data 2006-08'!F64)+(('Data 2006-08'!F209*12+'Data 2006-08'!F211)*'Data 2006-08'!F65+('Data 2006-08'!F209*4+'Data 2006-08'!F211)*'Data 2006-08'!F66))*'Data 2006-08'!$B$156/10^3</f>
        <v>10597.182580574097</v>
      </c>
    </row>
    <row r="45" spans="1:11" x14ac:dyDescent="0.2">
      <c r="A45" s="82" t="s">
        <v>269</v>
      </c>
      <c r="D45" s="273">
        <f>'Data 2006-08'!D213*'Data 2006-08'!D69*'Data 2006-08'!$B$156/10^3</f>
        <v>73.13815003518647</v>
      </c>
      <c r="E45" s="273">
        <f>'Data 2006-08'!E213*'Data 2006-08'!E69*'Data 2006-08'!$B$156/10^3</f>
        <v>88.222449824067525</v>
      </c>
      <c r="F45" s="273">
        <f>'Data 2006-08'!F213*'Data 2006-08'!F69*'Data 2006-08'!$B$156/10^3</f>
        <v>75.066574243490479</v>
      </c>
    </row>
    <row r="46" spans="1:11" x14ac:dyDescent="0.2">
      <c r="D46" s="387">
        <f>SUM(D43:D45)</f>
        <v>11858.548190370842</v>
      </c>
      <c r="E46" s="387">
        <f>SUM(E43:E45)</f>
        <v>12025.735441690847</v>
      </c>
      <c r="F46" s="387">
        <f>SUM(F43:F45)</f>
        <v>12165.458623191971</v>
      </c>
    </row>
    <row r="48" spans="1:11" x14ac:dyDescent="0.2">
      <c r="A48" s="342" t="s">
        <v>318</v>
      </c>
    </row>
    <row r="49" spans="1:11" x14ac:dyDescent="0.2">
      <c r="A49" s="278" t="s">
        <v>317</v>
      </c>
      <c r="D49" s="345">
        <f>'Data 2006-08'!D40*'Data 2006-08'!D156/10^3</f>
        <v>895.63163212672964</v>
      </c>
      <c r="E49" s="345">
        <f>'Data 2006-08'!E40*'Data 2006-08'!E156/10^3</f>
        <v>1014.5615997338352</v>
      </c>
      <c r="F49" s="345">
        <f>'Data 2006-08'!F40*'Data 2006-08'!F156/10^3</f>
        <v>707.13682785838751</v>
      </c>
    </row>
    <row r="50" spans="1:11" x14ac:dyDescent="0.2">
      <c r="A50" s="82" t="s">
        <v>24</v>
      </c>
      <c r="D50" s="345">
        <f>'Data 2006-08'!D45*'Data 2006-08'!D156/10^3</f>
        <v>5283.2962185946217</v>
      </c>
      <c r="E50" s="345">
        <f>'Data 2006-08'!E45*'Data 2006-08'!E156/10^3</f>
        <v>5043.0777250228712</v>
      </c>
      <c r="F50" s="345">
        <f>'Data 2006-08'!F45*'Data 2006-08'!F156/10^3</f>
        <v>5341.1676142753049</v>
      </c>
    </row>
    <row r="51" spans="1:11" x14ac:dyDescent="0.2">
      <c r="A51" s="82" t="s">
        <v>269</v>
      </c>
      <c r="D51" s="345">
        <f>'Data 2006-08'!D46*'Data 2006-08'!D156/10^3</f>
        <v>253.19049574765978</v>
      </c>
      <c r="E51" s="345">
        <f>'Data 2006-08'!E46*'Data 2006-08'!E156/10^3</f>
        <v>211.29519568116723</v>
      </c>
      <c r="F51" s="345">
        <f>'Data 2006-08'!F46*'Data 2006-08'!F156/10^3</f>
        <v>334.39838757395194</v>
      </c>
    </row>
    <row r="52" spans="1:11" x14ac:dyDescent="0.2">
      <c r="D52" s="387">
        <f>SUM(D49:D51)</f>
        <v>6432.1183464690112</v>
      </c>
      <c r="E52" s="387">
        <f>SUM(E49:E51)</f>
        <v>6268.9345204378742</v>
      </c>
      <c r="F52" s="387">
        <f>SUM(F49:F51)</f>
        <v>6382.7028297076449</v>
      </c>
    </row>
    <row r="54" spans="1:11" x14ac:dyDescent="0.2">
      <c r="A54" s="55" t="s">
        <v>361</v>
      </c>
      <c r="D54" s="345">
        <f>D46-D52</f>
        <v>5426.4298439018312</v>
      </c>
      <c r="E54" s="345">
        <f>E46-E52</f>
        <v>5756.8009212529732</v>
      </c>
      <c r="F54" s="345">
        <f>F46-F52</f>
        <v>5782.7557934843262</v>
      </c>
    </row>
    <row r="55" spans="1:11" x14ac:dyDescent="0.2">
      <c r="A55" s="55" t="s">
        <v>319</v>
      </c>
      <c r="D55" s="345">
        <f>D54</f>
        <v>5426.4298439018312</v>
      </c>
      <c r="E55" s="345">
        <f>E54-D54</f>
        <v>330.37107735114205</v>
      </c>
      <c r="F55" s="345">
        <f>F54-E54</f>
        <v>25.954872231352965</v>
      </c>
    </row>
    <row r="57" spans="1:11" x14ac:dyDescent="0.2">
      <c r="A57" s="342" t="s">
        <v>320</v>
      </c>
    </row>
    <row r="58" spans="1:11" x14ac:dyDescent="0.2">
      <c r="A58" s="281">
        <v>2006</v>
      </c>
      <c r="D58" s="345">
        <f t="shared" ref="D58:I58" si="3">$D55</f>
        <v>5426.4298439018312</v>
      </c>
      <c r="E58" s="345">
        <f t="shared" si="3"/>
        <v>5426.4298439018312</v>
      </c>
      <c r="F58" s="345">
        <f t="shared" si="3"/>
        <v>5426.4298439018312</v>
      </c>
      <c r="G58" s="345">
        <f t="shared" si="3"/>
        <v>5426.4298439018312</v>
      </c>
      <c r="H58" s="345">
        <f t="shared" si="3"/>
        <v>5426.4298439018312</v>
      </c>
      <c r="I58" s="345">
        <f t="shared" si="3"/>
        <v>5426.4298439018312</v>
      </c>
    </row>
    <row r="59" spans="1:11" x14ac:dyDescent="0.2">
      <c r="A59" s="281">
        <v>2007</v>
      </c>
      <c r="E59" s="345">
        <f t="shared" ref="E59:J59" si="4">$E55</f>
        <v>330.37107735114205</v>
      </c>
      <c r="F59" s="345">
        <f t="shared" si="4"/>
        <v>330.37107735114205</v>
      </c>
      <c r="G59" s="345">
        <f t="shared" si="4"/>
        <v>330.37107735114205</v>
      </c>
      <c r="H59" s="345">
        <f t="shared" si="4"/>
        <v>330.37107735114205</v>
      </c>
      <c r="I59" s="345">
        <f t="shared" si="4"/>
        <v>330.37107735114205</v>
      </c>
      <c r="J59" s="345">
        <f t="shared" si="4"/>
        <v>330.37107735114205</v>
      </c>
    </row>
    <row r="60" spans="1:11" x14ac:dyDescent="0.2">
      <c r="A60" s="281">
        <v>2008</v>
      </c>
      <c r="F60" s="345">
        <f t="shared" ref="F60:K60" si="5">$F55</f>
        <v>25.954872231352965</v>
      </c>
      <c r="G60" s="345">
        <f t="shared" si="5"/>
        <v>25.954872231352965</v>
      </c>
      <c r="H60" s="345">
        <f t="shared" si="5"/>
        <v>25.954872231352965</v>
      </c>
      <c r="I60" s="345">
        <f t="shared" si="5"/>
        <v>25.954872231352965</v>
      </c>
      <c r="J60" s="345">
        <f t="shared" si="5"/>
        <v>25.954872231352965</v>
      </c>
      <c r="K60" s="345">
        <f t="shared" si="5"/>
        <v>25.954872231352965</v>
      </c>
    </row>
    <row r="61" spans="1:11" ht="13.5" thickBot="1" x14ac:dyDescent="0.25">
      <c r="D61" s="430">
        <f>SUM(D58:D60)</f>
        <v>5426.4298439018312</v>
      </c>
      <c r="E61" s="430">
        <f t="shared" ref="E61:K61" si="6">SUM(E58:E60)</f>
        <v>5756.8009212529732</v>
      </c>
      <c r="F61" s="430">
        <f t="shared" si="6"/>
        <v>5782.7557934843262</v>
      </c>
      <c r="G61" s="430">
        <f t="shared" si="6"/>
        <v>5782.7557934843262</v>
      </c>
      <c r="H61" s="430">
        <f t="shared" si="6"/>
        <v>5782.7557934843262</v>
      </c>
      <c r="I61" s="430">
        <f t="shared" si="6"/>
        <v>5782.7557934843262</v>
      </c>
      <c r="J61" s="430">
        <f t="shared" si="6"/>
        <v>356.32594958249501</v>
      </c>
      <c r="K61" s="430">
        <f t="shared" si="6"/>
        <v>25.954872231352965</v>
      </c>
    </row>
    <row r="62" spans="1:11" ht="13.5" thickTop="1" x14ac:dyDescent="0.2"/>
    <row r="64" spans="1:11" x14ac:dyDescent="0.2">
      <c r="A64" s="441" t="s">
        <v>311</v>
      </c>
      <c r="D64" s="75">
        <v>2006</v>
      </c>
      <c r="E64" s="75">
        <v>2007</v>
      </c>
      <c r="F64" s="75">
        <v>2008</v>
      </c>
      <c r="G64" s="75">
        <v>2009</v>
      </c>
      <c r="H64" s="75">
        <v>2010</v>
      </c>
      <c r="I64" s="75">
        <v>2011</v>
      </c>
      <c r="J64" s="75">
        <v>2012</v>
      </c>
      <c r="K64" s="75">
        <v>2013</v>
      </c>
    </row>
    <row r="65" spans="1:18" x14ac:dyDescent="0.2">
      <c r="A65" s="407" t="s">
        <v>304</v>
      </c>
      <c r="D65" s="345">
        <f>D61/'Data 2006-08'!D156</f>
        <v>5125.3416810623858</v>
      </c>
      <c r="E65" s="345">
        <f>E61/'Data 2006-08'!E156</f>
        <v>5651.5378527054718</v>
      </c>
      <c r="F65" s="345">
        <f>F61/'Data 2006-08'!F156</f>
        <v>5782.7557934843262</v>
      </c>
      <c r="G65" s="345">
        <f>G61*'Data 2009-15 (Real $2008)'!D145</f>
        <v>6070.7997453665839</v>
      </c>
      <c r="H65" s="345">
        <f>H61*'Data 2009-15 (Real $2008)'!E145</f>
        <v>6147.3683908036392</v>
      </c>
      <c r="I65" s="345">
        <f>I61*'Data 2009-15 (Real $2008)'!F145</f>
        <v>6318.7363115437183</v>
      </c>
      <c r="J65" s="345">
        <f>J61*'Data 2009-15 (Real $2008)'!F145*(1+J4)</f>
        <v>403.05722165888778</v>
      </c>
      <c r="K65" s="345">
        <f>K61*'Data 2009-15 (Real $2008)'!F145*(1+J4)*(1+K4)</f>
        <v>29.947142404065424</v>
      </c>
    </row>
    <row r="66" spans="1:18" x14ac:dyDescent="0.2">
      <c r="D66" s="345"/>
      <c r="E66" s="345"/>
      <c r="F66" s="345"/>
      <c r="G66" s="345"/>
      <c r="H66" s="345"/>
      <c r="I66" s="345"/>
      <c r="J66" s="345"/>
      <c r="K66" s="345"/>
    </row>
    <row r="67" spans="1:18" ht="13.5" thickBot="1" x14ac:dyDescent="0.25">
      <c r="A67" s="522"/>
      <c r="B67" s="522"/>
      <c r="C67" s="522"/>
      <c r="D67" s="522"/>
      <c r="E67" s="522"/>
      <c r="F67" s="522"/>
      <c r="G67" s="522"/>
      <c r="H67" s="522"/>
      <c r="I67" s="522"/>
      <c r="J67" s="522"/>
      <c r="K67" s="522"/>
    </row>
    <row r="69" spans="1:18" x14ac:dyDescent="0.2">
      <c r="A69" s="57" t="s">
        <v>306</v>
      </c>
      <c r="B69" s="344"/>
      <c r="C69" s="344"/>
      <c r="D69" s="346">
        <v>2006</v>
      </c>
      <c r="E69" s="346">
        <v>2007</v>
      </c>
      <c r="F69" s="346">
        <v>2008</v>
      </c>
      <c r="G69" s="345"/>
      <c r="H69" s="345"/>
      <c r="I69" s="345"/>
      <c r="J69" s="345"/>
    </row>
    <row r="70" spans="1:18" x14ac:dyDescent="0.2">
      <c r="A70" s="407" t="s">
        <v>304</v>
      </c>
      <c r="B70" s="344"/>
      <c r="C70" s="344"/>
      <c r="D70" s="345"/>
      <c r="E70" s="345"/>
      <c r="F70" s="345"/>
      <c r="G70" s="345"/>
      <c r="H70" s="345"/>
      <c r="I70" s="345"/>
      <c r="J70" s="345"/>
    </row>
    <row r="71" spans="1:18" x14ac:dyDescent="0.2">
      <c r="A71" s="277" t="s">
        <v>300</v>
      </c>
      <c r="B71" s="354"/>
      <c r="C71" s="354"/>
      <c r="D71" s="273">
        <f>-'Data 2006-08'!D75/10^3</f>
        <v>-15791.099579999998</v>
      </c>
      <c r="E71" s="273">
        <f>-'Data 2006-08'!E75/10^3</f>
        <v>-20564.547279999999</v>
      </c>
      <c r="F71" s="273">
        <f>-'Data 2006-08'!F75/10^3</f>
        <v>-26973.62124</v>
      </c>
      <c r="G71" s="345"/>
      <c r="H71" s="345"/>
      <c r="I71" s="345"/>
      <c r="J71" s="345"/>
    </row>
    <row r="72" spans="1:18" s="354" customFormat="1" x14ac:dyDescent="0.2">
      <c r="A72" s="422" t="s">
        <v>302</v>
      </c>
      <c r="D72" s="273">
        <f>D84/'Data 2006-08'!D156</f>
        <v>9172.5029567182428</v>
      </c>
      <c r="E72" s="273">
        <f>E84/'Data 2006-08'!E156</f>
        <v>10637.649055447644</v>
      </c>
      <c r="F72" s="273">
        <f>F84/'Data 2006-08'!F156</f>
        <v>12320.171572983931</v>
      </c>
    </row>
    <row r="73" spans="1:18" s="354" customFormat="1" ht="13.5" thickBot="1" x14ac:dyDescent="0.25">
      <c r="A73" s="354" t="s">
        <v>305</v>
      </c>
      <c r="D73" s="417">
        <f>SUM(D71:D72)</f>
        <v>-6618.5966232817555</v>
      </c>
      <c r="E73" s="417">
        <f>SUM(E71:E72)</f>
        <v>-9926.8982245523548</v>
      </c>
      <c r="F73" s="417">
        <f>SUM(F71:F72)</f>
        <v>-14653.44966701607</v>
      </c>
    </row>
    <row r="74" spans="1:18" s="354" customFormat="1" ht="13.5" thickTop="1" x14ac:dyDescent="0.2">
      <c r="D74" s="347"/>
      <c r="E74" s="347"/>
      <c r="F74" s="347"/>
    </row>
    <row r="75" spans="1:18" s="277" customFormat="1" x14ac:dyDescent="0.2">
      <c r="A75" s="351"/>
      <c r="B75" s="351"/>
      <c r="C75" s="351"/>
      <c r="D75" s="350"/>
      <c r="E75" s="350"/>
      <c r="F75" s="350"/>
      <c r="G75" s="349"/>
      <c r="H75" s="349"/>
      <c r="I75" s="278"/>
    </row>
    <row r="76" spans="1:18" s="277" customFormat="1" x14ac:dyDescent="0.2">
      <c r="A76" s="55"/>
      <c r="B76" s="55"/>
      <c r="C76" s="55"/>
      <c r="D76" s="349"/>
      <c r="E76" s="349"/>
      <c r="F76" s="349"/>
      <c r="G76" s="349"/>
      <c r="H76" s="349"/>
      <c r="I76" s="278"/>
    </row>
    <row r="77" spans="1:18" s="277" customFormat="1" x14ac:dyDescent="0.2">
      <c r="A77" s="55"/>
      <c r="B77" s="55"/>
      <c r="C77" s="55"/>
      <c r="D77" s="349"/>
      <c r="E77" s="349"/>
      <c r="F77" s="349"/>
      <c r="G77" s="349"/>
      <c r="H77" s="349"/>
    </row>
    <row r="78" spans="1:18" x14ac:dyDescent="0.2">
      <c r="A78" s="353" t="s">
        <v>302</v>
      </c>
      <c r="B78" s="277"/>
      <c r="C78" s="277"/>
    </row>
    <row r="79" spans="1:18" x14ac:dyDescent="0.2">
      <c r="A79" s="407" t="s">
        <v>296</v>
      </c>
      <c r="B79" s="354"/>
      <c r="C79" s="354"/>
      <c r="D79" s="389">
        <v>2006</v>
      </c>
      <c r="E79" s="389">
        <v>2007</v>
      </c>
      <c r="F79" s="389">
        <v>2008</v>
      </c>
      <c r="G79" s="362"/>
      <c r="H79" s="362"/>
      <c r="I79" s="356"/>
      <c r="J79" s="356"/>
      <c r="L79" s="357"/>
      <c r="M79" s="357"/>
      <c r="N79" s="357"/>
      <c r="O79" s="357"/>
      <c r="P79" s="357"/>
      <c r="Q79" s="277"/>
      <c r="R79" s="277"/>
    </row>
    <row r="80" spans="1:18" x14ac:dyDescent="0.2">
      <c r="A80" s="358" t="s">
        <v>137</v>
      </c>
      <c r="B80" s="354"/>
      <c r="C80" s="354"/>
      <c r="D80" s="273">
        <f>D185*'Data 2006-08'!$C$141</f>
        <v>223.08734949235134</v>
      </c>
      <c r="E80" s="273">
        <f>E185*'Data 2006-08'!$C$141</f>
        <v>634.65473193099888</v>
      </c>
      <c r="F80" s="273">
        <f>F185*'Data 2006-08'!$C$141</f>
        <v>944.63422800777221</v>
      </c>
      <c r="G80" s="362"/>
      <c r="H80" s="362"/>
      <c r="I80" s="359"/>
      <c r="J80" s="359"/>
      <c r="L80" s="360"/>
      <c r="M80" s="360"/>
      <c r="N80" s="360"/>
      <c r="O80" s="360"/>
      <c r="P80" s="360"/>
      <c r="Q80" s="361"/>
      <c r="R80" s="361"/>
    </row>
    <row r="81" spans="1:18" x14ac:dyDescent="0.2">
      <c r="A81" s="358" t="s">
        <v>138</v>
      </c>
      <c r="B81" s="354"/>
      <c r="C81" s="354"/>
      <c r="D81" s="273">
        <f>D182</f>
        <v>340.24235163511605</v>
      </c>
      <c r="E81" s="273">
        <f>E182</f>
        <v>993.19184020514717</v>
      </c>
      <c r="F81" s="273">
        <f>F182</f>
        <v>1529.6361385363343</v>
      </c>
      <c r="G81" s="362"/>
      <c r="H81" s="362"/>
      <c r="I81" s="362"/>
      <c r="J81" s="362"/>
      <c r="L81" s="360"/>
      <c r="M81" s="360"/>
      <c r="N81" s="360"/>
      <c r="O81" s="360"/>
      <c r="P81" s="360"/>
      <c r="Q81" s="361"/>
      <c r="R81" s="361"/>
    </row>
    <row r="82" spans="1:18" x14ac:dyDescent="0.2">
      <c r="A82" s="358" t="s">
        <v>139</v>
      </c>
      <c r="B82" s="354"/>
      <c r="C82" s="354"/>
      <c r="D82" s="273">
        <f>'Data 2006-08'!D50*'Data 2006-08'!D$156/10^3</f>
        <v>7864.4701062199938</v>
      </c>
      <c r="E82" s="273">
        <f>'Data 2006-08'!E50*'Data 2006-08'!E$156/10^3</f>
        <v>7603.2094783828388</v>
      </c>
      <c r="F82" s="273">
        <f>'Data 2006-08'!F50*'Data 2006-08'!F$156/10^3</f>
        <v>7307.0158792734501</v>
      </c>
      <c r="G82" s="362"/>
      <c r="H82" s="362"/>
      <c r="I82" s="362"/>
      <c r="J82" s="362"/>
      <c r="L82" s="360"/>
      <c r="M82" s="360"/>
      <c r="N82" s="360"/>
      <c r="O82" s="360"/>
      <c r="P82" s="360"/>
      <c r="Q82" s="361"/>
      <c r="R82" s="361"/>
    </row>
    <row r="83" spans="1:18" x14ac:dyDescent="0.2">
      <c r="A83" s="363" t="s">
        <v>301</v>
      </c>
      <c r="B83" s="278"/>
      <c r="C83" s="354"/>
      <c r="D83" s="273">
        <f>D114</f>
        <v>1283.5417743315315</v>
      </c>
      <c r="E83" s="273">
        <f>E114</f>
        <v>1604.7251967128482</v>
      </c>
      <c r="F83" s="273">
        <f>F114</f>
        <v>2538.8853271663743</v>
      </c>
      <c r="G83" s="362"/>
      <c r="H83" s="362"/>
      <c r="I83" s="362"/>
      <c r="J83" s="362"/>
      <c r="L83" s="360"/>
      <c r="M83" s="360"/>
      <c r="N83" s="360"/>
      <c r="O83" s="360"/>
      <c r="P83" s="360"/>
      <c r="Q83" s="361"/>
      <c r="R83" s="361"/>
    </row>
    <row r="84" spans="1:18" ht="13.5" thickBot="1" x14ac:dyDescent="0.25">
      <c r="A84" s="355"/>
      <c r="B84" s="364"/>
      <c r="C84" s="354"/>
      <c r="D84" s="418">
        <f>SUM(D80:D83)</f>
        <v>9711.341581678993</v>
      </c>
      <c r="E84" s="418">
        <f>SUM(E80:E83)</f>
        <v>10835.781247231833</v>
      </c>
      <c r="F84" s="418">
        <f>SUM(F80:F83)</f>
        <v>12320.171572983931</v>
      </c>
      <c r="G84" s="362"/>
      <c r="H84" s="362"/>
      <c r="I84" s="365"/>
      <c r="J84" s="365"/>
      <c r="L84" s="360"/>
      <c r="M84" s="360"/>
      <c r="N84" s="360"/>
      <c r="O84" s="360"/>
      <c r="P84" s="360"/>
      <c r="Q84" s="361"/>
      <c r="R84" s="361"/>
    </row>
    <row r="85" spans="1:18" s="278" customFormat="1" ht="13.5" thickTop="1" x14ac:dyDescent="0.2">
      <c r="A85" s="366"/>
      <c r="B85" s="367"/>
      <c r="D85" s="368"/>
      <c r="E85" s="368"/>
      <c r="F85" s="368"/>
      <c r="G85" s="368"/>
      <c r="H85" s="368"/>
      <c r="I85" s="368"/>
      <c r="J85" s="368"/>
    </row>
    <row r="86" spans="1:18" s="278" customFormat="1" x14ac:dyDescent="0.2">
      <c r="A86" s="352"/>
      <c r="B86" s="352"/>
      <c r="C86" s="352"/>
      <c r="D86" s="369"/>
      <c r="E86" s="369"/>
      <c r="F86" s="369"/>
      <c r="I86" s="362"/>
      <c r="J86" s="362"/>
    </row>
    <row r="87" spans="1:18" s="277" customFormat="1" x14ac:dyDescent="0.2">
      <c r="C87" s="354"/>
      <c r="G87" s="278"/>
      <c r="H87" s="278"/>
    </row>
    <row r="88" spans="1:18" s="277" customFormat="1" x14ac:dyDescent="0.2">
      <c r="A88" s="276" t="s">
        <v>141</v>
      </c>
      <c r="C88" s="354"/>
      <c r="G88" s="278"/>
      <c r="H88" s="278"/>
    </row>
    <row r="89" spans="1:18" s="277" customFormat="1" x14ac:dyDescent="0.2">
      <c r="C89" s="354"/>
      <c r="D89" s="370">
        <v>2006</v>
      </c>
      <c r="E89" s="370">
        <v>2007</v>
      </c>
      <c r="F89" s="370">
        <v>2008</v>
      </c>
      <c r="I89" s="371"/>
      <c r="J89" s="371"/>
    </row>
    <row r="90" spans="1:18" s="277" customFormat="1" x14ac:dyDescent="0.2">
      <c r="A90" s="277" t="s">
        <v>84</v>
      </c>
      <c r="C90" s="354"/>
      <c r="D90" s="423">
        <f>('Data 2006-08'!$C$138+1)*('Data 2006-08'!D155+1)-1</f>
        <v>7.2141471801925761E-2</v>
      </c>
      <c r="E90" s="423">
        <f>('Data 2006-08'!$C$138+1)*('Data 2006-08'!E155+1)-1</f>
        <v>8.1636882510013331E-2</v>
      </c>
      <c r="F90" s="423">
        <f>('Data 2006-08'!$C$138+1)*('Data 2006-08'!F155+1)-1</f>
        <v>6.0032691072575695E-2</v>
      </c>
      <c r="I90" s="371"/>
      <c r="J90" s="371"/>
    </row>
    <row r="91" spans="1:18" s="277" customFormat="1" x14ac:dyDescent="0.2">
      <c r="A91" s="278" t="str">
        <f>"Average RAB "&amp;A79&amp;""</f>
        <v>Average RAB ($000 Real 2008)</v>
      </c>
      <c r="D91" s="273">
        <f>D185</f>
        <v>3781.1415168195144</v>
      </c>
      <c r="E91" s="273">
        <f>E185</f>
        <v>10756.85986323727</v>
      </c>
      <c r="F91" s="273">
        <f>F185</f>
        <v>16010.749627250378</v>
      </c>
      <c r="I91" s="373"/>
      <c r="J91" s="373"/>
    </row>
    <row r="92" spans="1:18" s="277" customFormat="1" x14ac:dyDescent="0.2">
      <c r="A92" s="278" t="str">
        <f>"Debt ("&amp;D96*100&amp;"% of RAB)"</f>
        <v>Debt (60% of RAB)</v>
      </c>
      <c r="D92" s="273">
        <f>$D$96*D91</f>
        <v>2268.6849100917084</v>
      </c>
      <c r="E92" s="273">
        <f>$D$96*E91</f>
        <v>6454.1159179423621</v>
      </c>
      <c r="F92" s="273">
        <f>$D$96*F91</f>
        <v>9606.4497763502259</v>
      </c>
      <c r="I92" s="373"/>
      <c r="J92" s="373"/>
    </row>
    <row r="93" spans="1:18" s="277" customFormat="1" x14ac:dyDescent="0.2">
      <c r="A93" s="277" t="s">
        <v>148</v>
      </c>
      <c r="D93" s="375">
        <f>1/'Data 2006-08'!D156</f>
        <v>0.94451450189155128</v>
      </c>
      <c r="E93" s="375">
        <f>1/'Data 2006-08'!E156</f>
        <v>0.98171500630517017</v>
      </c>
      <c r="F93" s="375">
        <f>1/'Data 2006-08'!F156</f>
        <v>1</v>
      </c>
      <c r="I93" s="376"/>
      <c r="J93" s="376"/>
    </row>
    <row r="94" spans="1:18" s="277" customFormat="1" x14ac:dyDescent="0.2">
      <c r="D94" s="318"/>
      <c r="I94" s="278"/>
      <c r="J94" s="278"/>
    </row>
    <row r="95" spans="1:18" s="277" customFormat="1" x14ac:dyDescent="0.2">
      <c r="A95" s="278" t="s">
        <v>143</v>
      </c>
      <c r="D95" s="414">
        <f>'Data 2006-08'!C169</f>
        <v>0.3</v>
      </c>
      <c r="I95" s="278"/>
      <c r="J95" s="278"/>
    </row>
    <row r="96" spans="1:18" s="277" customFormat="1" x14ac:dyDescent="0.2">
      <c r="A96" s="278" t="s">
        <v>142</v>
      </c>
      <c r="D96" s="415">
        <f>'Data 2006-08'!C171</f>
        <v>0.6</v>
      </c>
      <c r="I96" s="278"/>
      <c r="J96" s="278"/>
    </row>
    <row r="97" spans="1:10" s="277" customFormat="1" x14ac:dyDescent="0.2">
      <c r="A97" s="277" t="s">
        <v>17</v>
      </c>
      <c r="D97" s="413">
        <f>'Data 2006-08'!C170</f>
        <v>0.5</v>
      </c>
      <c r="I97" s="278"/>
      <c r="J97" s="278"/>
    </row>
    <row r="98" spans="1:10" s="277" customFormat="1" x14ac:dyDescent="0.2">
      <c r="I98" s="278"/>
      <c r="J98" s="278"/>
    </row>
    <row r="99" spans="1:10" s="277" customFormat="1" x14ac:dyDescent="0.2">
      <c r="A99" s="276" t="s">
        <v>354</v>
      </c>
      <c r="D99" s="370">
        <v>2006</v>
      </c>
      <c r="E99" s="370">
        <v>2007</v>
      </c>
      <c r="F99" s="370">
        <v>2008</v>
      </c>
      <c r="G99" s="278"/>
      <c r="H99" s="278"/>
      <c r="I99" s="278"/>
      <c r="J99" s="371"/>
    </row>
    <row r="100" spans="1:10" s="277" customFormat="1" x14ac:dyDescent="0.2">
      <c r="A100" s="277" t="s">
        <v>300</v>
      </c>
      <c r="D100" s="273">
        <f>'Data 2006-08'!D75/10^3</f>
        <v>15791.099579999998</v>
      </c>
      <c r="E100" s="273">
        <f>'Data 2006-08'!E75/10^3</f>
        <v>20564.547279999999</v>
      </c>
      <c r="F100" s="273">
        <f>'Data 2006-08'!F75/10^3</f>
        <v>26973.62124</v>
      </c>
      <c r="G100" s="278"/>
      <c r="H100" s="273"/>
      <c r="I100" s="273"/>
      <c r="J100" s="273"/>
    </row>
    <row r="101" spans="1:10" s="277" customFormat="1" x14ac:dyDescent="0.2">
      <c r="A101" s="277" t="s">
        <v>4</v>
      </c>
      <c r="D101" s="273">
        <f>'Data 2006-08'!D28/10^3</f>
        <v>74.998116624314889</v>
      </c>
      <c r="E101" s="273">
        <f>'Data 2006-08'!E28/10^3</f>
        <v>0</v>
      </c>
      <c r="F101" s="273">
        <f>'Data 2006-08'!F28/10^3</f>
        <v>0</v>
      </c>
      <c r="G101" s="278"/>
      <c r="H101" s="273"/>
      <c r="I101" s="273"/>
      <c r="J101" s="273"/>
    </row>
    <row r="102" spans="1:10" s="277" customFormat="1" x14ac:dyDescent="0.2">
      <c r="A102" s="277" t="s">
        <v>127</v>
      </c>
      <c r="D102" s="273">
        <f>'Data 2006-08'!D50/10^3</f>
        <v>7428.1060650173722</v>
      </c>
      <c r="E102" s="273">
        <f>'Data 2006-08'!E50/10^3</f>
        <v>7464.1848410101384</v>
      </c>
      <c r="F102" s="273">
        <f>'Data 2006-08'!F50/10^3</f>
        <v>7307.0158792734501</v>
      </c>
      <c r="G102" s="278"/>
      <c r="H102" s="273"/>
      <c r="I102" s="273"/>
      <c r="J102" s="273"/>
    </row>
    <row r="103" spans="1:10" s="277" customFormat="1" x14ac:dyDescent="0.2">
      <c r="A103" s="277" t="s">
        <v>128</v>
      </c>
      <c r="D103" s="273">
        <f>D278</f>
        <v>1413.5714896090992</v>
      </c>
      <c r="E103" s="273">
        <f>E278</f>
        <v>3655.933550332039</v>
      </c>
      <c r="F103" s="273">
        <f>F278</f>
        <v>4702.8874750559153</v>
      </c>
      <c r="G103" s="278"/>
      <c r="H103" s="273"/>
      <c r="I103" s="273"/>
      <c r="J103" s="273"/>
    </row>
    <row r="104" spans="1:10" s="277" customFormat="1" x14ac:dyDescent="0.2">
      <c r="A104" s="277" t="s">
        <v>129</v>
      </c>
      <c r="D104" s="273">
        <f>D92*D93*D90</f>
        <v>154.58516403929104</v>
      </c>
      <c r="E104" s="273">
        <f>E92*E93*E90</f>
        <v>517.25965120671367</v>
      </c>
      <c r="F104" s="273">
        <f>F92*F93*F90</f>
        <v>576.70103172784695</v>
      </c>
      <c r="G104" s="278"/>
      <c r="H104" s="273"/>
      <c r="I104" s="273"/>
      <c r="J104" s="273"/>
    </row>
    <row r="105" spans="1:10" s="277" customFormat="1" x14ac:dyDescent="0.2">
      <c r="A105" s="277" t="s">
        <v>130</v>
      </c>
      <c r="D105" s="273">
        <v>0</v>
      </c>
      <c r="E105" s="273">
        <f>IF(D106&lt;0,-D106,0)</f>
        <v>0</v>
      </c>
      <c r="F105" s="273">
        <f>IF(E106&lt;0,-E106,0)</f>
        <v>0</v>
      </c>
      <c r="G105" s="278"/>
      <c r="H105" s="273"/>
      <c r="I105" s="273"/>
      <c r="J105" s="273"/>
    </row>
    <row r="106" spans="1:10" s="277" customFormat="1" x14ac:dyDescent="0.2">
      <c r="A106" s="277" t="s">
        <v>152</v>
      </c>
      <c r="D106" s="273">
        <f>SUM(D100:D101)-SUM(D102:D105)</f>
        <v>6869.8349779585515</v>
      </c>
      <c r="E106" s="273">
        <f>SUM(E100:E101)-SUM(E102:E105)</f>
        <v>8927.1692374511076</v>
      </c>
      <c r="F106" s="273">
        <f>SUM(F100:F101)-SUM(F102:F105)</f>
        <v>14387.016853942787</v>
      </c>
      <c r="G106" s="278"/>
      <c r="H106" s="273"/>
      <c r="I106" s="273"/>
      <c r="J106" s="273"/>
    </row>
    <row r="107" spans="1:10" s="277" customFormat="1" x14ac:dyDescent="0.2">
      <c r="A107" s="277" t="s">
        <v>153</v>
      </c>
      <c r="D107" s="273">
        <f>IF(D106&lt;0,0,D106*$D$95/(1-$D$95*(1-$D$97)))</f>
        <v>2424.6476392794889</v>
      </c>
      <c r="E107" s="273">
        <f>IF(E106&lt;0,0,E106*$D$95/(1-$D$95*(1-$D$97)))</f>
        <v>3150.7656132180382</v>
      </c>
      <c r="F107" s="273">
        <f>IF(F106&lt;0,0,F106*$D$95/(1-$D$95*(1-$D$97)))</f>
        <v>5077.7706543327486</v>
      </c>
      <c r="G107" s="278"/>
      <c r="H107" s="273"/>
      <c r="I107" s="273"/>
      <c r="J107" s="273"/>
    </row>
    <row r="108" spans="1:10" s="277" customFormat="1" x14ac:dyDescent="0.2">
      <c r="A108" s="277" t="s">
        <v>133</v>
      </c>
      <c r="D108" s="273">
        <f>D107*$D$97</f>
        <v>1212.3238196397444</v>
      </c>
      <c r="E108" s="273">
        <f>E107*$D$97</f>
        <v>1575.3828066090191</v>
      </c>
      <c r="F108" s="273">
        <f>F107*$D$97</f>
        <v>2538.8853271663743</v>
      </c>
      <c r="G108" s="278"/>
      <c r="H108" s="273"/>
      <c r="I108" s="273"/>
      <c r="J108" s="273"/>
    </row>
    <row r="109" spans="1:10" s="277" customFormat="1" x14ac:dyDescent="0.2">
      <c r="A109" s="277" t="s">
        <v>355</v>
      </c>
      <c r="D109" s="416">
        <f>D107-D108</f>
        <v>1212.3238196397444</v>
      </c>
      <c r="E109" s="416">
        <f>E107-E108</f>
        <v>1575.3828066090191</v>
      </c>
      <c r="F109" s="416">
        <f>F107-F108</f>
        <v>2538.8853271663743</v>
      </c>
      <c r="G109" s="278"/>
      <c r="H109" s="278"/>
      <c r="I109" s="278"/>
      <c r="J109" s="377"/>
    </row>
    <row r="110" spans="1:10" s="277" customFormat="1" x14ac:dyDescent="0.2">
      <c r="G110" s="278"/>
      <c r="H110" s="278"/>
      <c r="I110" s="278"/>
      <c r="J110" s="278"/>
    </row>
    <row r="111" spans="1:10" s="277" customFormat="1" x14ac:dyDescent="0.2">
      <c r="A111" s="344" t="str">
        <f>$A$79</f>
        <v>($000 Real 2008)</v>
      </c>
      <c r="D111" s="370">
        <v>2006</v>
      </c>
      <c r="E111" s="370">
        <v>2007</v>
      </c>
      <c r="F111" s="370">
        <v>2008</v>
      </c>
      <c r="G111" s="278"/>
      <c r="H111" s="278"/>
      <c r="I111" s="278"/>
      <c r="J111" s="371"/>
    </row>
    <row r="112" spans="1:10" s="277" customFormat="1" x14ac:dyDescent="0.2">
      <c r="A112" s="277" t="s">
        <v>153</v>
      </c>
      <c r="D112" s="273">
        <f t="shared" ref="D112:F113" si="7">D107/D$93</f>
        <v>2567.0835486630631</v>
      </c>
      <c r="E112" s="273">
        <f t="shared" si="7"/>
        <v>3209.4503934256963</v>
      </c>
      <c r="F112" s="273">
        <f t="shared" si="7"/>
        <v>5077.7706543327486</v>
      </c>
      <c r="G112" s="278"/>
      <c r="H112" s="278"/>
      <c r="I112" s="278"/>
      <c r="J112" s="374"/>
    </row>
    <row r="113" spans="1:10" s="277" customFormat="1" x14ac:dyDescent="0.2">
      <c r="A113" s="277" t="s">
        <v>133</v>
      </c>
      <c r="D113" s="273">
        <f t="shared" si="7"/>
        <v>1283.5417743315315</v>
      </c>
      <c r="E113" s="273">
        <f t="shared" si="7"/>
        <v>1604.7251967128482</v>
      </c>
      <c r="F113" s="273">
        <f t="shared" si="7"/>
        <v>2538.8853271663743</v>
      </c>
      <c r="G113" s="278"/>
      <c r="H113" s="278"/>
      <c r="I113" s="278"/>
      <c r="J113" s="374"/>
    </row>
    <row r="114" spans="1:10" s="277" customFormat="1" x14ac:dyDescent="0.2">
      <c r="A114" s="277" t="str">
        <f>"Tax liability  "&amp;A79&amp;""</f>
        <v>Tax liability  ($000 Real 2008)</v>
      </c>
      <c r="D114" s="416">
        <f>D112-D113</f>
        <v>1283.5417743315315</v>
      </c>
      <c r="E114" s="416">
        <f>E112-E113</f>
        <v>1604.7251967128482</v>
      </c>
      <c r="F114" s="416">
        <f>F112-F113</f>
        <v>2538.8853271663743</v>
      </c>
      <c r="G114" s="278"/>
      <c r="H114" s="278"/>
      <c r="I114" s="278"/>
      <c r="J114" s="377"/>
    </row>
    <row r="115" spans="1:10" s="277" customFormat="1" x14ac:dyDescent="0.2">
      <c r="D115" s="318"/>
      <c r="E115" s="318"/>
      <c r="F115" s="318"/>
      <c r="G115" s="278"/>
      <c r="H115" s="278"/>
      <c r="I115" s="278"/>
      <c r="J115" s="376"/>
    </row>
    <row r="116" spans="1:10" x14ac:dyDescent="0.2">
      <c r="A116" s="351"/>
      <c r="B116" s="351"/>
      <c r="C116" s="351"/>
      <c r="D116" s="351"/>
      <c r="E116" s="351"/>
      <c r="F116" s="351"/>
      <c r="G116" s="278"/>
      <c r="H116" s="278"/>
      <c r="I116" s="278"/>
      <c r="J116" s="278"/>
    </row>
    <row r="117" spans="1:10" x14ac:dyDescent="0.2">
      <c r="G117" s="354"/>
      <c r="H117" s="354"/>
      <c r="I117" s="278"/>
      <c r="J117" s="278"/>
    </row>
    <row r="118" spans="1:10" x14ac:dyDescent="0.2">
      <c r="A118" s="266"/>
      <c r="B118" s="276"/>
      <c r="C118" s="276"/>
      <c r="D118" s="345"/>
      <c r="E118" s="345"/>
      <c r="F118" s="345"/>
      <c r="G118" s="385"/>
      <c r="H118" s="385"/>
      <c r="I118" s="273"/>
      <c r="J118" s="273"/>
    </row>
    <row r="119" spans="1:10" x14ac:dyDescent="0.2">
      <c r="A119" s="262" t="s">
        <v>164</v>
      </c>
      <c r="G119" s="354"/>
      <c r="H119" s="354"/>
      <c r="I119" s="278"/>
      <c r="J119" s="278"/>
    </row>
    <row r="120" spans="1:10" x14ac:dyDescent="0.2">
      <c r="A120" s="344" t="str">
        <f>$A$79</f>
        <v>($000 Real 2008)</v>
      </c>
      <c r="B120" s="265"/>
      <c r="D120" s="346">
        <v>2006</v>
      </c>
      <c r="E120" s="346">
        <v>2007</v>
      </c>
      <c r="F120" s="346">
        <v>2008</v>
      </c>
      <c r="G120" s="265"/>
      <c r="H120" s="265"/>
      <c r="I120" s="265"/>
      <c r="J120" s="265"/>
    </row>
    <row r="121" spans="1:10" x14ac:dyDescent="0.2">
      <c r="A121" s="354"/>
      <c r="B121" s="290"/>
      <c r="D121" s="344"/>
      <c r="E121" s="344"/>
      <c r="F121" s="344"/>
      <c r="G121" s="265"/>
      <c r="H121" s="265"/>
      <c r="I121" s="278"/>
      <c r="J121" s="278"/>
    </row>
    <row r="122" spans="1:10" x14ac:dyDescent="0.2">
      <c r="A122" s="82" t="s">
        <v>268</v>
      </c>
      <c r="B122" s="382"/>
      <c r="D122" s="273">
        <f>'Data 2006-08'!D10*'Data 2006-08'!D$156/10^3</f>
        <v>3293.0350577154709</v>
      </c>
      <c r="E122" s="273">
        <f>'Data 2006-08'!E10*'Data 2006-08'!E$156/10^3</f>
        <v>3384.6082821099808</v>
      </c>
      <c r="F122" s="273">
        <f>'Data 2006-08'!F10*'Data 2006-08'!F$156/10^3</f>
        <v>3520.556338321891</v>
      </c>
      <c r="G122" s="273"/>
      <c r="H122" s="273"/>
      <c r="I122" s="288"/>
      <c r="J122" s="288"/>
    </row>
    <row r="123" spans="1:10" x14ac:dyDescent="0.2">
      <c r="A123" s="82" t="s">
        <v>267</v>
      </c>
      <c r="B123" s="382"/>
      <c r="D123" s="273">
        <f>'Data 2006-08'!D11*'Data 2006-08'!D$156/10^3</f>
        <v>4688.894208043429</v>
      </c>
      <c r="E123" s="273">
        <f>'Data 2006-08'!E11*'Data 2006-08'!E$156/10^3</f>
        <v>3997.737217291648</v>
      </c>
      <c r="F123" s="273">
        <f>'Data 2006-08'!F11*'Data 2006-08'!F$156/10^3</f>
        <v>2127.7056690441786</v>
      </c>
      <c r="G123" s="273"/>
      <c r="H123" s="273"/>
      <c r="I123" s="288"/>
      <c r="J123" s="288"/>
    </row>
    <row r="124" spans="1:10" x14ac:dyDescent="0.2">
      <c r="A124" s="354" t="s">
        <v>4</v>
      </c>
      <c r="B124" s="383"/>
      <c r="D124" s="273">
        <f>'Data 2006-08'!D28*'Data 2006-08'!D$156/10^3</f>
        <v>79.403880484755263</v>
      </c>
      <c r="E124" s="273">
        <f>'Data 2006-08'!E28*'Data 2006-08'!E$156/10^3</f>
        <v>0</v>
      </c>
      <c r="F124" s="273">
        <f>'Data 2006-08'!F28*'Data 2006-08'!F$156/10^3</f>
        <v>0</v>
      </c>
      <c r="G124" s="273"/>
      <c r="H124" s="273"/>
      <c r="I124" s="288"/>
      <c r="J124" s="288"/>
    </row>
    <row r="125" spans="1:10" x14ac:dyDescent="0.2">
      <c r="A125" s="354" t="s">
        <v>297</v>
      </c>
      <c r="B125" s="384"/>
      <c r="D125" s="379">
        <f>D122+D123-D124</f>
        <v>7902.5253852741444</v>
      </c>
      <c r="E125" s="379">
        <f>E122+E123-E124</f>
        <v>7382.3454994016283</v>
      </c>
      <c r="F125" s="379">
        <f>F122+F123-F124</f>
        <v>5648.2620073660692</v>
      </c>
      <c r="G125" s="273"/>
      <c r="H125" s="273"/>
      <c r="I125" s="273"/>
      <c r="J125" s="273"/>
    </row>
    <row r="126" spans="1:10" x14ac:dyDescent="0.2">
      <c r="A126" s="354"/>
      <c r="B126" s="383"/>
      <c r="D126" s="273"/>
      <c r="E126" s="273"/>
      <c r="F126" s="273"/>
      <c r="G126" s="273"/>
      <c r="H126" s="273"/>
      <c r="I126" s="273"/>
      <c r="J126" s="273"/>
    </row>
    <row r="127" spans="1:10" x14ac:dyDescent="0.2">
      <c r="A127" s="82" t="s">
        <v>43</v>
      </c>
      <c r="B127" s="382"/>
      <c r="D127" s="273">
        <f>'Data 2006-08'!D12*'Data 2006-08'!D$156/10^3</f>
        <v>0</v>
      </c>
      <c r="E127" s="273">
        <f>'Data 2006-08'!E12*'Data 2006-08'!E$156/10^3</f>
        <v>0</v>
      </c>
      <c r="F127" s="273">
        <f>'Data 2006-08'!F12*'Data 2006-08'!F$156/10^3</f>
        <v>0</v>
      </c>
      <c r="G127" s="273"/>
      <c r="H127" s="273"/>
      <c r="I127" s="273"/>
      <c r="J127" s="273"/>
    </row>
    <row r="128" spans="1:10" x14ac:dyDescent="0.2">
      <c r="A128" s="82" t="s">
        <v>44</v>
      </c>
      <c r="B128" s="382"/>
      <c r="D128" s="273">
        <f>'Data 2006-08'!D13*'Data 2006-08'!D$156/10^3</f>
        <v>0</v>
      </c>
      <c r="E128" s="273">
        <f>'Data 2006-08'!E13*'Data 2006-08'!E$156/10^3</f>
        <v>0</v>
      </c>
      <c r="F128" s="273">
        <f>'Data 2006-08'!F13*'Data 2006-08'!F$156/10^3</f>
        <v>0</v>
      </c>
      <c r="G128" s="273"/>
      <c r="H128" s="273"/>
      <c r="I128" s="288"/>
      <c r="J128" s="288"/>
    </row>
    <row r="129" spans="1:10" x14ac:dyDescent="0.2">
      <c r="A129" s="354"/>
      <c r="B129" s="278"/>
      <c r="D129" s="385"/>
      <c r="E129" s="385"/>
      <c r="F129" s="385"/>
      <c r="G129" s="273"/>
      <c r="H129" s="273"/>
      <c r="I129" s="273"/>
      <c r="J129" s="273"/>
    </row>
    <row r="130" spans="1:10" x14ac:dyDescent="0.2">
      <c r="A130" s="354" t="s">
        <v>169</v>
      </c>
      <c r="B130" s="380"/>
      <c r="D130" s="379">
        <f>SUM(D125:D128)</f>
        <v>7902.5253852741444</v>
      </c>
      <c r="E130" s="379">
        <f>SUM(E125:E128)</f>
        <v>7382.3454994016283</v>
      </c>
      <c r="F130" s="379">
        <f>SUM(F125:F128)</f>
        <v>5648.2620073660692</v>
      </c>
      <c r="G130" s="273"/>
      <c r="H130" s="273"/>
      <c r="I130" s="273"/>
      <c r="J130" s="273"/>
    </row>
    <row r="131" spans="1:10" x14ac:dyDescent="0.2">
      <c r="B131" s="290"/>
      <c r="D131" s="378"/>
      <c r="E131" s="378"/>
      <c r="F131" s="378"/>
      <c r="G131" s="273"/>
      <c r="H131" s="273"/>
      <c r="I131" s="278"/>
      <c r="J131" s="278"/>
    </row>
    <row r="132" spans="1:10" x14ac:dyDescent="0.2">
      <c r="A132" s="381"/>
      <c r="B132" s="351"/>
      <c r="C132" s="351"/>
      <c r="D132" s="351"/>
      <c r="E132" s="351"/>
      <c r="F132" s="351"/>
      <c r="G132" s="354"/>
      <c r="H132" s="354"/>
      <c r="I132" s="278"/>
      <c r="J132" s="278"/>
    </row>
    <row r="133" spans="1:10" x14ac:dyDescent="0.2">
      <c r="A133" s="266"/>
      <c r="G133" s="354"/>
      <c r="H133" s="354"/>
      <c r="I133" s="278"/>
      <c r="J133" s="278"/>
    </row>
    <row r="134" spans="1:10" x14ac:dyDescent="0.2">
      <c r="A134" s="266"/>
      <c r="G134" s="354"/>
      <c r="H134" s="354"/>
      <c r="I134" s="278"/>
      <c r="J134" s="278"/>
    </row>
    <row r="135" spans="1:10" x14ac:dyDescent="0.2">
      <c r="A135" s="386" t="s">
        <v>170</v>
      </c>
      <c r="B135" s="277"/>
      <c r="C135" s="277"/>
      <c r="D135" s="277"/>
      <c r="G135" s="354"/>
      <c r="H135" s="354"/>
      <c r="I135" s="278"/>
      <c r="J135" s="278"/>
    </row>
    <row r="136" spans="1:10" x14ac:dyDescent="0.2">
      <c r="A136" s="344" t="str">
        <f>$A$79</f>
        <v>($000 Real 2008)</v>
      </c>
      <c r="B136" s="344"/>
      <c r="C136" s="344"/>
      <c r="D136" s="346">
        <v>2006</v>
      </c>
      <c r="E136" s="346">
        <v>2007</v>
      </c>
      <c r="F136" s="346">
        <v>2008</v>
      </c>
      <c r="G136" s="344"/>
      <c r="H136" s="344"/>
      <c r="I136" s="265"/>
      <c r="J136" s="265"/>
    </row>
    <row r="137" spans="1:10" s="354" customFormat="1" x14ac:dyDescent="0.2">
      <c r="I137" s="278"/>
      <c r="J137" s="278"/>
    </row>
    <row r="138" spans="1:10" x14ac:dyDescent="0.2">
      <c r="A138" s="344" t="s">
        <v>268</v>
      </c>
      <c r="B138" s="354"/>
      <c r="C138" s="354"/>
      <c r="D138" s="354"/>
      <c r="E138" s="354"/>
      <c r="F138" s="354"/>
      <c r="G138" s="354"/>
      <c r="H138" s="354"/>
      <c r="I138" s="278"/>
      <c r="J138" s="278"/>
    </row>
    <row r="139" spans="1:10" x14ac:dyDescent="0.2">
      <c r="A139" s="354" t="s">
        <v>172</v>
      </c>
      <c r="B139" s="278"/>
      <c r="C139" s="278"/>
      <c r="D139" s="288">
        <v>0</v>
      </c>
      <c r="E139" s="385">
        <f>D143</f>
        <v>3183.2672224582884</v>
      </c>
      <c r="F139" s="385">
        <f>E143</f>
        <v>6235.5195579835718</v>
      </c>
      <c r="G139" s="385"/>
      <c r="H139" s="385"/>
      <c r="I139" s="273"/>
      <c r="J139" s="273"/>
    </row>
    <row r="140" spans="1:10" x14ac:dyDescent="0.2">
      <c r="A140" s="354" t="s">
        <v>173</v>
      </c>
      <c r="B140" s="278"/>
      <c r="C140" s="278"/>
      <c r="D140" s="385">
        <f>D122</f>
        <v>3293.0350577154709</v>
      </c>
      <c r="E140" s="385">
        <f>E122</f>
        <v>3384.6082821099808</v>
      </c>
      <c r="F140" s="385">
        <f>F122</f>
        <v>3520.556338321891</v>
      </c>
      <c r="G140" s="385"/>
      <c r="H140" s="385"/>
      <c r="I140" s="273"/>
      <c r="J140" s="273"/>
    </row>
    <row r="141" spans="1:10" x14ac:dyDescent="0.2">
      <c r="A141" s="55" t="s">
        <v>5</v>
      </c>
      <c r="B141" s="278"/>
      <c r="C141" s="278"/>
      <c r="D141" s="752">
        <v>0</v>
      </c>
      <c r="E141" s="752">
        <v>0</v>
      </c>
      <c r="F141" s="752">
        <v>0</v>
      </c>
      <c r="G141" s="273"/>
      <c r="H141" s="273"/>
      <c r="I141" s="273"/>
      <c r="J141" s="273"/>
    </row>
    <row r="142" spans="1:10" x14ac:dyDescent="0.2">
      <c r="A142" s="55" t="s">
        <v>138</v>
      </c>
      <c r="B142" s="278"/>
      <c r="C142" s="278"/>
      <c r="D142" s="273">
        <f>D211</f>
        <v>109.76783525718237</v>
      </c>
      <c r="E142" s="273">
        <f>E211</f>
        <v>332.35594658469745</v>
      </c>
      <c r="F142" s="273">
        <f>F211</f>
        <v>562.52810059909314</v>
      </c>
      <c r="G142" s="273"/>
      <c r="H142" s="273"/>
      <c r="I142" s="273"/>
      <c r="J142" s="273"/>
    </row>
    <row r="143" spans="1:10" x14ac:dyDescent="0.2">
      <c r="A143" s="354" t="s">
        <v>174</v>
      </c>
      <c r="B143" s="278"/>
      <c r="C143" s="278"/>
      <c r="D143" s="387">
        <f>D139+D140-D141-D142</f>
        <v>3183.2672224582884</v>
      </c>
      <c r="E143" s="387">
        <f>E139+E140-E141-E142</f>
        <v>6235.5195579835718</v>
      </c>
      <c r="F143" s="387">
        <f>F139+F140-F141-F142</f>
        <v>9193.5477957063704</v>
      </c>
      <c r="G143" s="273"/>
      <c r="H143" s="273"/>
      <c r="I143" s="273"/>
      <c r="J143" s="273"/>
    </row>
    <row r="144" spans="1:10" x14ac:dyDescent="0.2">
      <c r="A144" s="354"/>
      <c r="B144" s="278"/>
      <c r="C144" s="278"/>
      <c r="D144" s="385"/>
      <c r="E144" s="385"/>
      <c r="F144" s="385"/>
      <c r="G144" s="273"/>
      <c r="H144" s="273"/>
      <c r="I144" s="273"/>
      <c r="J144" s="273"/>
    </row>
    <row r="145" spans="1:10" x14ac:dyDescent="0.2">
      <c r="A145" s="354" t="s">
        <v>175</v>
      </c>
      <c r="B145" s="278"/>
      <c r="C145" s="278"/>
      <c r="D145" s="385">
        <f>(D143+D139)/2</f>
        <v>1591.6336112291442</v>
      </c>
      <c r="E145" s="385">
        <f>(E143+E139)/2</f>
        <v>4709.3933902209301</v>
      </c>
      <c r="F145" s="385">
        <f>(F143+F139)/2</f>
        <v>7714.5336768449706</v>
      </c>
      <c r="G145" s="273"/>
      <c r="H145" s="273"/>
      <c r="I145" s="273"/>
      <c r="J145" s="273"/>
    </row>
    <row r="146" spans="1:10" x14ac:dyDescent="0.2">
      <c r="A146" s="354"/>
      <c r="B146" s="354"/>
      <c r="C146" s="354"/>
      <c r="D146" s="354"/>
      <c r="E146" s="354"/>
      <c r="F146" s="354"/>
      <c r="G146" s="278"/>
      <c r="H146" s="278"/>
      <c r="I146" s="278"/>
      <c r="J146" s="278"/>
    </row>
    <row r="147" spans="1:10" x14ac:dyDescent="0.2">
      <c r="A147" s="354"/>
      <c r="B147" s="354"/>
      <c r="C147" s="354"/>
      <c r="D147" s="354"/>
      <c r="E147" s="354"/>
      <c r="F147" s="354"/>
      <c r="G147" s="278"/>
      <c r="H147" s="278"/>
      <c r="I147" s="278"/>
      <c r="J147" s="278"/>
    </row>
    <row r="148" spans="1:10" x14ac:dyDescent="0.2">
      <c r="A148" s="344" t="s">
        <v>267</v>
      </c>
      <c r="B148" s="354"/>
      <c r="C148" s="354"/>
      <c r="D148" s="354"/>
      <c r="E148" s="354"/>
      <c r="F148" s="354"/>
      <c r="G148" s="278"/>
      <c r="H148" s="278"/>
      <c r="I148" s="278"/>
      <c r="J148" s="278"/>
    </row>
    <row r="149" spans="1:10" x14ac:dyDescent="0.2">
      <c r="A149" s="354" t="s">
        <v>172</v>
      </c>
      <c r="B149" s="278"/>
      <c r="C149" s="278"/>
      <c r="D149" s="288">
        <v>0</v>
      </c>
      <c r="E149" s="385">
        <f>D153</f>
        <v>4379.0158111807405</v>
      </c>
      <c r="F149" s="385">
        <f>E153</f>
        <v>7715.9171348519394</v>
      </c>
      <c r="G149" s="273"/>
      <c r="H149" s="273"/>
      <c r="I149" s="273"/>
      <c r="J149" s="273"/>
    </row>
    <row r="150" spans="1:10" x14ac:dyDescent="0.2">
      <c r="A150" s="354" t="s">
        <v>173</v>
      </c>
      <c r="B150" s="278"/>
      <c r="C150" s="278"/>
      <c r="D150" s="385">
        <f>D123-D124</f>
        <v>4609.4903275586739</v>
      </c>
      <c r="E150" s="385">
        <f>E123-E124</f>
        <v>3997.737217291648</v>
      </c>
      <c r="F150" s="385">
        <f>F123-F124</f>
        <v>2127.7056690441786</v>
      </c>
      <c r="G150" s="273"/>
      <c r="H150" s="273"/>
      <c r="I150" s="273"/>
      <c r="J150" s="273"/>
    </row>
    <row r="151" spans="1:10" x14ac:dyDescent="0.2">
      <c r="A151" s="55" t="s">
        <v>5</v>
      </c>
      <c r="B151" s="278"/>
      <c r="C151" s="278"/>
      <c r="D151" s="273">
        <f>'Data 2006-08'!D29*'Data 2006-08'!D$156/10^3</f>
        <v>0</v>
      </c>
      <c r="E151" s="273">
        <f>'Data 2006-08'!E29*'Data 2006-08'!E$156/10^3</f>
        <v>0</v>
      </c>
      <c r="F151" s="273">
        <f>'Data 2006-08'!F29*'Data 2006-08'!F$156/10^3</f>
        <v>0</v>
      </c>
      <c r="G151" s="273"/>
      <c r="H151" s="273"/>
      <c r="I151" s="273"/>
      <c r="J151" s="273"/>
    </row>
    <row r="152" spans="1:10" x14ac:dyDescent="0.2">
      <c r="A152" s="55" t="s">
        <v>138</v>
      </c>
      <c r="B152" s="278"/>
      <c r="C152" s="278"/>
      <c r="D152" s="273">
        <f>D219</f>
        <v>230.4745163779337</v>
      </c>
      <c r="E152" s="273">
        <f>E219</f>
        <v>660.83589362044972</v>
      </c>
      <c r="F152" s="273">
        <f>F219</f>
        <v>967.10803793724108</v>
      </c>
      <c r="G152" s="273"/>
      <c r="H152" s="273"/>
      <c r="I152" s="273"/>
      <c r="J152" s="273"/>
    </row>
    <row r="153" spans="1:10" x14ac:dyDescent="0.2">
      <c r="A153" s="354" t="s">
        <v>174</v>
      </c>
      <c r="B153" s="278"/>
      <c r="C153" s="278"/>
      <c r="D153" s="387">
        <f>D149+D150-D151-D152</f>
        <v>4379.0158111807405</v>
      </c>
      <c r="E153" s="387">
        <f>E149+E150-E151-E152</f>
        <v>7715.9171348519394</v>
      </c>
      <c r="F153" s="387">
        <f>F149+F150-F151-F152</f>
        <v>8876.5147659588765</v>
      </c>
      <c r="G153" s="273"/>
      <c r="H153" s="273"/>
      <c r="I153" s="273"/>
      <c r="J153" s="273"/>
    </row>
    <row r="154" spans="1:10" x14ac:dyDescent="0.2">
      <c r="A154" s="354"/>
      <c r="B154" s="278"/>
      <c r="C154" s="278"/>
      <c r="D154" s="385"/>
      <c r="E154" s="385"/>
      <c r="F154" s="385"/>
      <c r="G154" s="273"/>
      <c r="H154" s="273"/>
      <c r="I154" s="273"/>
      <c r="J154" s="273"/>
    </row>
    <row r="155" spans="1:10" x14ac:dyDescent="0.2">
      <c r="A155" s="354" t="s">
        <v>175</v>
      </c>
      <c r="B155" s="278"/>
      <c r="C155" s="278"/>
      <c r="D155" s="385">
        <f>(D153+D149)/2</f>
        <v>2189.5079055903702</v>
      </c>
      <c r="E155" s="385">
        <f>(E153+E149)/2</f>
        <v>6047.4664730163404</v>
      </c>
      <c r="F155" s="385">
        <f>(F153+F149)/2</f>
        <v>8296.2159504054071</v>
      </c>
      <c r="G155" s="273"/>
      <c r="H155" s="273"/>
      <c r="I155" s="273"/>
      <c r="J155" s="273"/>
    </row>
    <row r="156" spans="1:10" x14ac:dyDescent="0.2">
      <c r="A156" s="354"/>
      <c r="B156" s="354"/>
      <c r="C156" s="354"/>
      <c r="E156" s="354"/>
      <c r="F156" s="354"/>
      <c r="G156" s="354"/>
      <c r="H156" s="354"/>
      <c r="I156" s="278"/>
      <c r="J156" s="278"/>
    </row>
    <row r="157" spans="1:10" x14ac:dyDescent="0.2">
      <c r="A157" s="354"/>
      <c r="B157" s="354"/>
      <c r="C157" s="354"/>
      <c r="D157" s="354"/>
      <c r="E157" s="354"/>
      <c r="F157" s="354"/>
      <c r="G157" s="354"/>
      <c r="H157" s="354"/>
      <c r="I157" s="278"/>
      <c r="J157" s="278"/>
    </row>
    <row r="158" spans="1:10" x14ac:dyDescent="0.2">
      <c r="A158" s="344" t="s">
        <v>90</v>
      </c>
      <c r="B158" s="354"/>
      <c r="C158" s="354"/>
      <c r="D158" s="354"/>
      <c r="E158" s="354"/>
      <c r="F158" s="354"/>
      <c r="G158" s="273"/>
      <c r="H158" s="273"/>
      <c r="I158" s="278"/>
      <c r="J158" s="278"/>
    </row>
    <row r="159" spans="1:10" x14ac:dyDescent="0.2">
      <c r="A159" s="354" t="s">
        <v>172</v>
      </c>
      <c r="B159" s="273"/>
      <c r="C159" s="273"/>
      <c r="D159" s="288">
        <v>0</v>
      </c>
      <c r="E159" s="385">
        <f>D163</f>
        <v>0</v>
      </c>
      <c r="F159" s="385">
        <f>E163</f>
        <v>0</v>
      </c>
      <c r="G159" s="273"/>
      <c r="H159" s="273"/>
      <c r="I159" s="273"/>
      <c r="J159" s="273"/>
    </row>
    <row r="160" spans="1:10" x14ac:dyDescent="0.2">
      <c r="A160" s="354" t="s">
        <v>173</v>
      </c>
      <c r="B160" s="273"/>
      <c r="C160" s="273"/>
      <c r="D160" s="385">
        <f>D127</f>
        <v>0</v>
      </c>
      <c r="E160" s="385">
        <f>E127</f>
        <v>0</v>
      </c>
      <c r="F160" s="385">
        <f>F127</f>
        <v>0</v>
      </c>
      <c r="G160" s="273"/>
      <c r="H160" s="273"/>
      <c r="I160" s="273"/>
      <c r="J160" s="273"/>
    </row>
    <row r="161" spans="1:10" x14ac:dyDescent="0.2">
      <c r="A161" s="55" t="s">
        <v>5</v>
      </c>
      <c r="B161" s="273"/>
      <c r="C161" s="273"/>
      <c r="D161" s="752">
        <v>0</v>
      </c>
      <c r="E161" s="752">
        <v>0</v>
      </c>
      <c r="F161" s="752">
        <v>0</v>
      </c>
      <c r="G161" s="273"/>
      <c r="H161" s="273"/>
      <c r="I161" s="273"/>
      <c r="J161" s="273"/>
    </row>
    <row r="162" spans="1:10" x14ac:dyDescent="0.2">
      <c r="A162" s="354" t="s">
        <v>177</v>
      </c>
      <c r="B162" s="273"/>
      <c r="C162" s="273"/>
      <c r="D162" s="273">
        <f>D227</f>
        <v>0</v>
      </c>
      <c r="E162" s="273">
        <f>E227</f>
        <v>0</v>
      </c>
      <c r="F162" s="273">
        <f>F227</f>
        <v>0</v>
      </c>
      <c r="G162" s="273"/>
      <c r="H162" s="273"/>
      <c r="I162" s="273"/>
      <c r="J162" s="273"/>
    </row>
    <row r="163" spans="1:10" x14ac:dyDescent="0.2">
      <c r="A163" s="354" t="s">
        <v>174</v>
      </c>
      <c r="B163" s="273"/>
      <c r="C163" s="273"/>
      <c r="D163" s="387">
        <f>D159+D160-D161-D162</f>
        <v>0</v>
      </c>
      <c r="E163" s="387">
        <f>E159+E160-E161-E162</f>
        <v>0</v>
      </c>
      <c r="F163" s="387">
        <f>F159+F160-F161-F162</f>
        <v>0</v>
      </c>
      <c r="G163" s="273"/>
      <c r="H163" s="273"/>
      <c r="I163" s="273"/>
      <c r="J163" s="273"/>
    </row>
    <row r="164" spans="1:10" x14ac:dyDescent="0.2">
      <c r="A164" s="354"/>
      <c r="B164" s="273"/>
      <c r="C164" s="273"/>
      <c r="D164" s="385"/>
      <c r="E164" s="385"/>
      <c r="F164" s="385"/>
      <c r="G164" s="273"/>
      <c r="H164" s="273"/>
      <c r="I164" s="273"/>
      <c r="J164" s="273"/>
    </row>
    <row r="165" spans="1:10" x14ac:dyDescent="0.2">
      <c r="A165" s="354" t="s">
        <v>175</v>
      </c>
      <c r="B165" s="273"/>
      <c r="C165" s="273"/>
      <c r="D165" s="385">
        <f>(D163+D159)/2</f>
        <v>0</v>
      </c>
      <c r="E165" s="385">
        <f>(E163+E159)/2</f>
        <v>0</v>
      </c>
      <c r="F165" s="385">
        <f>(F163+F159)/2</f>
        <v>0</v>
      </c>
      <c r="G165" s="273"/>
      <c r="H165" s="273"/>
      <c r="I165" s="273"/>
      <c r="J165" s="273"/>
    </row>
    <row r="166" spans="1:10" x14ac:dyDescent="0.2">
      <c r="A166" s="354"/>
      <c r="B166" s="354"/>
      <c r="C166" s="354"/>
      <c r="E166" s="354"/>
      <c r="F166" s="354"/>
      <c r="G166" s="273"/>
      <c r="H166" s="273"/>
      <c r="I166" s="278"/>
      <c r="J166" s="278"/>
    </row>
    <row r="167" spans="1:10" x14ac:dyDescent="0.2">
      <c r="A167" s="354"/>
      <c r="B167" s="354"/>
      <c r="C167" s="354"/>
      <c r="D167" s="354"/>
      <c r="E167" s="354"/>
      <c r="F167" s="354"/>
      <c r="G167" s="273"/>
      <c r="H167" s="273"/>
      <c r="I167" s="278"/>
      <c r="J167" s="278"/>
    </row>
    <row r="168" spans="1:10" x14ac:dyDescent="0.2">
      <c r="A168" s="344" t="s">
        <v>168</v>
      </c>
      <c r="B168" s="354"/>
      <c r="C168" s="354"/>
      <c r="D168" s="354"/>
      <c r="E168" s="354"/>
      <c r="F168" s="354"/>
      <c r="G168" s="273"/>
      <c r="H168" s="273"/>
      <c r="I168" s="278"/>
      <c r="J168" s="278"/>
    </row>
    <row r="169" spans="1:10" x14ac:dyDescent="0.2">
      <c r="A169" s="354" t="s">
        <v>172</v>
      </c>
      <c r="B169" s="273"/>
      <c r="C169" s="273"/>
      <c r="D169" s="288">
        <v>0</v>
      </c>
      <c r="E169" s="385">
        <f>D173</f>
        <v>0</v>
      </c>
      <c r="F169" s="385">
        <f>E173</f>
        <v>0</v>
      </c>
      <c r="G169" s="273"/>
      <c r="H169" s="273"/>
      <c r="I169" s="273"/>
      <c r="J169" s="273"/>
    </row>
    <row r="170" spans="1:10" x14ac:dyDescent="0.2">
      <c r="A170" s="354" t="s">
        <v>173</v>
      </c>
      <c r="B170" s="273"/>
      <c r="C170" s="273"/>
      <c r="D170" s="385">
        <f>D128</f>
        <v>0</v>
      </c>
      <c r="E170" s="385">
        <f>E128</f>
        <v>0</v>
      </c>
      <c r="F170" s="385">
        <f>F128</f>
        <v>0</v>
      </c>
      <c r="G170" s="273"/>
      <c r="H170" s="273"/>
      <c r="I170" s="273"/>
      <c r="J170" s="273"/>
    </row>
    <row r="171" spans="1:10" x14ac:dyDescent="0.2">
      <c r="A171" s="55" t="s">
        <v>5</v>
      </c>
      <c r="B171" s="273"/>
      <c r="C171" s="273"/>
      <c r="D171" s="752">
        <v>0</v>
      </c>
      <c r="E171" s="752">
        <v>0</v>
      </c>
      <c r="F171" s="752">
        <v>0</v>
      </c>
      <c r="G171" s="273"/>
      <c r="H171" s="273"/>
      <c r="I171" s="273"/>
      <c r="J171" s="273"/>
    </row>
    <row r="172" spans="1:10" x14ac:dyDescent="0.2">
      <c r="A172" s="354" t="s">
        <v>177</v>
      </c>
      <c r="B172" s="273"/>
      <c r="C172" s="273"/>
      <c r="D172" s="273">
        <f>D235</f>
        <v>0</v>
      </c>
      <c r="E172" s="273">
        <f>E235</f>
        <v>0</v>
      </c>
      <c r="F172" s="273">
        <f>F235</f>
        <v>0</v>
      </c>
      <c r="G172" s="273"/>
      <c r="H172" s="273"/>
      <c r="I172" s="273"/>
      <c r="J172" s="273"/>
    </row>
    <row r="173" spans="1:10" x14ac:dyDescent="0.2">
      <c r="A173" s="354" t="s">
        <v>174</v>
      </c>
      <c r="B173" s="273"/>
      <c r="C173" s="273"/>
      <c r="D173" s="387">
        <f>D169+D170-D171-D172</f>
        <v>0</v>
      </c>
      <c r="E173" s="387">
        <f>E169+E170-E171-E172</f>
        <v>0</v>
      </c>
      <c r="F173" s="387">
        <f>F169+F170-F171-F172</f>
        <v>0</v>
      </c>
      <c r="G173" s="273"/>
      <c r="H173" s="273"/>
      <c r="I173" s="273"/>
      <c r="J173" s="273"/>
    </row>
    <row r="174" spans="1:10" x14ac:dyDescent="0.2">
      <c r="A174" s="354"/>
      <c r="B174" s="273"/>
      <c r="C174" s="273"/>
      <c r="D174" s="385"/>
      <c r="E174" s="385"/>
      <c r="F174" s="385"/>
      <c r="G174" s="273"/>
      <c r="H174" s="273"/>
      <c r="I174" s="273"/>
      <c r="J174" s="273"/>
    </row>
    <row r="175" spans="1:10" x14ac:dyDescent="0.2">
      <c r="A175" s="354" t="s">
        <v>175</v>
      </c>
      <c r="B175" s="273"/>
      <c r="C175" s="273"/>
      <c r="D175" s="385">
        <f>(D173+D169)/2</f>
        <v>0</v>
      </c>
      <c r="E175" s="385">
        <f>(E173+E169)/2</f>
        <v>0</v>
      </c>
      <c r="F175" s="385">
        <f>(F173+F169)/2</f>
        <v>0</v>
      </c>
      <c r="G175" s="273"/>
      <c r="H175" s="273"/>
      <c r="I175" s="273"/>
      <c r="J175" s="273"/>
    </row>
    <row r="176" spans="1:10" x14ac:dyDescent="0.2">
      <c r="A176" s="354"/>
      <c r="B176" s="273"/>
      <c r="C176" s="273"/>
      <c r="D176" s="385"/>
      <c r="E176" s="385"/>
      <c r="F176" s="385"/>
      <c r="G176" s="273"/>
      <c r="H176" s="273"/>
      <c r="I176" s="273"/>
      <c r="J176" s="273"/>
    </row>
    <row r="177" spans="1:10" x14ac:dyDescent="0.2">
      <c r="A177" s="354"/>
      <c r="B177" s="273"/>
      <c r="C177" s="273"/>
      <c r="D177" s="385"/>
      <c r="E177" s="385"/>
      <c r="F177" s="385"/>
      <c r="G177" s="385"/>
      <c r="H177" s="385"/>
      <c r="I177" s="273"/>
      <c r="J177" s="273"/>
    </row>
    <row r="178" spans="1:10" x14ac:dyDescent="0.2">
      <c r="A178" s="344" t="s">
        <v>45</v>
      </c>
      <c r="B178" s="385"/>
      <c r="C178" s="385"/>
      <c r="D178" s="385"/>
      <c r="E178" s="385"/>
      <c r="F178" s="385"/>
      <c r="G178" s="385"/>
      <c r="H178" s="385"/>
      <c r="I178" s="273"/>
      <c r="J178" s="273"/>
    </row>
    <row r="179" spans="1:10" x14ac:dyDescent="0.2">
      <c r="A179" s="354" t="s">
        <v>172</v>
      </c>
      <c r="B179" s="385"/>
      <c r="C179" s="385"/>
      <c r="D179" s="385">
        <f t="shared" ref="D179:F183" si="8">SUM(D139,D149,D159,D169)</f>
        <v>0</v>
      </c>
      <c r="E179" s="385">
        <f t="shared" si="8"/>
        <v>7562.2830336390289</v>
      </c>
      <c r="F179" s="385">
        <f t="shared" si="8"/>
        <v>13951.436692835512</v>
      </c>
      <c r="G179" s="273"/>
      <c r="H179" s="273"/>
      <c r="I179" s="273"/>
      <c r="J179" s="273"/>
    </row>
    <row r="180" spans="1:10" x14ac:dyDescent="0.2">
      <c r="A180" s="354" t="s">
        <v>173</v>
      </c>
      <c r="B180" s="385"/>
      <c r="C180" s="385"/>
      <c r="D180" s="385">
        <f t="shared" si="8"/>
        <v>7902.5253852741444</v>
      </c>
      <c r="E180" s="385">
        <f t="shared" si="8"/>
        <v>7382.3454994016283</v>
      </c>
      <c r="F180" s="385">
        <f t="shared" si="8"/>
        <v>5648.2620073660692</v>
      </c>
      <c r="G180" s="273"/>
      <c r="H180" s="273"/>
      <c r="I180" s="273"/>
      <c r="J180" s="273"/>
    </row>
    <row r="181" spans="1:10" x14ac:dyDescent="0.2">
      <c r="A181" s="354" t="s">
        <v>178</v>
      </c>
      <c r="B181" s="385"/>
      <c r="C181" s="385"/>
      <c r="D181" s="385">
        <f t="shared" si="8"/>
        <v>0</v>
      </c>
      <c r="E181" s="385">
        <f t="shared" si="8"/>
        <v>0</v>
      </c>
      <c r="F181" s="385">
        <f t="shared" si="8"/>
        <v>0</v>
      </c>
      <c r="G181" s="273"/>
      <c r="H181" s="273"/>
      <c r="I181" s="273"/>
      <c r="J181" s="273"/>
    </row>
    <row r="182" spans="1:10" x14ac:dyDescent="0.2">
      <c r="A182" s="354" t="s">
        <v>177</v>
      </c>
      <c r="B182" s="385"/>
      <c r="C182" s="385"/>
      <c r="D182" s="385">
        <f t="shared" si="8"/>
        <v>340.24235163511605</v>
      </c>
      <c r="E182" s="385">
        <f t="shared" si="8"/>
        <v>993.19184020514717</v>
      </c>
      <c r="F182" s="385">
        <f t="shared" si="8"/>
        <v>1529.6361385363343</v>
      </c>
      <c r="G182" s="273"/>
      <c r="H182" s="273"/>
      <c r="I182" s="273"/>
      <c r="J182" s="273"/>
    </row>
    <row r="183" spans="1:10" x14ac:dyDescent="0.2">
      <c r="A183" s="354" t="s">
        <v>174</v>
      </c>
      <c r="B183" s="385"/>
      <c r="C183" s="385"/>
      <c r="D183" s="387">
        <f t="shared" si="8"/>
        <v>7562.2830336390289</v>
      </c>
      <c r="E183" s="387">
        <f t="shared" si="8"/>
        <v>13951.436692835512</v>
      </c>
      <c r="F183" s="387">
        <f t="shared" si="8"/>
        <v>18070.062561665247</v>
      </c>
      <c r="G183" s="273"/>
      <c r="H183" s="273"/>
      <c r="I183" s="273"/>
      <c r="J183" s="273"/>
    </row>
    <row r="184" spans="1:10" x14ac:dyDescent="0.2">
      <c r="A184" s="354"/>
      <c r="B184" s="385"/>
      <c r="C184" s="385"/>
      <c r="D184" s="385"/>
      <c r="E184" s="385"/>
      <c r="F184" s="385"/>
      <c r="G184" s="273"/>
      <c r="H184" s="273"/>
      <c r="I184" s="273"/>
      <c r="J184" s="273"/>
    </row>
    <row r="185" spans="1:10" x14ac:dyDescent="0.2">
      <c r="A185" s="354" t="s">
        <v>175</v>
      </c>
      <c r="B185" s="385"/>
      <c r="C185" s="385"/>
      <c r="D185" s="385">
        <f>SUM(D145,D155,D165,D175)</f>
        <v>3781.1415168195144</v>
      </c>
      <c r="E185" s="385">
        <f>SUM(E145,E155,E165,E175)</f>
        <v>10756.85986323727</v>
      </c>
      <c r="F185" s="385">
        <f>SUM(F145,F155,F165,F175)</f>
        <v>16010.749627250378</v>
      </c>
      <c r="G185" s="273"/>
      <c r="H185" s="273"/>
      <c r="I185" s="273"/>
      <c r="J185" s="273"/>
    </row>
    <row r="186" spans="1:10" x14ac:dyDescent="0.2">
      <c r="D186" s="388"/>
      <c r="E186" s="388"/>
      <c r="F186" s="388"/>
      <c r="G186" s="273"/>
      <c r="H186" s="273"/>
      <c r="I186" s="367"/>
      <c r="J186" s="367"/>
    </row>
    <row r="187" spans="1:10" x14ac:dyDescent="0.2">
      <c r="A187" s="342" t="s">
        <v>298</v>
      </c>
      <c r="G187" s="273"/>
      <c r="H187" s="273"/>
      <c r="I187" s="278"/>
      <c r="J187" s="278"/>
    </row>
    <row r="188" spans="1:10" x14ac:dyDescent="0.2">
      <c r="D188" s="389">
        <v>2006</v>
      </c>
      <c r="E188" s="389">
        <v>2007</v>
      </c>
      <c r="F188" s="389">
        <v>2008</v>
      </c>
      <c r="G188" s="273"/>
      <c r="H188" s="273"/>
      <c r="I188" s="390"/>
      <c r="J188" s="390"/>
    </row>
    <row r="189" spans="1:10" x14ac:dyDescent="0.2">
      <c r="A189" s="341" t="s">
        <v>180</v>
      </c>
      <c r="G189" s="273"/>
      <c r="H189" s="273"/>
      <c r="I189" s="278"/>
      <c r="J189" s="278"/>
    </row>
    <row r="190" spans="1:10" x14ac:dyDescent="0.2">
      <c r="A190" s="82" t="s">
        <v>268</v>
      </c>
      <c r="D190" s="408">
        <f>'Data 2006-08'!$C161</f>
        <v>15</v>
      </c>
      <c r="E190" s="408">
        <f>'Data 2006-08'!$C161</f>
        <v>15</v>
      </c>
      <c r="F190" s="408">
        <f>'Data 2006-08'!$C161</f>
        <v>15</v>
      </c>
      <c r="G190" s="273"/>
      <c r="H190" s="273"/>
      <c r="I190" s="392"/>
      <c r="J190" s="392"/>
    </row>
    <row r="191" spans="1:10" x14ac:dyDescent="0.2">
      <c r="A191" s="82" t="s">
        <v>267</v>
      </c>
      <c r="D191" s="408">
        <f>'Data 2006-08'!$C162</f>
        <v>10</v>
      </c>
      <c r="E191" s="408">
        <f>'Data 2006-08'!$C162</f>
        <v>10</v>
      </c>
      <c r="F191" s="408">
        <f>'Data 2006-08'!$C162</f>
        <v>10</v>
      </c>
      <c r="G191" s="273"/>
      <c r="H191" s="273"/>
      <c r="I191" s="392"/>
      <c r="J191" s="392"/>
    </row>
    <row r="192" spans="1:10" x14ac:dyDescent="0.2">
      <c r="A192" s="82" t="s">
        <v>43</v>
      </c>
      <c r="D192" s="408">
        <f>'Data 2006-08'!$C163</f>
        <v>5</v>
      </c>
      <c r="E192" s="408">
        <f>'Data 2006-08'!$C163</f>
        <v>5</v>
      </c>
      <c r="F192" s="408">
        <f>'Data 2006-08'!$C163</f>
        <v>5</v>
      </c>
      <c r="G192" s="273"/>
      <c r="H192" s="273"/>
      <c r="I192" s="392"/>
      <c r="J192" s="392"/>
    </row>
    <row r="193" spans="1:10" x14ac:dyDescent="0.2">
      <c r="A193" s="82" t="s">
        <v>44</v>
      </c>
      <c r="D193" s="408">
        <f>'Data 2006-08'!$C164</f>
        <v>5</v>
      </c>
      <c r="E193" s="408">
        <f>'Data 2006-08'!$C164</f>
        <v>5</v>
      </c>
      <c r="F193" s="408">
        <f>'Data 2006-08'!$C164</f>
        <v>5</v>
      </c>
      <c r="G193" s="273"/>
      <c r="H193" s="273"/>
      <c r="I193" s="392"/>
      <c r="J193" s="392"/>
    </row>
    <row r="194" spans="1:10" x14ac:dyDescent="0.2">
      <c r="G194" s="273"/>
      <c r="H194" s="273"/>
      <c r="I194" s="278"/>
      <c r="J194" s="278"/>
    </row>
    <row r="195" spans="1:10" s="277" customFormat="1" x14ac:dyDescent="0.2">
      <c r="I195" s="278"/>
      <c r="J195" s="278"/>
    </row>
    <row r="196" spans="1:10" s="363" customFormat="1" x14ac:dyDescent="0.2">
      <c r="A196" s="262" t="s">
        <v>299</v>
      </c>
      <c r="I196" s="393"/>
      <c r="J196" s="393"/>
    </row>
    <row r="197" spans="1:10" s="363" customFormat="1" x14ac:dyDescent="0.2">
      <c r="A197" s="344" t="str">
        <f>$A$79</f>
        <v>($000 Real 2008)</v>
      </c>
      <c r="I197" s="393"/>
      <c r="J197" s="393"/>
    </row>
    <row r="198" spans="1:10" s="363" customFormat="1" x14ac:dyDescent="0.2">
      <c r="A198" s="394" t="s">
        <v>182</v>
      </c>
      <c r="D198" s="395">
        <v>2006</v>
      </c>
      <c r="E198" s="395">
        <v>2007</v>
      </c>
      <c r="F198" s="395">
        <v>2008</v>
      </c>
      <c r="G198" s="392"/>
      <c r="H198" s="392"/>
      <c r="I198" s="390"/>
      <c r="J198" s="390"/>
    </row>
    <row r="199" spans="1:10" s="363" customFormat="1" x14ac:dyDescent="0.2">
      <c r="B199" s="396">
        <v>2006</v>
      </c>
      <c r="D199" s="363">
        <v>0.5</v>
      </c>
      <c r="E199" s="363">
        <v>1.5</v>
      </c>
      <c r="F199" s="363">
        <v>2.5</v>
      </c>
      <c r="G199" s="392"/>
      <c r="H199" s="392"/>
      <c r="I199" s="393"/>
      <c r="J199" s="393"/>
    </row>
    <row r="200" spans="1:10" s="363" customFormat="1" x14ac:dyDescent="0.2">
      <c r="B200" s="396">
        <v>2007</v>
      </c>
      <c r="E200" s="363">
        <v>0.5</v>
      </c>
      <c r="F200" s="363">
        <v>1.5</v>
      </c>
      <c r="G200" s="392"/>
      <c r="H200" s="392"/>
      <c r="I200" s="393"/>
      <c r="J200" s="393"/>
    </row>
    <row r="201" spans="1:10" s="363" customFormat="1" x14ac:dyDescent="0.2">
      <c r="B201" s="396">
        <v>2008</v>
      </c>
      <c r="F201" s="363">
        <v>0.5</v>
      </c>
      <c r="G201" s="392"/>
      <c r="H201" s="392"/>
      <c r="I201" s="393"/>
      <c r="J201" s="393"/>
    </row>
    <row r="202" spans="1:10" s="363" customFormat="1" x14ac:dyDescent="0.2">
      <c r="B202" s="396"/>
      <c r="G202" s="392"/>
      <c r="H202" s="392"/>
      <c r="I202" s="393"/>
      <c r="J202" s="393"/>
    </row>
    <row r="203" spans="1:10" s="363" customFormat="1" x14ac:dyDescent="0.2">
      <c r="B203" s="396"/>
      <c r="G203" s="392"/>
      <c r="H203" s="392"/>
      <c r="I203" s="393"/>
      <c r="J203" s="393"/>
    </row>
    <row r="204" spans="1:10" s="363" customFormat="1" x14ac:dyDescent="0.2">
      <c r="G204" s="392"/>
      <c r="H204" s="392"/>
      <c r="I204" s="393"/>
      <c r="J204" s="393"/>
    </row>
    <row r="205" spans="1:10" s="363" customFormat="1" x14ac:dyDescent="0.2">
      <c r="A205" s="391" t="s">
        <v>171</v>
      </c>
      <c r="C205" s="363" t="s">
        <v>183</v>
      </c>
      <c r="D205" s="395">
        <v>2006</v>
      </c>
      <c r="E205" s="395">
        <v>2007</v>
      </c>
      <c r="F205" s="395">
        <v>2008</v>
      </c>
      <c r="G205" s="392"/>
      <c r="H205" s="392"/>
      <c r="I205" s="390"/>
      <c r="J205" s="390"/>
    </row>
    <row r="206" spans="1:10" s="363" customFormat="1" x14ac:dyDescent="0.2">
      <c r="B206" s="396">
        <v>2006</v>
      </c>
      <c r="C206" s="397">
        <f>D$190</f>
        <v>15</v>
      </c>
      <c r="D206" s="398">
        <f>($D$140*0.5)/$C206</f>
        <v>109.76783525718237</v>
      </c>
      <c r="E206" s="398">
        <f>IF($C206&gt;E$199,$D$140/$C206,IF($C206&lt;=E$199,$D$140-SUM($D206:D206),0))</f>
        <v>219.53567051436474</v>
      </c>
      <c r="F206" s="398">
        <f>IF($C206&gt;F$199,$D$140/$C206,IF($C206&lt;=F$199,$D$140-SUM($D206:E206),0))</f>
        <v>219.53567051436474</v>
      </c>
      <c r="G206" s="392"/>
      <c r="H206" s="392"/>
      <c r="I206" s="399"/>
      <c r="J206" s="399"/>
    </row>
    <row r="207" spans="1:10" s="363" customFormat="1" x14ac:dyDescent="0.2">
      <c r="B207" s="396">
        <v>2007</v>
      </c>
      <c r="C207" s="397">
        <f>E$190</f>
        <v>15</v>
      </c>
      <c r="D207" s="398"/>
      <c r="E207" s="398">
        <f>($E$140*0.5)/$C207</f>
        <v>112.8202760703327</v>
      </c>
      <c r="F207" s="398">
        <f>IF($C207&gt;F$200,$E$140/$C207,IF($C207&lt;=F$200,$E$140-SUM($D207:E207),0))</f>
        <v>225.64055214066539</v>
      </c>
      <c r="G207" s="392"/>
      <c r="H207" s="392"/>
      <c r="I207" s="399"/>
      <c r="J207" s="399"/>
    </row>
    <row r="208" spans="1:10" s="363" customFormat="1" x14ac:dyDescent="0.2">
      <c r="B208" s="396">
        <v>2008</v>
      </c>
      <c r="C208" s="397">
        <f>F$190</f>
        <v>15</v>
      </c>
      <c r="D208" s="398"/>
      <c r="E208" s="398"/>
      <c r="F208" s="398">
        <f>($F$140*0.5)/$C208</f>
        <v>117.35187794406303</v>
      </c>
      <c r="G208" s="392"/>
      <c r="H208" s="392"/>
      <c r="I208" s="399"/>
      <c r="J208" s="399"/>
    </row>
    <row r="209" spans="1:10" s="363" customFormat="1" x14ac:dyDescent="0.2">
      <c r="B209" s="396"/>
      <c r="C209" s="397"/>
      <c r="D209" s="400"/>
      <c r="E209" s="400"/>
      <c r="F209" s="400"/>
      <c r="G209" s="392"/>
      <c r="H209" s="392"/>
      <c r="I209" s="399"/>
      <c r="J209" s="399"/>
    </row>
    <row r="210" spans="1:10" s="363" customFormat="1" x14ac:dyDescent="0.2">
      <c r="B210" s="396"/>
      <c r="C210" s="397"/>
      <c r="D210" s="400"/>
      <c r="E210" s="400"/>
      <c r="F210" s="400"/>
      <c r="G210" s="392"/>
      <c r="H210" s="392"/>
      <c r="I210" s="393"/>
      <c r="J210" s="399"/>
    </row>
    <row r="211" spans="1:10" s="363" customFormat="1" x14ac:dyDescent="0.2">
      <c r="D211" s="401">
        <f>SUM(D206:D210)</f>
        <v>109.76783525718237</v>
      </c>
      <c r="E211" s="401">
        <f>SUM(E206:E210)</f>
        <v>332.35594658469745</v>
      </c>
      <c r="F211" s="401">
        <f>SUM(F206:F210)</f>
        <v>562.52810059909314</v>
      </c>
      <c r="G211" s="392"/>
      <c r="H211" s="392"/>
      <c r="I211" s="399"/>
      <c r="J211" s="399"/>
    </row>
    <row r="212" spans="1:10" s="363" customFormat="1" x14ac:dyDescent="0.2">
      <c r="D212" s="399"/>
      <c r="E212" s="399"/>
      <c r="F212" s="399"/>
      <c r="G212" s="392"/>
      <c r="H212" s="392"/>
      <c r="I212" s="393"/>
      <c r="J212" s="393"/>
    </row>
    <row r="213" spans="1:10" s="363" customFormat="1" x14ac:dyDescent="0.2">
      <c r="A213" s="391" t="s">
        <v>176</v>
      </c>
      <c r="C213" s="363" t="s">
        <v>183</v>
      </c>
      <c r="D213" s="395">
        <v>2006</v>
      </c>
      <c r="E213" s="395">
        <v>2007</v>
      </c>
      <c r="F213" s="395">
        <v>2008</v>
      </c>
      <c r="G213" s="392"/>
      <c r="H213" s="392"/>
      <c r="I213" s="390"/>
      <c r="J213" s="390"/>
    </row>
    <row r="214" spans="1:10" s="363" customFormat="1" x14ac:dyDescent="0.2">
      <c r="B214" s="396">
        <v>2006</v>
      </c>
      <c r="C214" s="397">
        <f>D$191</f>
        <v>10</v>
      </c>
      <c r="D214" s="398">
        <f>(($D$150-$D$151)*0.5)/$C214</f>
        <v>230.4745163779337</v>
      </c>
      <c r="E214" s="398">
        <f>IF($C214&gt;E$199,($D$150-$D$151)/$C214,IF($C214&lt;=E$199,($D$150-$D$151)-SUM($D214:D214),0))</f>
        <v>460.94903275586739</v>
      </c>
      <c r="F214" s="398">
        <f>IF($C214&gt;F$199,($D$150-$D$151)/$C214,IF($C214&lt;=F$199,($D$150-$D$151)-SUM($D214:E214),0))</f>
        <v>460.94903275586739</v>
      </c>
      <c r="G214" s="392"/>
      <c r="H214" s="392"/>
      <c r="I214" s="399"/>
      <c r="J214" s="399"/>
    </row>
    <row r="215" spans="1:10" s="363" customFormat="1" x14ac:dyDescent="0.2">
      <c r="B215" s="396">
        <v>2007</v>
      </c>
      <c r="C215" s="397">
        <f>E$191</f>
        <v>10</v>
      </c>
      <c r="D215" s="398"/>
      <c r="E215" s="398">
        <f>(($E$150-$E$151)*0.5)/$C215</f>
        <v>199.88686086458239</v>
      </c>
      <c r="F215" s="398">
        <f>IF($C215&gt;F$200,($E$150-$E$151)/$C215,IF($C215&lt;=F$200,($E$150-$E$151)-SUM($D215:E215),0))</f>
        <v>399.77372172916478</v>
      </c>
      <c r="G215" s="392"/>
      <c r="H215" s="392"/>
      <c r="I215" s="399"/>
      <c r="J215" s="399"/>
    </row>
    <row r="216" spans="1:10" s="363" customFormat="1" x14ac:dyDescent="0.2">
      <c r="B216" s="396">
        <v>2008</v>
      </c>
      <c r="C216" s="397">
        <f>F$191</f>
        <v>10</v>
      </c>
      <c r="D216" s="398"/>
      <c r="E216" s="398"/>
      <c r="F216" s="398">
        <f>(($F$150-$F$151)*0.5)/$C216</f>
        <v>106.38528345220894</v>
      </c>
      <c r="G216" s="392"/>
      <c r="H216" s="392"/>
      <c r="I216" s="399"/>
      <c r="J216" s="399"/>
    </row>
    <row r="217" spans="1:10" s="363" customFormat="1" x14ac:dyDescent="0.2">
      <c r="B217" s="396"/>
      <c r="C217" s="397"/>
      <c r="D217" s="400"/>
      <c r="E217" s="400"/>
      <c r="F217" s="400"/>
      <c r="G217" s="392"/>
      <c r="H217" s="392"/>
      <c r="I217" s="399"/>
      <c r="J217" s="399"/>
    </row>
    <row r="218" spans="1:10" s="363" customFormat="1" x14ac:dyDescent="0.2">
      <c r="B218" s="396"/>
      <c r="C218" s="397"/>
      <c r="D218" s="400"/>
      <c r="E218" s="400"/>
      <c r="F218" s="400"/>
      <c r="G218" s="392"/>
      <c r="H218" s="392"/>
      <c r="I218" s="393"/>
      <c r="J218" s="399"/>
    </row>
    <row r="219" spans="1:10" s="363" customFormat="1" x14ac:dyDescent="0.2">
      <c r="D219" s="401">
        <f>SUM(D214:D218)</f>
        <v>230.4745163779337</v>
      </c>
      <c r="E219" s="401">
        <f>SUM(E214:E218)</f>
        <v>660.83589362044972</v>
      </c>
      <c r="F219" s="401">
        <f>SUM(F214:F218)</f>
        <v>967.10803793724108</v>
      </c>
      <c r="G219" s="392"/>
      <c r="H219" s="392"/>
      <c r="I219" s="399"/>
      <c r="J219" s="399"/>
    </row>
    <row r="220" spans="1:10" s="363" customFormat="1" x14ac:dyDescent="0.2">
      <c r="G220" s="392"/>
      <c r="H220" s="392"/>
      <c r="I220" s="393"/>
      <c r="J220" s="393"/>
    </row>
    <row r="221" spans="1:10" s="363" customFormat="1" x14ac:dyDescent="0.2">
      <c r="A221" s="378" t="s">
        <v>90</v>
      </c>
      <c r="C221" s="363" t="s">
        <v>183</v>
      </c>
      <c r="D221" s="395">
        <v>2006</v>
      </c>
      <c r="E221" s="395">
        <v>2007</v>
      </c>
      <c r="F221" s="395">
        <v>2008</v>
      </c>
      <c r="G221" s="392"/>
      <c r="H221" s="392"/>
      <c r="I221" s="390"/>
      <c r="J221" s="390"/>
    </row>
    <row r="222" spans="1:10" s="363" customFormat="1" x14ac:dyDescent="0.2">
      <c r="B222" s="396">
        <v>2006</v>
      </c>
      <c r="C222" s="397">
        <f>D$192</f>
        <v>5</v>
      </c>
      <c r="D222" s="398">
        <f>($D$127*0.5)/$C222</f>
        <v>0</v>
      </c>
      <c r="E222" s="398">
        <f>IF($C222&gt;E$199,$D$127/$C222,IF($C222&lt;=E$199,$D$127-SUM($D222:D222),0))</f>
        <v>0</v>
      </c>
      <c r="F222" s="398">
        <f>IF($C222&gt;F$199,$D$127/$C222,IF($C222&lt;=F$199,$D$127-SUM($D222:E222),0))</f>
        <v>0</v>
      </c>
      <c r="G222" s="392"/>
      <c r="H222" s="392"/>
      <c r="I222" s="399"/>
      <c r="J222" s="399"/>
    </row>
    <row r="223" spans="1:10" s="363" customFormat="1" x14ac:dyDescent="0.2">
      <c r="B223" s="396">
        <v>2007</v>
      </c>
      <c r="C223" s="397">
        <f>E$192</f>
        <v>5</v>
      </c>
      <c r="D223" s="398"/>
      <c r="E223" s="398">
        <f>($E$127*0.5)/$C223</f>
        <v>0</v>
      </c>
      <c r="F223" s="398">
        <f>IF($C223&gt;F$200,$E$127/$C223,IF($C223&lt;=F$200,$E$127-SUM($D223:E223),0))</f>
        <v>0</v>
      </c>
      <c r="G223" s="392"/>
      <c r="H223" s="392"/>
      <c r="I223" s="399"/>
      <c r="J223" s="399"/>
    </row>
    <row r="224" spans="1:10" s="363" customFormat="1" x14ac:dyDescent="0.2">
      <c r="B224" s="396">
        <v>2008</v>
      </c>
      <c r="C224" s="397">
        <f>F$192</f>
        <v>5</v>
      </c>
      <c r="D224" s="398"/>
      <c r="E224" s="398"/>
      <c r="F224" s="398">
        <f>($F$127*0.5)/$C224</f>
        <v>0</v>
      </c>
      <c r="G224" s="392"/>
      <c r="H224" s="392"/>
      <c r="I224" s="399"/>
      <c r="J224" s="399"/>
    </row>
    <row r="225" spans="1:10" s="363" customFormat="1" x14ac:dyDescent="0.2">
      <c r="B225" s="396"/>
      <c r="C225" s="397"/>
      <c r="D225" s="400"/>
      <c r="E225" s="400"/>
      <c r="F225" s="400"/>
      <c r="G225" s="392"/>
      <c r="H225" s="392"/>
      <c r="I225" s="399"/>
      <c r="J225" s="399"/>
    </row>
    <row r="226" spans="1:10" s="363" customFormat="1" x14ac:dyDescent="0.2">
      <c r="B226" s="396"/>
      <c r="C226" s="397"/>
      <c r="D226" s="400"/>
      <c r="E226" s="400"/>
      <c r="F226" s="400"/>
      <c r="G226" s="392"/>
      <c r="H226" s="392"/>
      <c r="I226" s="393"/>
      <c r="J226" s="399"/>
    </row>
    <row r="227" spans="1:10" s="363" customFormat="1" x14ac:dyDescent="0.2">
      <c r="D227" s="401">
        <f>SUM(D222:D226)</f>
        <v>0</v>
      </c>
      <c r="E227" s="401">
        <f>SUM(E222:E226)</f>
        <v>0</v>
      </c>
      <c r="F227" s="401">
        <f>SUM(F222:F226)</f>
        <v>0</v>
      </c>
      <c r="G227" s="392"/>
      <c r="H227" s="392"/>
      <c r="I227" s="399"/>
      <c r="J227" s="399"/>
    </row>
    <row r="228" spans="1:10" s="363" customFormat="1" x14ac:dyDescent="0.2">
      <c r="G228" s="392"/>
      <c r="H228" s="392"/>
      <c r="I228" s="393"/>
      <c r="J228" s="393"/>
    </row>
    <row r="229" spans="1:10" s="363" customFormat="1" x14ac:dyDescent="0.2">
      <c r="A229" s="378" t="s">
        <v>168</v>
      </c>
      <c r="C229" s="363" t="s">
        <v>183</v>
      </c>
      <c r="D229" s="395">
        <v>2006</v>
      </c>
      <c r="E229" s="395">
        <v>2007</v>
      </c>
      <c r="F229" s="395">
        <v>2008</v>
      </c>
      <c r="G229" s="392"/>
      <c r="H229" s="392"/>
      <c r="I229" s="390"/>
      <c r="J229" s="390"/>
    </row>
    <row r="230" spans="1:10" s="363" customFormat="1" x14ac:dyDescent="0.2">
      <c r="B230" s="396">
        <v>2006</v>
      </c>
      <c r="C230" s="397">
        <f>D$193</f>
        <v>5</v>
      </c>
      <c r="D230" s="398">
        <f>($D$128*0.5)/$C230</f>
        <v>0</v>
      </c>
      <c r="E230" s="398">
        <f>IF($C230&gt;E$199,$D$128/$C230,IF($C230&lt;=E$199,$D$128-SUM($D230:D230),0))</f>
        <v>0</v>
      </c>
      <c r="F230" s="398">
        <f>IF($C230&gt;F$199,$D$128/$C230,IF($C230&lt;=F$199,$D$128-SUM($D230:E230),0))</f>
        <v>0</v>
      </c>
      <c r="G230" s="392"/>
      <c r="H230" s="392"/>
      <c r="I230" s="399"/>
      <c r="J230" s="399"/>
    </row>
    <row r="231" spans="1:10" s="363" customFormat="1" x14ac:dyDescent="0.2">
      <c r="B231" s="396">
        <v>2007</v>
      </c>
      <c r="C231" s="397">
        <f>E$193</f>
        <v>5</v>
      </c>
      <c r="D231" s="398"/>
      <c r="E231" s="398">
        <f>($E$128*0.5)/$C231</f>
        <v>0</v>
      </c>
      <c r="F231" s="398">
        <f>IF($C231&gt;F$200,$E$128/$C231,IF($C231&lt;=F$200,$E$128-SUM($D231:E231),0))</f>
        <v>0</v>
      </c>
      <c r="G231" s="392"/>
      <c r="H231" s="392"/>
      <c r="I231" s="399"/>
      <c r="J231" s="399"/>
    </row>
    <row r="232" spans="1:10" s="363" customFormat="1" x14ac:dyDescent="0.2">
      <c r="B232" s="396">
        <v>2008</v>
      </c>
      <c r="C232" s="397">
        <f>F$193</f>
        <v>5</v>
      </c>
      <c r="D232" s="398"/>
      <c r="E232" s="398"/>
      <c r="F232" s="398">
        <f>($F$128*0.5)/$C232</f>
        <v>0</v>
      </c>
      <c r="G232" s="392"/>
      <c r="H232" s="392"/>
      <c r="I232" s="399"/>
      <c r="J232" s="399"/>
    </row>
    <row r="233" spans="1:10" s="363" customFormat="1" x14ac:dyDescent="0.2">
      <c r="B233" s="396"/>
      <c r="C233" s="397"/>
      <c r="D233" s="400"/>
      <c r="E233" s="400"/>
      <c r="F233" s="400"/>
      <c r="G233" s="392"/>
      <c r="H233" s="392"/>
      <c r="I233" s="399"/>
      <c r="J233" s="399"/>
    </row>
    <row r="234" spans="1:10" s="363" customFormat="1" x14ac:dyDescent="0.2">
      <c r="B234" s="396"/>
      <c r="C234" s="397"/>
      <c r="D234" s="400"/>
      <c r="E234" s="400"/>
      <c r="F234" s="400"/>
      <c r="G234" s="392"/>
      <c r="H234" s="392"/>
      <c r="I234" s="393"/>
      <c r="J234" s="399"/>
    </row>
    <row r="235" spans="1:10" s="363" customFormat="1" x14ac:dyDescent="0.2">
      <c r="D235" s="401">
        <f>SUM(D230:D234)</f>
        <v>0</v>
      </c>
      <c r="E235" s="401">
        <f>SUM(E230:E234)</f>
        <v>0</v>
      </c>
      <c r="F235" s="401">
        <f>SUM(F230:F234)</f>
        <v>0</v>
      </c>
      <c r="G235" s="392"/>
      <c r="H235" s="392"/>
      <c r="I235" s="399"/>
      <c r="J235" s="399"/>
    </row>
    <row r="236" spans="1:10" s="277" customFormat="1" x14ac:dyDescent="0.2">
      <c r="G236" s="392"/>
      <c r="H236" s="392"/>
      <c r="I236" s="278"/>
      <c r="J236" s="278"/>
    </row>
    <row r="237" spans="1:10" s="277" customFormat="1" x14ac:dyDescent="0.2">
      <c r="A237" s="352"/>
      <c r="B237" s="352"/>
      <c r="C237" s="352"/>
      <c r="D237" s="352"/>
      <c r="E237" s="352"/>
      <c r="F237" s="352"/>
      <c r="G237" s="392"/>
      <c r="H237" s="392"/>
      <c r="I237" s="278"/>
      <c r="J237" s="278"/>
    </row>
    <row r="238" spans="1:10" s="277" customFormat="1" x14ac:dyDescent="0.2">
      <c r="G238" s="392"/>
      <c r="H238" s="392"/>
      <c r="I238" s="278"/>
      <c r="J238" s="278"/>
    </row>
    <row r="239" spans="1:10" s="277" customFormat="1" x14ac:dyDescent="0.2">
      <c r="I239" s="278"/>
      <c r="J239" s="278"/>
    </row>
    <row r="240" spans="1:10" x14ac:dyDescent="0.2">
      <c r="A240" s="342" t="s">
        <v>184</v>
      </c>
      <c r="I240" s="278"/>
      <c r="J240" s="278"/>
    </row>
    <row r="241" spans="1:10" x14ac:dyDescent="0.2">
      <c r="A241" s="266" t="s">
        <v>185</v>
      </c>
      <c r="B241" s="344"/>
      <c r="C241" s="344"/>
      <c r="D241" s="346">
        <v>2006</v>
      </c>
      <c r="E241" s="346">
        <v>2007</v>
      </c>
      <c r="F241" s="346">
        <v>2008</v>
      </c>
      <c r="G241" s="278"/>
      <c r="H241" s="278"/>
      <c r="I241" s="265"/>
      <c r="J241" s="265"/>
    </row>
    <row r="242" spans="1:10" x14ac:dyDescent="0.2">
      <c r="A242" s="342" t="s">
        <v>186</v>
      </c>
      <c r="G242" s="278"/>
      <c r="H242" s="278"/>
      <c r="I242" s="278"/>
      <c r="J242" s="278"/>
    </row>
    <row r="243" spans="1:10" s="124" customFormat="1" ht="25.5" x14ac:dyDescent="0.2">
      <c r="A243" s="131" t="s">
        <v>187</v>
      </c>
      <c r="D243" s="412" t="s">
        <v>188</v>
      </c>
      <c r="E243" s="250"/>
      <c r="I243" s="155"/>
      <c r="J243" s="155"/>
    </row>
    <row r="244" spans="1:10" x14ac:dyDescent="0.2">
      <c r="A244" s="344" t="s">
        <v>189</v>
      </c>
      <c r="C244" s="402"/>
      <c r="D244" s="402"/>
      <c r="E244" s="402"/>
      <c r="G244" s="278"/>
      <c r="H244" s="278"/>
      <c r="I244" s="278"/>
      <c r="J244" s="278"/>
    </row>
    <row r="245" spans="1:10" x14ac:dyDescent="0.2">
      <c r="A245" s="55" t="s">
        <v>49</v>
      </c>
      <c r="D245" s="409">
        <f>'Data 2006-08'!C176</f>
        <v>0.375</v>
      </c>
      <c r="F245" s="372"/>
      <c r="G245" s="278"/>
      <c r="H245" s="278"/>
      <c r="I245" s="278"/>
      <c r="J245" s="278"/>
    </row>
    <row r="246" spans="1:10" x14ac:dyDescent="0.2">
      <c r="A246" s="55" t="s">
        <v>50</v>
      </c>
      <c r="D246" s="410">
        <f>'Data 2006-08'!C177</f>
        <v>0.06</v>
      </c>
      <c r="F246" s="372"/>
      <c r="G246" s="278"/>
      <c r="H246" s="278"/>
      <c r="I246" s="278"/>
      <c r="J246" s="278"/>
    </row>
    <row r="247" spans="1:10" x14ac:dyDescent="0.2">
      <c r="A247" s="55" t="s">
        <v>90</v>
      </c>
      <c r="D247" s="410">
        <f>'Data 2006-08'!C178</f>
        <v>0.4</v>
      </c>
      <c r="F247" s="372"/>
      <c r="G247" s="278"/>
      <c r="H247" s="278"/>
      <c r="I247" s="278"/>
      <c r="J247" s="278"/>
    </row>
    <row r="248" spans="1:10" x14ac:dyDescent="0.2">
      <c r="A248" s="345" t="s">
        <v>91</v>
      </c>
      <c r="D248" s="411">
        <f>'Data 2006-08'!C179</f>
        <v>0.1764705882352941</v>
      </c>
      <c r="F248" s="372"/>
      <c r="G248" s="278"/>
      <c r="H248" s="278"/>
      <c r="I248" s="278"/>
      <c r="J248" s="278"/>
    </row>
    <row r="249" spans="1:10" s="277" customFormat="1" x14ac:dyDescent="0.2">
      <c r="D249" s="403"/>
      <c r="G249" s="278"/>
      <c r="H249" s="278"/>
      <c r="I249" s="278"/>
      <c r="J249" s="278"/>
    </row>
    <row r="250" spans="1:10" s="277" customFormat="1" x14ac:dyDescent="0.2">
      <c r="D250" s="403"/>
      <c r="G250" s="278"/>
      <c r="H250" s="278"/>
      <c r="I250" s="278"/>
      <c r="J250" s="278"/>
    </row>
    <row r="251" spans="1:10" s="278" customFormat="1" x14ac:dyDescent="0.2">
      <c r="A251" s="265" t="s">
        <v>200</v>
      </c>
    </row>
    <row r="252" spans="1:10" s="277" customFormat="1" x14ac:dyDescent="0.2">
      <c r="A252" s="268" t="s">
        <v>49</v>
      </c>
      <c r="B252" s="278"/>
      <c r="C252" s="278"/>
      <c r="D252" s="278"/>
      <c r="E252" s="278"/>
      <c r="F252" s="278"/>
      <c r="G252" s="278"/>
      <c r="H252" s="278"/>
      <c r="I252" s="278"/>
      <c r="J252" s="278"/>
    </row>
    <row r="253" spans="1:10" s="277" customFormat="1" x14ac:dyDescent="0.2">
      <c r="A253" s="277" t="s">
        <v>356</v>
      </c>
      <c r="B253" s="278"/>
      <c r="C253" s="278"/>
      <c r="D253" s="288">
        <v>0</v>
      </c>
      <c r="E253" s="273">
        <f>D256</f>
        <v>6125.4764549727633</v>
      </c>
      <c r="F253" s="273">
        <f>E256</f>
        <v>9716.9022631327389</v>
      </c>
      <c r="G253" s="278"/>
      <c r="H253" s="278"/>
      <c r="I253" s="273"/>
      <c r="J253" s="273"/>
    </row>
    <row r="254" spans="1:10" s="277" customFormat="1" x14ac:dyDescent="0.2">
      <c r="A254" s="277" t="s">
        <v>177</v>
      </c>
      <c r="B254" s="278"/>
      <c r="C254" s="278"/>
      <c r="D254" s="273">
        <f>$D$245*(D253+D255*0.5)</f>
        <v>1413.5714896090992</v>
      </c>
      <c r="E254" s="273">
        <f>$D$245*(E253+E255*0.5)</f>
        <v>3655.933550332039</v>
      </c>
      <c r="F254" s="273">
        <f>$D$245*(F253+F255*0.5)</f>
        <v>4702.8874750559153</v>
      </c>
      <c r="G254" s="278"/>
      <c r="H254" s="278"/>
      <c r="I254" s="273"/>
      <c r="J254" s="273"/>
    </row>
    <row r="255" spans="1:10" s="277" customFormat="1" x14ac:dyDescent="0.2">
      <c r="A255" s="277" t="s">
        <v>202</v>
      </c>
      <c r="B255" s="278"/>
      <c r="C255" s="278"/>
      <c r="D255" s="273">
        <f>'Data 2006-08'!D19/10^3</f>
        <v>7539.0479445818628</v>
      </c>
      <c r="E255" s="273">
        <f>'Data 2006-08'!E19/10^3</f>
        <v>7247.3593584920145</v>
      </c>
      <c r="F255" s="273">
        <f>'Data 2006-08'!F19/10^3</f>
        <v>5648.2620073660692</v>
      </c>
      <c r="G255" s="278"/>
      <c r="H255" s="278"/>
      <c r="I255" s="273"/>
      <c r="J255" s="273"/>
    </row>
    <row r="256" spans="1:10" s="277" customFormat="1" x14ac:dyDescent="0.2">
      <c r="A256" s="277" t="s">
        <v>203</v>
      </c>
      <c r="B256" s="278"/>
      <c r="C256" s="278"/>
      <c r="D256" s="379">
        <f>D253-D254+D255</f>
        <v>6125.4764549727633</v>
      </c>
      <c r="E256" s="379">
        <f>E253-E254+E255</f>
        <v>9716.9022631327389</v>
      </c>
      <c r="F256" s="379">
        <f>F253-F254+F255</f>
        <v>10662.276795442893</v>
      </c>
      <c r="G256" s="278"/>
      <c r="H256" s="278"/>
      <c r="I256" s="273"/>
      <c r="J256" s="273"/>
    </row>
    <row r="257" spans="1:10" s="277" customFormat="1" x14ac:dyDescent="0.2">
      <c r="A257" s="278"/>
      <c r="B257" s="278"/>
      <c r="C257" s="278"/>
      <c r="G257" s="278"/>
      <c r="H257" s="278"/>
      <c r="I257" s="278"/>
      <c r="J257" s="278"/>
    </row>
    <row r="258" spans="1:10" s="277" customFormat="1" x14ac:dyDescent="0.2">
      <c r="A258" s="268" t="s">
        <v>50</v>
      </c>
      <c r="B258" s="278"/>
      <c r="C258" s="278"/>
      <c r="D258" s="278"/>
      <c r="E258" s="278"/>
      <c r="F258" s="278"/>
      <c r="G258" s="278"/>
      <c r="H258" s="278"/>
      <c r="I258" s="278"/>
      <c r="J258" s="278"/>
    </row>
    <row r="259" spans="1:10" s="277" customFormat="1" x14ac:dyDescent="0.2">
      <c r="A259" s="277" t="str">
        <f>A$253</f>
        <v>Opening asset value</v>
      </c>
      <c r="B259" s="278"/>
      <c r="C259" s="278"/>
      <c r="D259" s="288">
        <v>0</v>
      </c>
      <c r="E259" s="273">
        <f>D262</f>
        <v>0</v>
      </c>
      <c r="F259" s="273">
        <f>E262</f>
        <v>0</v>
      </c>
      <c r="G259" s="278"/>
      <c r="H259" s="278"/>
      <c r="I259" s="273"/>
      <c r="J259" s="273"/>
    </row>
    <row r="260" spans="1:10" s="277" customFormat="1" x14ac:dyDescent="0.2">
      <c r="A260" s="277" t="str">
        <f>A$254</f>
        <v>Depreciation</v>
      </c>
      <c r="B260" s="278"/>
      <c r="C260" s="278"/>
      <c r="D260" s="273">
        <f>$D$246*(D259+D261*0.5)</f>
        <v>0</v>
      </c>
      <c r="E260" s="273">
        <f>$D$246*(E259+E261*0.5)</f>
        <v>0</v>
      </c>
      <c r="F260" s="273">
        <f>$D$246*(F259+F261*0.5)</f>
        <v>0</v>
      </c>
      <c r="G260" s="278"/>
      <c r="H260" s="278"/>
      <c r="I260" s="273"/>
      <c r="J260" s="273"/>
    </row>
    <row r="261" spans="1:10" s="277" customFormat="1" x14ac:dyDescent="0.2">
      <c r="A261" s="277" t="str">
        <f>A$255</f>
        <v>Gross capex</v>
      </c>
      <c r="B261" s="278"/>
      <c r="C261" s="278"/>
      <c r="D261" s="273">
        <f>'Data 2006-08'!D20/10^3</f>
        <v>0</v>
      </c>
      <c r="E261" s="273">
        <f>'Data 2006-08'!E20/10^3</f>
        <v>0</v>
      </c>
      <c r="F261" s="273">
        <f>'Data 2006-08'!F20/10^3</f>
        <v>0</v>
      </c>
      <c r="G261" s="278"/>
      <c r="H261" s="278"/>
      <c r="I261" s="273"/>
      <c r="J261" s="273"/>
    </row>
    <row r="262" spans="1:10" s="277" customFormat="1" x14ac:dyDescent="0.2">
      <c r="A262" s="277" t="str">
        <f>A$256</f>
        <v>Closing asset value</v>
      </c>
      <c r="B262" s="278"/>
      <c r="C262" s="278"/>
      <c r="D262" s="379">
        <f>D259-D260+D261</f>
        <v>0</v>
      </c>
      <c r="E262" s="379">
        <f>E259-E260+E261</f>
        <v>0</v>
      </c>
      <c r="F262" s="379">
        <f>F259-F260+F261</f>
        <v>0</v>
      </c>
      <c r="G262" s="278"/>
      <c r="H262" s="278"/>
      <c r="I262" s="273"/>
      <c r="J262" s="273"/>
    </row>
    <row r="263" spans="1:10" s="277" customFormat="1" x14ac:dyDescent="0.2">
      <c r="A263" s="278"/>
      <c r="B263" s="278"/>
      <c r="C263" s="278"/>
      <c r="D263" s="273"/>
      <c r="E263" s="273"/>
      <c r="F263" s="273"/>
      <c r="G263" s="278"/>
      <c r="H263" s="278"/>
      <c r="I263" s="273"/>
      <c r="J263" s="273"/>
    </row>
    <row r="264" spans="1:10" s="277" customFormat="1" x14ac:dyDescent="0.2">
      <c r="A264" s="268" t="s">
        <v>90</v>
      </c>
      <c r="G264" s="278"/>
      <c r="H264" s="278"/>
      <c r="I264" s="278"/>
      <c r="J264" s="278"/>
    </row>
    <row r="265" spans="1:10" s="277" customFormat="1" x14ac:dyDescent="0.2">
      <c r="A265" s="277" t="str">
        <f>A$253</f>
        <v>Opening asset value</v>
      </c>
      <c r="B265" s="278"/>
      <c r="C265" s="278"/>
      <c r="D265" s="288">
        <v>0</v>
      </c>
      <c r="E265" s="273">
        <f>D268</f>
        <v>0</v>
      </c>
      <c r="F265" s="273">
        <f>E268</f>
        <v>0</v>
      </c>
      <c r="G265" s="278"/>
      <c r="H265" s="278"/>
      <c r="I265" s="273"/>
      <c r="J265" s="273"/>
    </row>
    <row r="266" spans="1:10" s="277" customFormat="1" x14ac:dyDescent="0.2">
      <c r="A266" s="277" t="str">
        <f>A$254</f>
        <v>Depreciation</v>
      </c>
      <c r="B266" s="278"/>
      <c r="C266" s="278"/>
      <c r="D266" s="273">
        <f>$D$247*(D265+D267*0.5)</f>
        <v>0</v>
      </c>
      <c r="E266" s="273">
        <f>$D$247*(E265+E267*0.5)</f>
        <v>0</v>
      </c>
      <c r="F266" s="273">
        <f>$D$247*(F265+F267*0.5)</f>
        <v>0</v>
      </c>
      <c r="G266" s="278"/>
      <c r="H266" s="278"/>
      <c r="I266" s="273"/>
      <c r="J266" s="273"/>
    </row>
    <row r="267" spans="1:10" s="277" customFormat="1" x14ac:dyDescent="0.2">
      <c r="A267" s="277" t="str">
        <f>A$255</f>
        <v>Gross capex</v>
      </c>
      <c r="B267" s="278"/>
      <c r="C267" s="278"/>
      <c r="D267" s="273">
        <f>'Data 2006-08'!D21/10^3</f>
        <v>0</v>
      </c>
      <c r="E267" s="273">
        <f>'Data 2006-08'!E21/10^3</f>
        <v>0</v>
      </c>
      <c r="F267" s="273">
        <f>'Data 2006-08'!F21/10^3</f>
        <v>0</v>
      </c>
      <c r="G267" s="278"/>
      <c r="H267" s="278"/>
      <c r="I267" s="273"/>
      <c r="J267" s="273"/>
    </row>
    <row r="268" spans="1:10" s="277" customFormat="1" x14ac:dyDescent="0.2">
      <c r="A268" s="277" t="str">
        <f>A$256</f>
        <v>Closing asset value</v>
      </c>
      <c r="B268" s="278"/>
      <c r="C268" s="278"/>
      <c r="D268" s="379">
        <f>D265-D266+D267</f>
        <v>0</v>
      </c>
      <c r="E268" s="379">
        <f>E265-E266+E267</f>
        <v>0</v>
      </c>
      <c r="F268" s="379">
        <f>F265-F266+F267</f>
        <v>0</v>
      </c>
      <c r="G268" s="278"/>
      <c r="H268" s="278"/>
      <c r="I268" s="273"/>
      <c r="J268" s="273"/>
    </row>
    <row r="269" spans="1:10" s="277" customFormat="1" x14ac:dyDescent="0.2">
      <c r="A269" s="278"/>
      <c r="B269" s="278"/>
      <c r="C269" s="278"/>
      <c r="D269" s="273"/>
      <c r="E269" s="273"/>
      <c r="F269" s="273"/>
      <c r="G269" s="278"/>
      <c r="H269" s="278"/>
      <c r="I269" s="273"/>
      <c r="J269" s="273"/>
    </row>
    <row r="270" spans="1:10" s="277" customFormat="1" x14ac:dyDescent="0.2">
      <c r="A270" s="268" t="s">
        <v>91</v>
      </c>
      <c r="G270" s="278"/>
      <c r="H270" s="278"/>
      <c r="I270" s="278"/>
      <c r="J270" s="278"/>
    </row>
    <row r="271" spans="1:10" s="277" customFormat="1" x14ac:dyDescent="0.2">
      <c r="A271" s="277" t="str">
        <f>A$253</f>
        <v>Opening asset value</v>
      </c>
      <c r="B271" s="278"/>
      <c r="C271" s="278"/>
      <c r="D271" s="288">
        <v>0</v>
      </c>
      <c r="E271" s="273">
        <f>D274</f>
        <v>0</v>
      </c>
      <c r="F271" s="273">
        <f>E274</f>
        <v>0</v>
      </c>
      <c r="G271" s="278"/>
      <c r="H271" s="278"/>
      <c r="I271" s="273"/>
      <c r="J271" s="273"/>
    </row>
    <row r="272" spans="1:10" s="277" customFormat="1" x14ac:dyDescent="0.2">
      <c r="A272" s="277" t="str">
        <f>A$254</f>
        <v>Depreciation</v>
      </c>
      <c r="B272" s="278"/>
      <c r="C272" s="278"/>
      <c r="D272" s="273">
        <f>$D$248*(D271+D273*0.5)</f>
        <v>0</v>
      </c>
      <c r="E272" s="273">
        <f>$D$248*(E271+E273*0.5)</f>
        <v>0</v>
      </c>
      <c r="F272" s="273">
        <f>$D$248*(F271+F273*0.5)</f>
        <v>0</v>
      </c>
      <c r="G272" s="278"/>
      <c r="H272" s="278"/>
      <c r="I272" s="273"/>
      <c r="J272" s="273"/>
    </row>
    <row r="273" spans="1:10" s="277" customFormat="1" x14ac:dyDescent="0.2">
      <c r="A273" s="277" t="str">
        <f>A$255</f>
        <v>Gross capex</v>
      </c>
      <c r="B273" s="278"/>
      <c r="C273" s="278"/>
      <c r="D273" s="273">
        <f>'Data 2006-08'!D22/10^3</f>
        <v>0</v>
      </c>
      <c r="E273" s="273">
        <f>'Data 2006-08'!E22/10^3</f>
        <v>0</v>
      </c>
      <c r="F273" s="273">
        <f>'Data 2006-08'!F22/10^3</f>
        <v>0</v>
      </c>
      <c r="G273" s="278"/>
      <c r="H273" s="278"/>
      <c r="I273" s="273"/>
      <c r="J273" s="273"/>
    </row>
    <row r="274" spans="1:10" s="277" customFormat="1" x14ac:dyDescent="0.2">
      <c r="A274" s="277" t="str">
        <f>A$256</f>
        <v>Closing asset value</v>
      </c>
      <c r="B274" s="278"/>
      <c r="C274" s="278"/>
      <c r="D274" s="379">
        <f>D271-D272+D273</f>
        <v>0</v>
      </c>
      <c r="E274" s="379">
        <f>E271-E272+E273</f>
        <v>0</v>
      </c>
      <c r="F274" s="379">
        <f>F271-F272+F273</f>
        <v>0</v>
      </c>
      <c r="G274" s="278"/>
      <c r="H274" s="278"/>
      <c r="I274" s="273"/>
      <c r="J274" s="273"/>
    </row>
    <row r="275" spans="1:10" s="277" customFormat="1" x14ac:dyDescent="0.2">
      <c r="B275" s="278"/>
      <c r="C275" s="278"/>
      <c r="D275" s="273"/>
      <c r="E275" s="273"/>
      <c r="F275" s="273"/>
      <c r="G275" s="278"/>
      <c r="H275" s="278"/>
      <c r="I275" s="273"/>
      <c r="J275" s="273"/>
    </row>
    <row r="276" spans="1:10" s="277" customFormat="1" x14ac:dyDescent="0.2">
      <c r="A276" s="268" t="s">
        <v>45</v>
      </c>
      <c r="B276" s="273"/>
      <c r="C276" s="273"/>
      <c r="D276" s="273"/>
      <c r="E276" s="273"/>
      <c r="F276" s="273"/>
      <c r="G276" s="278"/>
      <c r="H276" s="278"/>
      <c r="I276" s="273"/>
      <c r="J276" s="273"/>
    </row>
    <row r="277" spans="1:10" s="277" customFormat="1" x14ac:dyDescent="0.2">
      <c r="A277" s="277" t="str">
        <f>A$253</f>
        <v>Opening asset value</v>
      </c>
      <c r="B277" s="273"/>
      <c r="C277" s="273"/>
      <c r="D277" s="273">
        <f t="shared" ref="D277:F280" si="9">SUM(D253,D259,D265,D271)</f>
        <v>0</v>
      </c>
      <c r="E277" s="273">
        <f t="shared" si="9"/>
        <v>6125.4764549727633</v>
      </c>
      <c r="F277" s="273">
        <f t="shared" si="9"/>
        <v>9716.9022631327389</v>
      </c>
      <c r="G277" s="278"/>
      <c r="H277" s="278"/>
      <c r="I277" s="273"/>
      <c r="J277" s="273"/>
    </row>
    <row r="278" spans="1:10" s="277" customFormat="1" x14ac:dyDescent="0.2">
      <c r="A278" s="277" t="str">
        <f>A$254</f>
        <v>Depreciation</v>
      </c>
      <c r="B278" s="273"/>
      <c r="C278" s="273"/>
      <c r="D278" s="273">
        <f t="shared" si="9"/>
        <v>1413.5714896090992</v>
      </c>
      <c r="E278" s="273">
        <f t="shared" si="9"/>
        <v>3655.933550332039</v>
      </c>
      <c r="F278" s="273">
        <f t="shared" si="9"/>
        <v>4702.8874750559153</v>
      </c>
      <c r="G278" s="278"/>
      <c r="H278" s="278"/>
      <c r="I278" s="273"/>
      <c r="J278" s="273"/>
    </row>
    <row r="279" spans="1:10" s="277" customFormat="1" x14ac:dyDescent="0.2">
      <c r="A279" s="277" t="str">
        <f>A$255</f>
        <v>Gross capex</v>
      </c>
      <c r="B279" s="273"/>
      <c r="C279" s="273"/>
      <c r="D279" s="273">
        <f t="shared" si="9"/>
        <v>7539.0479445818628</v>
      </c>
      <c r="E279" s="273">
        <f t="shared" si="9"/>
        <v>7247.3593584920145</v>
      </c>
      <c r="F279" s="273">
        <f t="shared" si="9"/>
        <v>5648.2620073660692</v>
      </c>
      <c r="G279" s="278"/>
      <c r="H279" s="278"/>
      <c r="I279" s="273"/>
      <c r="J279" s="273"/>
    </row>
    <row r="280" spans="1:10" s="277" customFormat="1" x14ac:dyDescent="0.2">
      <c r="A280" s="277" t="str">
        <f>A$256</f>
        <v>Closing asset value</v>
      </c>
      <c r="D280" s="379">
        <f t="shared" si="9"/>
        <v>6125.4764549727633</v>
      </c>
      <c r="E280" s="379">
        <f t="shared" si="9"/>
        <v>9716.9022631327389</v>
      </c>
      <c r="F280" s="379">
        <f t="shared" si="9"/>
        <v>10662.276795442893</v>
      </c>
      <c r="G280" s="278"/>
      <c r="H280" s="278"/>
      <c r="I280" s="273"/>
      <c r="J280" s="273"/>
    </row>
    <row r="281" spans="1:10" s="277" customFormat="1" x14ac:dyDescent="0.2">
      <c r="A281" s="404"/>
      <c r="C281" s="405"/>
      <c r="D281" s="348"/>
      <c r="E281" s="348"/>
      <c r="F281" s="348"/>
      <c r="G281" s="278"/>
      <c r="H281" s="278"/>
      <c r="I281" s="290"/>
      <c r="J281" s="290"/>
    </row>
    <row r="282" spans="1:10" x14ac:dyDescent="0.2">
      <c r="D282" s="406"/>
      <c r="E282" s="406"/>
      <c r="F282" s="406"/>
      <c r="G282" s="278"/>
      <c r="H282" s="278"/>
      <c r="I282" s="288"/>
      <c r="J282" s="288"/>
    </row>
    <row r="283" spans="1:10" s="354" customFormat="1" x14ac:dyDescent="0.2">
      <c r="A283" s="351"/>
      <c r="B283" s="351"/>
      <c r="C283" s="351"/>
      <c r="D283" s="351"/>
      <c r="E283" s="351"/>
      <c r="F283" s="351"/>
      <c r="G283" s="278"/>
      <c r="H283" s="278"/>
      <c r="I283" s="278"/>
      <c r="J283" s="278"/>
    </row>
    <row r="284" spans="1:10" x14ac:dyDescent="0.2">
      <c r="A284" s="266"/>
      <c r="G284" s="278"/>
      <c r="H284" s="278"/>
      <c r="I284" s="278"/>
      <c r="J284" s="278"/>
    </row>
    <row r="285" spans="1:10" x14ac:dyDescent="0.2">
      <c r="A285" s="266"/>
      <c r="G285" s="278"/>
      <c r="H285" s="278"/>
      <c r="I285" s="278"/>
      <c r="J285" s="278"/>
    </row>
  </sheetData>
  <sheetProtection sheet="1" objects="1" scenarios="1"/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42"/>
  <sheetViews>
    <sheetView zoomScale="85" workbookViewId="0">
      <pane ySplit="1" topLeftCell="A2" activePane="bottomLeft" state="frozen"/>
      <selection pane="bottomLeft" activeCell="B1" sqref="B1"/>
    </sheetView>
  </sheetViews>
  <sheetFormatPr defaultRowHeight="12.75" x14ac:dyDescent="0.2"/>
  <cols>
    <col min="1" max="1" width="63.140625" style="124" customWidth="1"/>
    <col min="2" max="2" width="10" style="124" customWidth="1"/>
    <col min="3" max="3" width="11.42578125" style="124" customWidth="1"/>
    <col min="4" max="4" width="13.5703125" style="124" customWidth="1"/>
    <col min="5" max="5" width="13.140625" style="124" customWidth="1"/>
    <col min="6" max="6" width="12.85546875" style="124" customWidth="1"/>
    <col min="7" max="7" width="12.7109375" style="124" customWidth="1"/>
    <col min="8" max="8" width="14.42578125" style="124" customWidth="1"/>
    <col min="9" max="9" width="11.5703125" style="124" bestFit="1" customWidth="1"/>
    <col min="10" max="10" width="10" style="124" customWidth="1"/>
    <col min="11" max="11" width="9.140625" style="124"/>
    <col min="12" max="14" width="9.28515625" style="124" bestFit="1" customWidth="1"/>
    <col min="15" max="16" width="10" style="124" customWidth="1"/>
    <col min="17" max="17" width="9.42578125" style="124" bestFit="1" customWidth="1"/>
    <col min="18" max="18" width="9.85546875" style="124" customWidth="1"/>
    <col min="19" max="16384" width="9.140625" style="124"/>
  </cols>
  <sheetData>
    <row r="1" spans="1:10" ht="15.75" x14ac:dyDescent="0.25">
      <c r="A1" s="122" t="s">
        <v>112</v>
      </c>
      <c r="B1" s="123"/>
      <c r="C1" s="123"/>
      <c r="D1" s="123"/>
      <c r="E1" s="123"/>
    </row>
    <row r="2" spans="1:10" ht="15.75" x14ac:dyDescent="0.25">
      <c r="A2" s="125"/>
      <c r="B2" s="123"/>
      <c r="C2" s="123"/>
    </row>
    <row r="3" spans="1:10" ht="15.75" x14ac:dyDescent="0.25">
      <c r="A3" s="126" t="s">
        <v>113</v>
      </c>
      <c r="B3" s="123"/>
      <c r="C3" s="123"/>
    </row>
    <row r="4" spans="1:10" x14ac:dyDescent="0.2">
      <c r="A4" s="127"/>
      <c r="B4" s="128"/>
      <c r="C4" s="128"/>
      <c r="D4" s="129"/>
      <c r="E4" s="129"/>
      <c r="F4" s="129"/>
      <c r="G4" s="129"/>
      <c r="H4" s="129"/>
      <c r="I4" s="129"/>
      <c r="J4" s="129"/>
    </row>
    <row r="5" spans="1:10" x14ac:dyDescent="0.2">
      <c r="A5" s="130" t="s">
        <v>114</v>
      </c>
    </row>
    <row r="6" spans="1:10" x14ac:dyDescent="0.2">
      <c r="A6" s="131" t="s">
        <v>115</v>
      </c>
      <c r="D6" s="132">
        <v>2006</v>
      </c>
      <c r="E6" s="132">
        <v>2007</v>
      </c>
      <c r="F6" s="132">
        <v>2008</v>
      </c>
      <c r="G6" s="132">
        <v>2009</v>
      </c>
      <c r="H6" s="132">
        <v>2010</v>
      </c>
    </row>
    <row r="7" spans="1:10" x14ac:dyDescent="0.2">
      <c r="A7" s="124" t="s">
        <v>116</v>
      </c>
      <c r="D7" s="133">
        <f>D57</f>
        <v>14.349527795323844</v>
      </c>
      <c r="E7" s="134">
        <f>E57</f>
        <v>18.771091275842728</v>
      </c>
      <c r="F7" s="134">
        <f>F57</f>
        <v>24.483838194531945</v>
      </c>
      <c r="G7" s="134">
        <f>G57</f>
        <v>29.903339739847155</v>
      </c>
      <c r="H7" s="135">
        <f>H57</f>
        <v>35.098905089413648</v>
      </c>
    </row>
    <row r="8" spans="1:10" x14ac:dyDescent="0.2">
      <c r="A8" s="124" t="s">
        <v>117</v>
      </c>
      <c r="D8" s="136">
        <f>D130/1000</f>
        <v>12.269887293094026</v>
      </c>
      <c r="E8" s="137">
        <f>E130/1000</f>
        <v>27.910612053806794</v>
      </c>
      <c r="F8" s="137">
        <f>F130/1000</f>
        <v>34.336069371530485</v>
      </c>
      <c r="G8" s="137">
        <f>G130/1000</f>
        <v>34.555138928292287</v>
      </c>
      <c r="H8" s="138">
        <f>H130/1000</f>
        <v>34.34853318660619</v>
      </c>
    </row>
    <row r="9" spans="1:10" x14ac:dyDescent="0.2">
      <c r="A9" s="124" t="s">
        <v>118</v>
      </c>
      <c r="D9" s="136">
        <f t="shared" ref="D9:H10" si="0">D55</f>
        <v>13.083453789280183</v>
      </c>
      <c r="E9" s="137">
        <f t="shared" si="0"/>
        <v>13.818092750771758</v>
      </c>
      <c r="F9" s="137">
        <f t="shared" si="0"/>
        <v>14.527478741837017</v>
      </c>
      <c r="G9" s="137">
        <f t="shared" si="0"/>
        <v>14.869348110351286</v>
      </c>
      <c r="H9" s="138">
        <f t="shared" si="0"/>
        <v>15.195844708430029</v>
      </c>
    </row>
    <row r="10" spans="1:10" x14ac:dyDescent="0.2">
      <c r="A10" s="124" t="s">
        <v>119</v>
      </c>
      <c r="D10" s="139">
        <f t="shared" si="0"/>
        <v>0</v>
      </c>
      <c r="E10" s="140">
        <f t="shared" si="0"/>
        <v>0</v>
      </c>
      <c r="F10" s="140">
        <f t="shared" si="0"/>
        <v>0</v>
      </c>
      <c r="G10" s="140">
        <f t="shared" si="0"/>
        <v>0</v>
      </c>
      <c r="H10" s="141">
        <f t="shared" si="0"/>
        <v>0</v>
      </c>
    </row>
    <row r="11" spans="1:10" ht="13.5" thickBot="1" x14ac:dyDescent="0.25">
      <c r="A11" s="131" t="s">
        <v>120</v>
      </c>
      <c r="D11" s="142">
        <f>D7-SUM(D8:D10)</f>
        <v>-11.003813287050363</v>
      </c>
      <c r="E11" s="142">
        <f>E7-SUM(E8:E10)</f>
        <v>-22.957613528735827</v>
      </c>
      <c r="F11" s="142">
        <f>F7-SUM(F8:F10)</f>
        <v>-24.379709918835555</v>
      </c>
      <c r="G11" s="142">
        <f>G7-SUM(G8:G10)</f>
        <v>-19.521147298796421</v>
      </c>
      <c r="H11" s="142">
        <f>H7-SUM(H8:H10)</f>
        <v>-14.445472805622572</v>
      </c>
    </row>
    <row r="12" spans="1:10" ht="13.5" thickTop="1" x14ac:dyDescent="0.2">
      <c r="D12" s="143"/>
      <c r="E12" s="143"/>
      <c r="F12" s="143"/>
      <c r="G12" s="143"/>
      <c r="H12" s="143"/>
    </row>
    <row r="13" spans="1:10" x14ac:dyDescent="0.2">
      <c r="A13" s="196" t="str">
        <f>"NPV (WACC = "&amp;D27*100&amp;"% Real)"</f>
        <v>NPV (WACC = 5.9% Real)</v>
      </c>
      <c r="D13" s="144">
        <f>NPV(D27,D11:H11)*(1+D27)^(0.5)</f>
        <v>-80.01682788413676</v>
      </c>
      <c r="E13" s="143"/>
      <c r="F13" s="143"/>
      <c r="G13" s="143"/>
      <c r="H13" s="143"/>
    </row>
    <row r="15" spans="1:10" x14ac:dyDescent="0.2">
      <c r="A15" s="131" t="s">
        <v>121</v>
      </c>
      <c r="D15" s="132">
        <v>2006</v>
      </c>
      <c r="E15" s="132">
        <v>2007</v>
      </c>
      <c r="F15" s="132">
        <v>2008</v>
      </c>
      <c r="G15" s="132">
        <v>2009</v>
      </c>
      <c r="H15" s="132">
        <v>2010</v>
      </c>
    </row>
    <row r="16" spans="1:10" x14ac:dyDescent="0.2">
      <c r="A16" s="124" t="s">
        <v>122</v>
      </c>
      <c r="D16" s="133">
        <f>D435/1000000</f>
        <v>15.802689542199769</v>
      </c>
      <c r="E16" s="134">
        <f>E435/1000000</f>
        <v>19.288573910088584</v>
      </c>
      <c r="F16" s="134">
        <f>F435/1000000</f>
        <v>23.554144412275516</v>
      </c>
      <c r="G16" s="134">
        <f>G435/1000000</f>
        <v>28.721062476526605</v>
      </c>
      <c r="H16" s="135">
        <f>H435/1000000</f>
        <v>34.985432674637352</v>
      </c>
    </row>
    <row r="17" spans="1:8" x14ac:dyDescent="0.2">
      <c r="A17" s="124" t="s">
        <v>117</v>
      </c>
      <c r="D17" s="136">
        <f t="shared" ref="D17:H18" si="1">D8</f>
        <v>12.269887293094026</v>
      </c>
      <c r="E17" s="137">
        <f t="shared" si="1"/>
        <v>27.910612053806794</v>
      </c>
      <c r="F17" s="137">
        <f t="shared" si="1"/>
        <v>34.336069371530485</v>
      </c>
      <c r="G17" s="137">
        <f t="shared" si="1"/>
        <v>34.555138928292287</v>
      </c>
      <c r="H17" s="138">
        <f t="shared" si="1"/>
        <v>34.34853318660619</v>
      </c>
    </row>
    <row r="18" spans="1:8" x14ac:dyDescent="0.2">
      <c r="A18" s="124" t="s">
        <v>118</v>
      </c>
      <c r="D18" s="136">
        <f t="shared" si="1"/>
        <v>13.083453789280183</v>
      </c>
      <c r="E18" s="137">
        <f t="shared" si="1"/>
        <v>13.818092750771758</v>
      </c>
      <c r="F18" s="137">
        <f t="shared" si="1"/>
        <v>14.527478741837017</v>
      </c>
      <c r="G18" s="137">
        <f t="shared" si="1"/>
        <v>14.869348110351286</v>
      </c>
      <c r="H18" s="138">
        <f t="shared" si="1"/>
        <v>15.195844708430029</v>
      </c>
    </row>
    <row r="19" spans="1:8" x14ac:dyDescent="0.2">
      <c r="A19" s="124" t="s">
        <v>119</v>
      </c>
      <c r="D19" s="139">
        <f>D45</f>
        <v>2.7128082492518583E-2</v>
      </c>
      <c r="E19" s="140">
        <f>E45</f>
        <v>0</v>
      </c>
      <c r="F19" s="140">
        <f>F45</f>
        <v>0</v>
      </c>
      <c r="G19" s="140">
        <f>G45</f>
        <v>0</v>
      </c>
      <c r="H19" s="141">
        <f>H45</f>
        <v>0</v>
      </c>
    </row>
    <row r="20" spans="1:8" ht="13.5" thickBot="1" x14ac:dyDescent="0.25">
      <c r="A20" s="131" t="s">
        <v>120</v>
      </c>
      <c r="D20" s="145">
        <f>D16-SUM(D17:D19)</f>
        <v>-9.5777796226669558</v>
      </c>
      <c r="E20" s="145">
        <f>E16-SUM(E17:E19)</f>
        <v>-22.440130894489972</v>
      </c>
      <c r="F20" s="145">
        <f>F16-SUM(F17:F19)</f>
        <v>-25.309403701091984</v>
      </c>
      <c r="G20" s="145">
        <f>G16-SUM(G17:G19)</f>
        <v>-20.703424562116972</v>
      </c>
      <c r="H20" s="145">
        <f>H16-SUM(H17:H19)</f>
        <v>-14.558945220398869</v>
      </c>
    </row>
    <row r="21" spans="1:8" ht="13.5" thickTop="1" x14ac:dyDescent="0.2">
      <c r="D21" s="143"/>
      <c r="E21" s="143"/>
      <c r="F21" s="143"/>
      <c r="G21" s="143"/>
      <c r="H21" s="143"/>
    </row>
    <row r="22" spans="1:8" x14ac:dyDescent="0.2">
      <c r="A22" s="131" t="str">
        <f>"NPV (WACC = "&amp;D27*100&amp;"% Real)"</f>
        <v>NPV (WACC = 5.9% Real)</v>
      </c>
      <c r="D22" s="144">
        <f>NPV(D27,D20:H20)*(1+D27)^(0.5)</f>
        <v>-80.01682788413676</v>
      </c>
      <c r="E22" s="143"/>
      <c r="F22" s="143"/>
      <c r="G22" s="143"/>
      <c r="H22" s="143"/>
    </row>
    <row r="23" spans="1:8" x14ac:dyDescent="0.2">
      <c r="D23" s="143"/>
      <c r="E23" s="146"/>
      <c r="F23" s="146"/>
      <c r="G23" s="143"/>
      <c r="H23" s="143"/>
    </row>
    <row r="24" spans="1:8" x14ac:dyDescent="0.2">
      <c r="A24" s="124" t="s">
        <v>123</v>
      </c>
      <c r="D24" s="147">
        <f>D13-D22</f>
        <v>0</v>
      </c>
      <c r="E24" s="148"/>
      <c r="F24" s="148"/>
      <c r="G24" s="143"/>
      <c r="H24" s="143"/>
    </row>
    <row r="25" spans="1:8" s="150" customFormat="1" x14ac:dyDescent="0.2">
      <c r="A25" s="149"/>
      <c r="D25" s="151"/>
      <c r="E25" s="152"/>
      <c r="F25" s="152"/>
      <c r="G25" s="152"/>
      <c r="H25" s="152"/>
    </row>
    <row r="26" spans="1:8" s="150" customFormat="1" x14ac:dyDescent="0.2">
      <c r="F26" s="154"/>
      <c r="G26" s="154"/>
      <c r="H26" s="154"/>
    </row>
    <row r="27" spans="1:8" s="150" customFormat="1" x14ac:dyDescent="0.2">
      <c r="A27" s="299" t="str">
        <f>'Data 2006-08'!A141</f>
        <v>'Vanilla' after tax WACC (real)</v>
      </c>
      <c r="B27" s="128"/>
      <c r="C27" s="128"/>
      <c r="D27" s="298">
        <f>'Data 2006-08'!C141</f>
        <v>5.8999999999999997E-2</v>
      </c>
      <c r="F27" s="152"/>
      <c r="G27" s="152"/>
      <c r="H27" s="152"/>
    </row>
    <row r="28" spans="1:8" s="150" customFormat="1" x14ac:dyDescent="0.2">
      <c r="A28" s="149"/>
      <c r="C28" s="155"/>
      <c r="D28" s="156"/>
      <c r="E28" s="152"/>
      <c r="F28" s="152"/>
      <c r="G28" s="152"/>
      <c r="H28" s="152"/>
    </row>
    <row r="29" spans="1:8" s="150" customFormat="1" ht="20.25" x14ac:dyDescent="0.35">
      <c r="A29" s="149"/>
      <c r="C29" s="157" t="s">
        <v>261</v>
      </c>
      <c r="D29" s="524">
        <v>-0.2</v>
      </c>
      <c r="E29" s="152"/>
      <c r="F29" s="152"/>
      <c r="G29" s="152"/>
      <c r="H29" s="152"/>
    </row>
    <row r="30" spans="1:8" s="150" customFormat="1" x14ac:dyDescent="0.2">
      <c r="A30" s="149"/>
      <c r="C30" s="158"/>
      <c r="D30" s="159"/>
      <c r="E30" s="152"/>
      <c r="F30" s="152"/>
      <c r="G30" s="152"/>
      <c r="H30" s="152"/>
    </row>
    <row r="31" spans="1:8" s="150" customFormat="1" x14ac:dyDescent="0.2">
      <c r="A31" s="149"/>
      <c r="C31" s="158"/>
      <c r="D31" s="159"/>
      <c r="E31" s="152"/>
      <c r="F31" s="152"/>
      <c r="G31" s="152"/>
      <c r="H31" s="152"/>
    </row>
    <row r="32" spans="1:8" s="150" customFormat="1" x14ac:dyDescent="0.2">
      <c r="A32" s="160" t="s">
        <v>124</v>
      </c>
      <c r="B32" s="161"/>
      <c r="C32" s="161"/>
      <c r="D32" s="161"/>
      <c r="E32" s="161"/>
      <c r="F32" s="161"/>
      <c r="G32" s="161"/>
      <c r="H32" s="161"/>
    </row>
    <row r="33" spans="1:9" s="150" customFormat="1" x14ac:dyDescent="0.2">
      <c r="A33" s="131" t="s">
        <v>119</v>
      </c>
      <c r="B33" s="124"/>
      <c r="C33" s="124"/>
      <c r="D33" s="124"/>
      <c r="E33" s="124"/>
      <c r="F33" s="124"/>
      <c r="G33" s="124"/>
      <c r="H33" s="124"/>
    </row>
    <row r="34" spans="1:9" s="150" customFormat="1" x14ac:dyDescent="0.2">
      <c r="A34" s="131" t="s">
        <v>125</v>
      </c>
      <c r="B34" s="124"/>
      <c r="C34" s="124"/>
      <c r="D34" s="132">
        <v>2006</v>
      </c>
      <c r="E34" s="132">
        <v>2007</v>
      </c>
      <c r="F34" s="132">
        <v>2008</v>
      </c>
      <c r="G34" s="132">
        <v>2009</v>
      </c>
      <c r="H34" s="132">
        <v>2010</v>
      </c>
    </row>
    <row r="35" spans="1:9" s="150" customFormat="1" x14ac:dyDescent="0.2">
      <c r="A35" s="124" t="s">
        <v>122</v>
      </c>
      <c r="B35" s="124"/>
      <c r="C35" s="124"/>
      <c r="D35" s="162">
        <f>D435/1000000*D71</f>
        <v>16.610180785503069</v>
      </c>
      <c r="E35" s="163">
        <f>E435/1000000*E71</f>
        <v>20.793207281394288</v>
      </c>
      <c r="F35" s="163">
        <f>F435/1000000*F71</f>
        <v>26.041542746682079</v>
      </c>
      <c r="G35" s="163">
        <f>G435/1000000*G71</f>
        <v>32.56701014721893</v>
      </c>
      <c r="H35" s="164">
        <f>H435/1000000*H71</f>
        <v>40.685780268830186</v>
      </c>
    </row>
    <row r="36" spans="1:9" s="150" customFormat="1" x14ac:dyDescent="0.2">
      <c r="A36" s="124" t="s">
        <v>126</v>
      </c>
      <c r="B36" s="124"/>
      <c r="C36" s="124"/>
      <c r="D36" s="165">
        <f t="shared" ref="D36:H39" si="2">D80</f>
        <v>0</v>
      </c>
      <c r="E36" s="166">
        <f t="shared" si="2"/>
        <v>0</v>
      </c>
      <c r="F36" s="166">
        <f t="shared" si="2"/>
        <v>0</v>
      </c>
      <c r="G36" s="166">
        <f t="shared" si="2"/>
        <v>0</v>
      </c>
      <c r="H36" s="167">
        <f t="shared" si="2"/>
        <v>0</v>
      </c>
    </row>
    <row r="37" spans="1:9" s="150" customFormat="1" x14ac:dyDescent="0.2">
      <c r="A37" s="124" t="s">
        <v>127</v>
      </c>
      <c r="B37" s="124"/>
      <c r="C37" s="124"/>
      <c r="D37" s="165">
        <f t="shared" si="2"/>
        <v>13.751996592629876</v>
      </c>
      <c r="E37" s="166">
        <f t="shared" si="2"/>
        <v>14.895993251737986</v>
      </c>
      <c r="F37" s="166">
        <f t="shared" si="2"/>
        <v>16.061630260698372</v>
      </c>
      <c r="G37" s="166">
        <f t="shared" si="2"/>
        <v>16.860456022060919</v>
      </c>
      <c r="H37" s="167">
        <f t="shared" si="2"/>
        <v>17.671777981315437</v>
      </c>
    </row>
    <row r="38" spans="1:9" s="150" customFormat="1" x14ac:dyDescent="0.2">
      <c r="A38" s="124" t="s">
        <v>128</v>
      </c>
      <c r="B38" s="124"/>
      <c r="C38" s="124"/>
      <c r="D38" s="165">
        <f t="shared" si="2"/>
        <v>2.427504867045128</v>
      </c>
      <c r="E38" s="166">
        <f t="shared" si="2"/>
        <v>9.5127496171481063</v>
      </c>
      <c r="F38" s="166">
        <f t="shared" si="2"/>
        <v>18.546220794712248</v>
      </c>
      <c r="G38" s="166">
        <f t="shared" si="2"/>
        <v>25.90640330472247</v>
      </c>
      <c r="H38" s="167">
        <f t="shared" si="2"/>
        <v>30.912540838899961</v>
      </c>
    </row>
    <row r="39" spans="1:9" s="150" customFormat="1" x14ac:dyDescent="0.2">
      <c r="A39" s="124" t="s">
        <v>129</v>
      </c>
      <c r="B39" s="124"/>
      <c r="C39" s="124"/>
      <c r="D39" s="165">
        <f t="shared" si="2"/>
        <v>0.24058410886664158</v>
      </c>
      <c r="E39" s="166">
        <f t="shared" si="2"/>
        <v>1.0232745501073999</v>
      </c>
      <c r="F39" s="166">
        <f t="shared" si="2"/>
        <v>2.2019091518527589</v>
      </c>
      <c r="G39" s="166">
        <f t="shared" si="2"/>
        <v>3.4310203233221097</v>
      </c>
      <c r="H39" s="167">
        <f t="shared" si="2"/>
        <v>4.5544299500445735</v>
      </c>
    </row>
    <row r="40" spans="1:9" s="150" customFormat="1" x14ac:dyDescent="0.2">
      <c r="A40" s="124" t="s">
        <v>130</v>
      </c>
      <c r="B40" s="124"/>
      <c r="C40" s="124"/>
      <c r="D40" s="165">
        <f>D84</f>
        <v>0</v>
      </c>
      <c r="E40" s="168">
        <v>0</v>
      </c>
      <c r="F40" s="168">
        <v>0</v>
      </c>
      <c r="G40" s="168">
        <v>0</v>
      </c>
      <c r="H40" s="169">
        <v>0</v>
      </c>
    </row>
    <row r="41" spans="1:9" s="150" customFormat="1" x14ac:dyDescent="0.2">
      <c r="A41" s="124" t="s">
        <v>131</v>
      </c>
      <c r="B41" s="124"/>
      <c r="C41" s="124"/>
      <c r="D41" s="170">
        <f>SUM(D35:D36)-SUM(D37:D40)</f>
        <v>0.19009521696142428</v>
      </c>
      <c r="E41" s="171">
        <f>SUM(E35:E36)-SUM(E37:E40)</f>
        <v>-4.6388101375992044</v>
      </c>
      <c r="F41" s="171">
        <f>SUM(F35:F36)-SUM(F37:F40)</f>
        <v>-10.768217460581301</v>
      </c>
      <c r="G41" s="171">
        <f>SUM(G35:G36)-SUM(G37:G40)</f>
        <v>-13.630869502886569</v>
      </c>
      <c r="H41" s="172">
        <f>SUM(H35:H36)-SUM(H37:H40)</f>
        <v>-12.452968501429787</v>
      </c>
    </row>
    <row r="42" spans="1:9" s="150" customFormat="1" x14ac:dyDescent="0.2">
      <c r="A42" s="124" t="s">
        <v>132</v>
      </c>
      <c r="B42" s="124"/>
      <c r="C42" s="124"/>
      <c r="D42" s="170">
        <f>IF(D41&lt;0,0,D41*D65)</f>
        <v>5.7028565088427283E-2</v>
      </c>
      <c r="E42" s="171">
        <f>IF(E41&lt;0,0,E41*E65)</f>
        <v>0</v>
      </c>
      <c r="F42" s="171">
        <f>IF(F41&lt;0,0,F41*F65)</f>
        <v>0</v>
      </c>
      <c r="G42" s="171">
        <f>IF(G41&lt;0,0,G41*G65)</f>
        <v>0</v>
      </c>
      <c r="H42" s="172">
        <f>IF(H41&lt;0,0,H41*H65)</f>
        <v>0</v>
      </c>
    </row>
    <row r="43" spans="1:9" s="150" customFormat="1" x14ac:dyDescent="0.2">
      <c r="A43" s="124" t="s">
        <v>133</v>
      </c>
      <c r="B43" s="124"/>
      <c r="C43" s="124"/>
      <c r="D43" s="170">
        <f>D76*D42</f>
        <v>2.8514282544213641E-2</v>
      </c>
      <c r="E43" s="171">
        <f>E76*E42</f>
        <v>0</v>
      </c>
      <c r="F43" s="171">
        <f>F76*F42</f>
        <v>0</v>
      </c>
      <c r="G43" s="171">
        <f>G76*G42</f>
        <v>0</v>
      </c>
      <c r="H43" s="172">
        <f>H76*H42</f>
        <v>0</v>
      </c>
    </row>
    <row r="44" spans="1:9" s="150" customFormat="1" x14ac:dyDescent="0.2">
      <c r="A44" s="124" t="s">
        <v>134</v>
      </c>
      <c r="B44" s="124"/>
      <c r="C44" s="124"/>
      <c r="D44" s="170">
        <f>D42-D43</f>
        <v>2.8514282544213641E-2</v>
      </c>
      <c r="E44" s="171">
        <f>E42-E43</f>
        <v>0</v>
      </c>
      <c r="F44" s="171">
        <f>F42-F43</f>
        <v>0</v>
      </c>
      <c r="G44" s="171">
        <f>G42-G43</f>
        <v>0</v>
      </c>
      <c r="H44" s="172">
        <f>H42-H43</f>
        <v>0</v>
      </c>
    </row>
    <row r="45" spans="1:9" s="150" customFormat="1" x14ac:dyDescent="0.2">
      <c r="A45" s="124" t="s">
        <v>135</v>
      </c>
      <c r="B45" s="124"/>
      <c r="C45" s="124"/>
      <c r="D45" s="173">
        <f>D44/D71</f>
        <v>2.7128082492518583E-2</v>
      </c>
      <c r="E45" s="174">
        <f>E44/E71</f>
        <v>0</v>
      </c>
      <c r="F45" s="174">
        <f>F44/F71</f>
        <v>0</v>
      </c>
      <c r="G45" s="174">
        <f>G44/G71</f>
        <v>0</v>
      </c>
      <c r="H45" s="175">
        <f>H44/H71</f>
        <v>0</v>
      </c>
    </row>
    <row r="46" spans="1:9" s="150" customFormat="1" x14ac:dyDescent="0.2">
      <c r="A46" s="124"/>
      <c r="B46" s="124"/>
      <c r="C46" s="124"/>
      <c r="D46" s="166"/>
      <c r="E46" s="166"/>
      <c r="F46" s="166"/>
      <c r="G46" s="166"/>
      <c r="H46" s="166"/>
    </row>
    <row r="47" spans="1:9" s="150" customFormat="1" x14ac:dyDescent="0.2">
      <c r="A47" s="176"/>
      <c r="B47" s="176"/>
      <c r="C47" s="176"/>
      <c r="D47" s="174"/>
      <c r="E47" s="174"/>
      <c r="F47" s="174"/>
      <c r="G47" s="174"/>
      <c r="H47" s="174"/>
      <c r="I47" s="177"/>
    </row>
    <row r="48" spans="1:9" s="150" customFormat="1" x14ac:dyDescent="0.2">
      <c r="A48" s="124"/>
      <c r="B48" s="124"/>
      <c r="C48" s="124"/>
      <c r="D48" s="166"/>
      <c r="E48" s="166"/>
      <c r="F48" s="166"/>
      <c r="G48" s="166"/>
      <c r="H48" s="166"/>
    </row>
    <row r="49" spans="1:18" s="150" customFormat="1" x14ac:dyDescent="0.2">
      <c r="A49" s="124"/>
      <c r="B49" s="124"/>
      <c r="C49" s="124"/>
      <c r="D49" s="166"/>
      <c r="E49" s="166"/>
      <c r="F49" s="166"/>
      <c r="G49" s="166"/>
      <c r="H49" s="166"/>
    </row>
    <row r="50" spans="1:18" ht="25.5" x14ac:dyDescent="0.2">
      <c r="A50" s="178" t="s">
        <v>136</v>
      </c>
      <c r="B50" s="150"/>
      <c r="C50" s="150"/>
    </row>
    <row r="51" spans="1:18" x14ac:dyDescent="0.2">
      <c r="C51" s="153"/>
      <c r="L51" s="155"/>
      <c r="M51" s="155"/>
      <c r="N51" s="155"/>
      <c r="O51" s="155"/>
      <c r="P51" s="155"/>
      <c r="Q51" s="150"/>
      <c r="R51" s="150"/>
    </row>
    <row r="52" spans="1:18" x14ac:dyDescent="0.2">
      <c r="A52" s="179" t="s">
        <v>114</v>
      </c>
      <c r="B52" s="153"/>
      <c r="C52" s="153"/>
      <c r="D52" s="180">
        <v>2006</v>
      </c>
      <c r="E52" s="180">
        <v>2007</v>
      </c>
      <c r="F52" s="180">
        <v>2008</v>
      </c>
      <c r="G52" s="180">
        <v>2009</v>
      </c>
      <c r="H52" s="180">
        <v>2010</v>
      </c>
      <c r="I52" s="181"/>
      <c r="J52" s="181"/>
      <c r="L52" s="182"/>
      <c r="M52" s="182"/>
      <c r="N52" s="182"/>
      <c r="O52" s="182"/>
      <c r="P52" s="182"/>
      <c r="Q52" s="150"/>
      <c r="R52" s="150"/>
    </row>
    <row r="53" spans="1:18" x14ac:dyDescent="0.2">
      <c r="A53" s="183" t="s">
        <v>137</v>
      </c>
      <c r="B53" s="153"/>
      <c r="C53" s="153"/>
      <c r="D53" s="184">
        <f>D185/1000*$D$27</f>
        <v>0.33447964138896008</v>
      </c>
      <c r="E53" s="184">
        <f>E185/1000*$D$27</f>
        <v>1.3871291930712284</v>
      </c>
      <c r="F53" s="184">
        <f>F185/1000*$D$27</f>
        <v>2.9103560494283207</v>
      </c>
      <c r="G53" s="184">
        <f>G185/1000*$D$27</f>
        <v>4.4217278112381244</v>
      </c>
      <c r="H53" s="184">
        <f>H185/1000*$D$27</f>
        <v>5.7230129569809476</v>
      </c>
      <c r="I53" s="184"/>
      <c r="J53" s="184"/>
      <c r="L53" s="185"/>
      <c r="M53" s="185"/>
      <c r="N53" s="185"/>
      <c r="O53" s="185"/>
      <c r="P53" s="185"/>
      <c r="Q53" s="186"/>
      <c r="R53" s="186"/>
    </row>
    <row r="54" spans="1:18" x14ac:dyDescent="0.2">
      <c r="A54" s="183" t="s">
        <v>138</v>
      </c>
      <c r="B54" s="153"/>
      <c r="C54" s="153"/>
      <c r="D54" s="187">
        <f>D182/1000</f>
        <v>0.93159436465470136</v>
      </c>
      <c r="E54" s="187">
        <f>E182/1000</f>
        <v>3.5658693319997425</v>
      </c>
      <c r="F54" s="187">
        <f>F182/1000</f>
        <v>7.0460034032666075</v>
      </c>
      <c r="G54" s="187">
        <f>G182/1000</f>
        <v>10.612263818257746</v>
      </c>
      <c r="H54" s="187">
        <f>H182/1000</f>
        <v>14.180047424002669</v>
      </c>
      <c r="I54" s="187"/>
      <c r="J54" s="187"/>
      <c r="L54" s="185"/>
      <c r="M54" s="185"/>
      <c r="N54" s="185"/>
      <c r="O54" s="185"/>
      <c r="P54" s="185"/>
      <c r="Q54" s="186"/>
      <c r="R54" s="186"/>
    </row>
    <row r="55" spans="1:18" x14ac:dyDescent="0.2">
      <c r="A55" s="183" t="s">
        <v>139</v>
      </c>
      <c r="B55" s="153"/>
      <c r="C55" s="153"/>
      <c r="D55" s="187">
        <f>D114/1000</f>
        <v>13.083453789280183</v>
      </c>
      <c r="E55" s="187">
        <f>E114/1000</f>
        <v>13.818092750771758</v>
      </c>
      <c r="F55" s="187">
        <f>F114/1000</f>
        <v>14.527478741837017</v>
      </c>
      <c r="G55" s="187">
        <f>G114/1000</f>
        <v>14.869348110351286</v>
      </c>
      <c r="H55" s="187">
        <f>H114/1000</f>
        <v>15.195844708430029</v>
      </c>
      <c r="I55" s="187"/>
      <c r="J55" s="187"/>
      <c r="L55" s="185"/>
      <c r="M55" s="185"/>
      <c r="N55" s="185"/>
      <c r="O55" s="185"/>
      <c r="P55" s="185"/>
      <c r="Q55" s="186"/>
      <c r="R55" s="186"/>
    </row>
    <row r="56" spans="1:18" x14ac:dyDescent="0.2">
      <c r="A56" s="188" t="s">
        <v>140</v>
      </c>
      <c r="B56" s="155"/>
      <c r="C56" s="153"/>
      <c r="D56" s="187">
        <f>D93</f>
        <v>0</v>
      </c>
      <c r="E56" s="187">
        <f>E93</f>
        <v>0</v>
      </c>
      <c r="F56" s="187">
        <f>F93</f>
        <v>0</v>
      </c>
      <c r="G56" s="187">
        <f>G93</f>
        <v>0</v>
      </c>
      <c r="H56" s="187">
        <f>H93</f>
        <v>0</v>
      </c>
      <c r="I56" s="187"/>
      <c r="J56" s="187"/>
      <c r="L56" s="185"/>
      <c r="M56" s="185"/>
      <c r="N56" s="185"/>
      <c r="O56" s="185"/>
      <c r="P56" s="185"/>
      <c r="Q56" s="186"/>
      <c r="R56" s="186"/>
    </row>
    <row r="57" spans="1:18" ht="13.5" thickBot="1" x14ac:dyDescent="0.25">
      <c r="A57" s="179" t="s">
        <v>115</v>
      </c>
      <c r="B57" s="189"/>
      <c r="C57" s="153"/>
      <c r="D57" s="190">
        <f>SUM(D53:D56)</f>
        <v>14.349527795323844</v>
      </c>
      <c r="E57" s="190">
        <f>SUM(E53:E56)</f>
        <v>18.771091275842728</v>
      </c>
      <c r="F57" s="190">
        <f>SUM(F53:F56)</f>
        <v>24.483838194531945</v>
      </c>
      <c r="G57" s="190">
        <f>SUM(G53:G56)</f>
        <v>29.903339739847155</v>
      </c>
      <c r="H57" s="190">
        <f>SUM(H53:H56)</f>
        <v>35.098905089413648</v>
      </c>
      <c r="I57" s="191"/>
      <c r="J57" s="191"/>
      <c r="L57" s="185"/>
      <c r="M57" s="185"/>
      <c r="N57" s="185"/>
      <c r="O57" s="185"/>
      <c r="P57" s="185"/>
      <c r="Q57" s="186"/>
      <c r="R57" s="186"/>
    </row>
    <row r="58" spans="1:18" s="155" customFormat="1" ht="13.5" thickTop="1" x14ac:dyDescent="0.2">
      <c r="A58" s="192"/>
      <c r="B58" s="193"/>
      <c r="D58" s="194"/>
      <c r="E58" s="194"/>
      <c r="F58" s="194"/>
      <c r="G58" s="194"/>
      <c r="H58" s="194"/>
      <c r="I58" s="194"/>
      <c r="J58" s="194"/>
    </row>
    <row r="59" spans="1:18" s="155" customFormat="1" x14ac:dyDescent="0.2">
      <c r="A59" s="177"/>
      <c r="B59" s="177"/>
      <c r="C59" s="177"/>
      <c r="D59" s="195"/>
      <c r="E59" s="195"/>
      <c r="F59" s="195"/>
      <c r="G59" s="195"/>
      <c r="H59" s="195"/>
      <c r="I59" s="187"/>
      <c r="J59" s="187"/>
    </row>
    <row r="60" spans="1:18" s="150" customFormat="1" x14ac:dyDescent="0.2">
      <c r="C60" s="153"/>
    </row>
    <row r="61" spans="1:18" s="150" customFormat="1" x14ac:dyDescent="0.2">
      <c r="A61" s="196" t="s">
        <v>141</v>
      </c>
      <c r="C61" s="153"/>
    </row>
    <row r="62" spans="1:18" s="150" customFormat="1" x14ac:dyDescent="0.2">
      <c r="C62" s="153"/>
      <c r="D62" s="197">
        <v>2006</v>
      </c>
      <c r="E62" s="198">
        <v>2007</v>
      </c>
      <c r="F62" s="198">
        <v>2008</v>
      </c>
      <c r="G62" s="198">
        <v>2009</v>
      </c>
      <c r="H62" s="198">
        <v>2010</v>
      </c>
      <c r="I62" s="199"/>
      <c r="J62" s="199"/>
    </row>
    <row r="63" spans="1:18" s="150" customFormat="1" x14ac:dyDescent="0.2">
      <c r="A63" s="155" t="s">
        <v>16</v>
      </c>
      <c r="C63" s="153"/>
      <c r="D63" s="300">
        <f>'Data 2006-08'!$C$134</f>
        <v>2.5600000000000001E-2</v>
      </c>
      <c r="E63" s="300">
        <f>'Data 2006-08'!$C$134</f>
        <v>2.5600000000000001E-2</v>
      </c>
      <c r="F63" s="300">
        <f>'Data 2006-08'!$C$134</f>
        <v>2.5600000000000001E-2</v>
      </c>
      <c r="G63" s="300">
        <f>'Data 2006-08'!$C$134</f>
        <v>2.5600000000000001E-2</v>
      </c>
      <c r="H63" s="300">
        <f>'Data 2006-08'!$C$134</f>
        <v>2.5600000000000001E-2</v>
      </c>
      <c r="I63" s="200"/>
      <c r="J63" s="200"/>
    </row>
    <row r="64" spans="1:18" s="150" customFormat="1" x14ac:dyDescent="0.2">
      <c r="A64" s="155" t="s">
        <v>142</v>
      </c>
      <c r="D64" s="301">
        <f>'Data 2006-08'!$C$133</f>
        <v>0.6</v>
      </c>
      <c r="E64" s="301">
        <f>'Data 2006-08'!$C$133</f>
        <v>0.6</v>
      </c>
      <c r="F64" s="301">
        <f>'Data 2006-08'!$C$133</f>
        <v>0.6</v>
      </c>
      <c r="G64" s="301">
        <f>'Data 2006-08'!$C$133</f>
        <v>0.6</v>
      </c>
      <c r="H64" s="301">
        <f>'Data 2006-08'!$C$133</f>
        <v>0.6</v>
      </c>
      <c r="I64" s="202"/>
      <c r="J64" s="202"/>
    </row>
    <row r="65" spans="1:10" s="150" customFormat="1" x14ac:dyDescent="0.2">
      <c r="A65" s="155" t="s">
        <v>143</v>
      </c>
      <c r="D65" s="301">
        <f>'Data 2006-08'!$C$169</f>
        <v>0.3</v>
      </c>
      <c r="E65" s="301">
        <f>'Data 2006-08'!$C$169</f>
        <v>0.3</v>
      </c>
      <c r="F65" s="301">
        <f>'Data 2006-08'!$C$169</f>
        <v>0.3</v>
      </c>
      <c r="G65" s="301">
        <f>'Data 2006-08'!$C$169</f>
        <v>0.3</v>
      </c>
      <c r="H65" s="301">
        <f>'Data 2006-08'!$C$169</f>
        <v>0.3</v>
      </c>
      <c r="I65" s="201"/>
      <c r="J65" s="201"/>
    </row>
    <row r="66" spans="1:10" s="150" customFormat="1" x14ac:dyDescent="0.2">
      <c r="A66" s="155" t="s">
        <v>144</v>
      </c>
      <c r="D66" s="203">
        <f>SUM(D53:D55)</f>
        <v>14.349527795323844</v>
      </c>
      <c r="E66" s="203">
        <f>SUM(E53:E55)</f>
        <v>18.771091275842728</v>
      </c>
      <c r="F66" s="203">
        <f>SUM(F53:F55)</f>
        <v>24.483838194531945</v>
      </c>
      <c r="G66" s="203">
        <f>SUM(G53:G55)</f>
        <v>29.903339739847155</v>
      </c>
      <c r="H66" s="203">
        <f>SUM(H53:H55)</f>
        <v>35.098905089413648</v>
      </c>
      <c r="I66" s="203"/>
      <c r="J66" s="203"/>
    </row>
    <row r="67" spans="1:10" s="150" customFormat="1" x14ac:dyDescent="0.2">
      <c r="A67" s="150" t="s">
        <v>145</v>
      </c>
      <c r="D67" s="203">
        <f>D124/1000</f>
        <v>0</v>
      </c>
      <c r="E67" s="203">
        <f>E124/1000</f>
        <v>0</v>
      </c>
      <c r="F67" s="203">
        <f>F124/1000</f>
        <v>0</v>
      </c>
      <c r="G67" s="203">
        <f>G124/1000</f>
        <v>0</v>
      </c>
      <c r="H67" s="203">
        <f>H124/1000</f>
        <v>0</v>
      </c>
      <c r="I67" s="203"/>
      <c r="J67" s="203"/>
    </row>
    <row r="68" spans="1:10" s="150" customFormat="1" x14ac:dyDescent="0.2">
      <c r="A68" s="150" t="s">
        <v>146</v>
      </c>
      <c r="D68" s="204">
        <f>D114/1000</f>
        <v>13.083453789280183</v>
      </c>
      <c r="E68" s="204">
        <f>E114/1000</f>
        <v>13.818092750771758</v>
      </c>
      <c r="F68" s="204">
        <f>F114/1000</f>
        <v>14.527478741837017</v>
      </c>
      <c r="G68" s="204">
        <f>G114/1000</f>
        <v>14.869348110351286</v>
      </c>
      <c r="H68" s="204">
        <f>H114/1000</f>
        <v>15.195844708430029</v>
      </c>
      <c r="I68" s="204"/>
      <c r="J68" s="204"/>
    </row>
    <row r="69" spans="1:10" s="150" customFormat="1" x14ac:dyDescent="0.2">
      <c r="A69" s="155" t="s">
        <v>147</v>
      </c>
      <c r="D69" s="203">
        <f>D185/1000</f>
        <v>5.6691464642196623</v>
      </c>
      <c r="E69" s="203">
        <f>E185/1000</f>
        <v>23.510664289342856</v>
      </c>
      <c r="F69" s="203">
        <f>F185/1000</f>
        <v>49.328068634378319</v>
      </c>
      <c r="G69" s="203">
        <f>G185/1000</f>
        <v>74.944539173527531</v>
      </c>
      <c r="H69" s="203">
        <f>H185/1000</f>
        <v>97.000219609846567</v>
      </c>
      <c r="I69" s="203"/>
      <c r="J69" s="203"/>
    </row>
    <row r="70" spans="1:10" s="150" customFormat="1" x14ac:dyDescent="0.2">
      <c r="A70" s="155" t="str">
        <f>"Debt ("&amp;D64*100&amp;"% of RAB)"</f>
        <v>Debt (60% of RAB)</v>
      </c>
      <c r="D70" s="203">
        <f>D64*D69</f>
        <v>3.4014878785317975</v>
      </c>
      <c r="E70" s="203">
        <f>E64*E69</f>
        <v>14.106398573605713</v>
      </c>
      <c r="F70" s="203">
        <f>F64*F69</f>
        <v>29.596841180626988</v>
      </c>
      <c r="G70" s="203">
        <f>G64*G69</f>
        <v>44.966723504116516</v>
      </c>
      <c r="H70" s="203">
        <f>H64*H69</f>
        <v>58.20013176590794</v>
      </c>
      <c r="I70" s="203"/>
      <c r="J70" s="203"/>
    </row>
    <row r="71" spans="1:10" s="150" customFormat="1" x14ac:dyDescent="0.2">
      <c r="A71" s="150" t="s">
        <v>148</v>
      </c>
      <c r="D71" s="205">
        <f>(148.4/144.8)*(1+D63)</f>
        <v>1.0510983425414364</v>
      </c>
      <c r="E71" s="205">
        <f>D71*(1+E63)</f>
        <v>1.0780064601104973</v>
      </c>
      <c r="F71" s="205">
        <f>E71*(1+F63)</f>
        <v>1.1056034254893261</v>
      </c>
      <c r="G71" s="205">
        <f>F71*(1+G63)</f>
        <v>1.1339068731818529</v>
      </c>
      <c r="H71" s="205">
        <f>G71*(1+H63)</f>
        <v>1.1629348891353084</v>
      </c>
      <c r="I71" s="206"/>
      <c r="J71" s="206"/>
    </row>
    <row r="72" spans="1:10" s="150" customFormat="1" x14ac:dyDescent="0.2">
      <c r="D72" s="207"/>
      <c r="I72" s="155"/>
      <c r="J72" s="155"/>
    </row>
    <row r="73" spans="1:10" s="150" customFormat="1" x14ac:dyDescent="0.2">
      <c r="A73" s="150" t="s">
        <v>79</v>
      </c>
      <c r="D73" s="302">
        <f>'Data 2006-08'!C128</f>
        <v>2.64E-2</v>
      </c>
      <c r="I73" s="155"/>
      <c r="J73" s="155"/>
    </row>
    <row r="74" spans="1:10" s="150" customFormat="1" x14ac:dyDescent="0.2">
      <c r="A74" s="150" t="s">
        <v>149</v>
      </c>
      <c r="D74" s="303">
        <f>'Data 2006-08'!C129</f>
        <v>1.4250000000000001E-2</v>
      </c>
      <c r="I74" s="155"/>
      <c r="J74" s="155"/>
    </row>
    <row r="75" spans="1:10" s="150" customFormat="1" x14ac:dyDescent="0.2">
      <c r="A75" s="150" t="s">
        <v>84</v>
      </c>
      <c r="D75" s="208">
        <f>(1+SUM(D73:D74))*(1+D63)-1</f>
        <v>6.7290640000000179E-2</v>
      </c>
      <c r="I75" s="155"/>
      <c r="J75" s="155"/>
    </row>
    <row r="76" spans="1:10" s="150" customFormat="1" x14ac:dyDescent="0.2">
      <c r="A76" s="150" t="s">
        <v>17</v>
      </c>
      <c r="D76" s="304">
        <f>'Data 2006-08'!C132</f>
        <v>0.5</v>
      </c>
      <c r="I76" s="155"/>
      <c r="J76" s="155"/>
    </row>
    <row r="77" spans="1:10" s="150" customFormat="1" x14ac:dyDescent="0.2">
      <c r="I77" s="155"/>
      <c r="J77" s="155"/>
    </row>
    <row r="78" spans="1:10" s="150" customFormat="1" x14ac:dyDescent="0.2">
      <c r="A78" s="196" t="s">
        <v>150</v>
      </c>
      <c r="D78" s="197">
        <v>2006</v>
      </c>
      <c r="E78" s="198">
        <v>2007</v>
      </c>
      <c r="F78" s="198">
        <v>2008</v>
      </c>
      <c r="G78" s="198">
        <v>2009</v>
      </c>
      <c r="H78" s="198">
        <v>2010</v>
      </c>
      <c r="I78" s="199"/>
      <c r="J78" s="199"/>
    </row>
    <row r="79" spans="1:10" s="150" customFormat="1" x14ac:dyDescent="0.2">
      <c r="A79" s="150" t="s">
        <v>151</v>
      </c>
      <c r="D79" s="209">
        <f t="shared" ref="D79:H81" si="3">D66*D$71</f>
        <v>15.082764881917164</v>
      </c>
      <c r="E79" s="209">
        <f t="shared" si="3"/>
        <v>20.235357658682258</v>
      </c>
      <c r="F79" s="209">
        <f t="shared" si="3"/>
        <v>27.069415377000915</v>
      </c>
      <c r="G79" s="209">
        <f t="shared" si="3"/>
        <v>33.907602462104727</v>
      </c>
      <c r="H79" s="209">
        <f t="shared" si="3"/>
        <v>40.81774129892797</v>
      </c>
      <c r="I79" s="204"/>
      <c r="J79" s="204"/>
    </row>
    <row r="80" spans="1:10" s="150" customFormat="1" x14ac:dyDescent="0.2">
      <c r="A80" s="150" t="s">
        <v>4</v>
      </c>
      <c r="D80" s="204">
        <f t="shared" si="3"/>
        <v>0</v>
      </c>
      <c r="E80" s="204">
        <f t="shared" si="3"/>
        <v>0</v>
      </c>
      <c r="F80" s="204">
        <f t="shared" si="3"/>
        <v>0</v>
      </c>
      <c r="G80" s="204">
        <f t="shared" si="3"/>
        <v>0</v>
      </c>
      <c r="H80" s="204">
        <f t="shared" si="3"/>
        <v>0</v>
      </c>
      <c r="I80" s="204"/>
      <c r="J80" s="204"/>
    </row>
    <row r="81" spans="1:10" s="150" customFormat="1" x14ac:dyDescent="0.2">
      <c r="A81" s="150" t="s">
        <v>127</v>
      </c>
      <c r="D81" s="204">
        <f t="shared" si="3"/>
        <v>13.751996592629876</v>
      </c>
      <c r="E81" s="204">
        <f t="shared" si="3"/>
        <v>14.895993251737986</v>
      </c>
      <c r="F81" s="204">
        <f t="shared" si="3"/>
        <v>16.061630260698372</v>
      </c>
      <c r="G81" s="204">
        <f t="shared" si="3"/>
        <v>16.860456022060919</v>
      </c>
      <c r="H81" s="204">
        <f t="shared" si="3"/>
        <v>17.671777981315437</v>
      </c>
      <c r="I81" s="204"/>
      <c r="J81" s="204"/>
    </row>
    <row r="82" spans="1:10" s="150" customFormat="1" x14ac:dyDescent="0.2">
      <c r="A82" s="150" t="s">
        <v>128</v>
      </c>
      <c r="D82" s="204">
        <f>D307/1000</f>
        <v>2.427504867045128</v>
      </c>
      <c r="E82" s="204">
        <f>E307/1000</f>
        <v>9.5127496171481063</v>
      </c>
      <c r="F82" s="204">
        <f>F307/1000</f>
        <v>18.546220794712248</v>
      </c>
      <c r="G82" s="204">
        <f>G307/1000</f>
        <v>25.90640330472247</v>
      </c>
      <c r="H82" s="204">
        <f>H307/1000</f>
        <v>30.912540838899961</v>
      </c>
      <c r="I82" s="204"/>
      <c r="J82" s="204"/>
    </row>
    <row r="83" spans="1:10" s="150" customFormat="1" x14ac:dyDescent="0.2">
      <c r="A83" s="150" t="s">
        <v>129</v>
      </c>
      <c r="D83" s="204">
        <f>D70*D71*$D$75</f>
        <v>0.24058410886664158</v>
      </c>
      <c r="E83" s="204">
        <f>E70*E71*$D$75</f>
        <v>1.0232745501073999</v>
      </c>
      <c r="F83" s="204">
        <f>F70*F71*$D$75</f>
        <v>2.2019091518527589</v>
      </c>
      <c r="G83" s="204">
        <f>G70*G71*$D$75</f>
        <v>3.4310203233221097</v>
      </c>
      <c r="H83" s="204">
        <f>H70*H71*$D$75</f>
        <v>4.5544299500445735</v>
      </c>
      <c r="I83" s="204"/>
      <c r="J83" s="204"/>
    </row>
    <row r="84" spans="1:10" s="150" customFormat="1" x14ac:dyDescent="0.2">
      <c r="A84" s="150" t="s">
        <v>130</v>
      </c>
      <c r="D84" s="204">
        <v>0</v>
      </c>
      <c r="E84" s="204">
        <f>IF(D85&lt;0,-D85,0)</f>
        <v>1.33732068662448</v>
      </c>
      <c r="F84" s="204">
        <f>IF(E85&lt;0,-E85,0)</f>
        <v>6.5339804469357148</v>
      </c>
      <c r="G84" s="204">
        <f>IF(F85&lt;0,-F85,0)</f>
        <v>16.27432527719818</v>
      </c>
      <c r="H84" s="204">
        <f>IF(G85&lt;0,-G85,0)</f>
        <v>28.564602465198952</v>
      </c>
      <c r="I84" s="204"/>
      <c r="J84" s="204"/>
    </row>
    <row r="85" spans="1:10" s="150" customFormat="1" x14ac:dyDescent="0.2">
      <c r="A85" s="150" t="s">
        <v>152</v>
      </c>
      <c r="D85" s="204">
        <f>SUM(D79:D80)-SUM(D81:D84)</f>
        <v>-1.33732068662448</v>
      </c>
      <c r="E85" s="204">
        <f>SUM(E79:E80)-SUM(E81:E84)</f>
        <v>-6.5339804469357148</v>
      </c>
      <c r="F85" s="204">
        <f>SUM(F79:F80)-SUM(F81:F84)</f>
        <v>-16.27432527719818</v>
      </c>
      <c r="G85" s="204">
        <f>SUM(G79:G80)-SUM(G81:G84)</f>
        <v>-28.564602465198952</v>
      </c>
      <c r="H85" s="204">
        <f>SUM(H79:H80)-SUM(H81:H84)</f>
        <v>-40.885609936530955</v>
      </c>
      <c r="I85" s="204"/>
      <c r="J85" s="204"/>
    </row>
    <row r="86" spans="1:10" s="150" customFormat="1" x14ac:dyDescent="0.2">
      <c r="A86" s="150" t="s">
        <v>153</v>
      </c>
      <c r="D86" s="204">
        <f>IF(D85&lt;0,0,D85*D65/(1-D65*(1-$D$76)))</f>
        <v>0</v>
      </c>
      <c r="E86" s="204">
        <f>IF(E85&lt;0,0,E85*E65/(1-E65*(1-$D$76)))</f>
        <v>0</v>
      </c>
      <c r="F86" s="204">
        <f>IF(F85&lt;0,0,F85*F65/(1-F65*(1-$D$76)))</f>
        <v>0</v>
      </c>
      <c r="G86" s="204">
        <f>IF(G85&lt;0,0,G85*G65/(1-G65*(1-$D$76)))</f>
        <v>0</v>
      </c>
      <c r="H86" s="204">
        <f>IF(H85&lt;0,0,H85*H65/(1-H65*(1-$D$76)))</f>
        <v>0</v>
      </c>
      <c r="I86" s="204"/>
      <c r="J86" s="204"/>
    </row>
    <row r="87" spans="1:10" s="150" customFormat="1" x14ac:dyDescent="0.2">
      <c r="A87" s="150" t="s">
        <v>133</v>
      </c>
      <c r="D87" s="210">
        <f>D86*$D$76</f>
        <v>0</v>
      </c>
      <c r="E87" s="210">
        <f>E86*$D$76</f>
        <v>0</v>
      </c>
      <c r="F87" s="210">
        <f>F86*$D$76</f>
        <v>0</v>
      </c>
      <c r="G87" s="210">
        <f>G86*$D$76</f>
        <v>0</v>
      </c>
      <c r="H87" s="210">
        <f>H86*$D$76</f>
        <v>0</v>
      </c>
      <c r="I87" s="204"/>
      <c r="J87" s="204"/>
    </row>
    <row r="88" spans="1:10" s="150" customFormat="1" x14ac:dyDescent="0.2">
      <c r="A88" s="150" t="s">
        <v>154</v>
      </c>
      <c r="D88" s="211">
        <f>D86-D87</f>
        <v>0</v>
      </c>
      <c r="E88" s="211">
        <f>E86-E87</f>
        <v>0</v>
      </c>
      <c r="F88" s="211">
        <f>F86-F87</f>
        <v>0</v>
      </c>
      <c r="G88" s="211">
        <f>G86-G87</f>
        <v>0</v>
      </c>
      <c r="H88" s="211">
        <f>H86-H87</f>
        <v>0</v>
      </c>
      <c r="I88" s="212"/>
      <c r="J88" s="212"/>
    </row>
    <row r="89" spans="1:10" s="150" customFormat="1" x14ac:dyDescent="0.2">
      <c r="I89" s="155"/>
      <c r="J89" s="155"/>
    </row>
    <row r="90" spans="1:10" s="150" customFormat="1" x14ac:dyDescent="0.2">
      <c r="A90" s="196" t="s">
        <v>114</v>
      </c>
      <c r="D90" s="197">
        <v>2006</v>
      </c>
      <c r="E90" s="198">
        <v>2007</v>
      </c>
      <c r="F90" s="198">
        <v>2008</v>
      </c>
      <c r="G90" s="198">
        <v>2009</v>
      </c>
      <c r="H90" s="198">
        <v>2010</v>
      </c>
      <c r="I90" s="199"/>
      <c r="J90" s="199"/>
    </row>
    <row r="91" spans="1:10" s="150" customFormat="1" x14ac:dyDescent="0.2">
      <c r="A91" s="150" t="s">
        <v>153</v>
      </c>
      <c r="D91" s="209">
        <f t="shared" ref="D91:H92" si="4">D86/D$71</f>
        <v>0</v>
      </c>
      <c r="E91" s="209">
        <f t="shared" si="4"/>
        <v>0</v>
      </c>
      <c r="F91" s="209">
        <f t="shared" si="4"/>
        <v>0</v>
      </c>
      <c r="G91" s="209">
        <f t="shared" si="4"/>
        <v>0</v>
      </c>
      <c r="H91" s="209">
        <f t="shared" si="4"/>
        <v>0</v>
      </c>
      <c r="I91" s="204"/>
      <c r="J91" s="204"/>
    </row>
    <row r="92" spans="1:10" s="150" customFormat="1" x14ac:dyDescent="0.2">
      <c r="A92" s="150" t="s">
        <v>133</v>
      </c>
      <c r="D92" s="210">
        <f t="shared" si="4"/>
        <v>0</v>
      </c>
      <c r="E92" s="210">
        <f t="shared" si="4"/>
        <v>0</v>
      </c>
      <c r="F92" s="210">
        <f t="shared" si="4"/>
        <v>0</v>
      </c>
      <c r="G92" s="210">
        <f t="shared" si="4"/>
        <v>0</v>
      </c>
      <c r="H92" s="210">
        <f t="shared" si="4"/>
        <v>0</v>
      </c>
      <c r="I92" s="204"/>
      <c r="J92" s="204"/>
    </row>
    <row r="93" spans="1:10" s="150" customFormat="1" x14ac:dyDescent="0.2">
      <c r="A93" s="150" t="s">
        <v>155</v>
      </c>
      <c r="D93" s="211">
        <f>D91-D92</f>
        <v>0</v>
      </c>
      <c r="E93" s="211">
        <f>E91-E92</f>
        <v>0</v>
      </c>
      <c r="F93" s="211">
        <f>F91-F92</f>
        <v>0</v>
      </c>
      <c r="G93" s="211">
        <f>G91-G92</f>
        <v>0</v>
      </c>
      <c r="H93" s="211">
        <f>H91-H92</f>
        <v>0</v>
      </c>
      <c r="I93" s="212"/>
      <c r="J93" s="212"/>
    </row>
    <row r="94" spans="1:10" s="150" customFormat="1" x14ac:dyDescent="0.2">
      <c r="D94" s="207"/>
      <c r="E94" s="207"/>
      <c r="F94" s="207"/>
      <c r="G94" s="207"/>
      <c r="H94" s="207"/>
      <c r="I94" s="206"/>
      <c r="J94" s="206"/>
    </row>
    <row r="95" spans="1:10" s="150" customFormat="1" x14ac:dyDescent="0.2">
      <c r="A95" s="150" t="s">
        <v>156</v>
      </c>
      <c r="D95" s="213">
        <f>D93/D69</f>
        <v>0</v>
      </c>
      <c r="E95" s="213">
        <f>E93/E69</f>
        <v>0</v>
      </c>
      <c r="F95" s="213">
        <f>F93/F69</f>
        <v>0</v>
      </c>
      <c r="G95" s="213">
        <f>G93/G69</f>
        <v>0</v>
      </c>
      <c r="H95" s="213">
        <f>H93/H69</f>
        <v>0</v>
      </c>
      <c r="I95" s="159"/>
      <c r="J95" s="159"/>
    </row>
    <row r="96" spans="1:10" x14ac:dyDescent="0.2">
      <c r="I96" s="155"/>
      <c r="J96" s="155"/>
    </row>
    <row r="97" spans="1:10" x14ac:dyDescent="0.2">
      <c r="I97" s="155"/>
      <c r="J97" s="155"/>
    </row>
    <row r="98" spans="1:10" x14ac:dyDescent="0.2">
      <c r="A98" s="176"/>
      <c r="B98" s="176"/>
      <c r="C98" s="176"/>
      <c r="D98" s="176"/>
      <c r="E98" s="176"/>
      <c r="F98" s="176"/>
      <c r="G98" s="176"/>
      <c r="H98" s="176"/>
      <c r="I98" s="155"/>
      <c r="J98" s="155"/>
    </row>
    <row r="99" spans="1:10" x14ac:dyDescent="0.2">
      <c r="A99" s="131"/>
      <c r="I99" s="155"/>
      <c r="J99" s="155"/>
    </row>
    <row r="100" spans="1:10" x14ac:dyDescent="0.2">
      <c r="A100" s="160" t="s">
        <v>157</v>
      </c>
      <c r="I100" s="155"/>
      <c r="J100" s="155"/>
    </row>
    <row r="101" spans="1:10" x14ac:dyDescent="0.2">
      <c r="A101" s="128" t="s">
        <v>158</v>
      </c>
      <c r="B101" s="214"/>
      <c r="C101" s="215"/>
      <c r="D101" s="132">
        <v>2006</v>
      </c>
      <c r="E101" s="132">
        <v>2007</v>
      </c>
      <c r="F101" s="132">
        <v>2008</v>
      </c>
      <c r="G101" s="132">
        <v>2009</v>
      </c>
      <c r="H101" s="132">
        <v>2010</v>
      </c>
      <c r="I101" s="214"/>
      <c r="J101" s="214"/>
    </row>
    <row r="102" spans="1:10" x14ac:dyDescent="0.2">
      <c r="A102" s="131"/>
      <c r="B102" s="155"/>
      <c r="C102" s="155"/>
      <c r="I102" s="155"/>
      <c r="J102" s="155"/>
    </row>
    <row r="103" spans="1:10" x14ac:dyDescent="0.2">
      <c r="A103" s="126" t="s">
        <v>159</v>
      </c>
      <c r="B103" s="155"/>
      <c r="C103" s="155"/>
      <c r="I103" s="155"/>
      <c r="J103" s="155"/>
    </row>
    <row r="104" spans="1:10" x14ac:dyDescent="0.2">
      <c r="A104" s="153" t="s">
        <v>160</v>
      </c>
      <c r="B104" s="216"/>
      <c r="C104" s="217"/>
      <c r="D104" s="218">
        <f>D349*J349/1000</f>
        <v>1307.3687199999999</v>
      </c>
      <c r="E104" s="218">
        <f>E349*K349/1000</f>
        <v>1318.9070400000001</v>
      </c>
      <c r="F104" s="218">
        <f>F349*L349/1000</f>
        <v>1296.3213600000001</v>
      </c>
      <c r="G104" s="218">
        <f>G349*M349/1000</f>
        <v>1270.9768800000002</v>
      </c>
      <c r="H104" s="218">
        <f>H349*N349/1000</f>
        <v>1243.69136</v>
      </c>
      <c r="I104" s="219"/>
      <c r="J104" s="219"/>
    </row>
    <row r="105" spans="1:10" x14ac:dyDescent="0.2">
      <c r="A105" s="153" t="s">
        <v>90</v>
      </c>
      <c r="B105" s="218"/>
      <c r="C105" s="217"/>
      <c r="D105" s="218">
        <f>D351/1000</f>
        <v>420</v>
      </c>
      <c r="E105" s="218">
        <f>E351/1000</f>
        <v>420</v>
      </c>
      <c r="F105" s="218">
        <f>F351/1000</f>
        <v>420</v>
      </c>
      <c r="G105" s="218">
        <f>G351/1000</f>
        <v>420</v>
      </c>
      <c r="H105" s="218">
        <f>H351/1000</f>
        <v>420</v>
      </c>
      <c r="I105" s="218"/>
      <c r="J105" s="218"/>
    </row>
    <row r="106" spans="1:10" x14ac:dyDescent="0.2">
      <c r="A106" s="220" t="s">
        <v>45</v>
      </c>
      <c r="B106" s="218"/>
      <c r="C106" s="217"/>
      <c r="D106" s="221">
        <f>SUM(D104:D105)</f>
        <v>1727.3687199999999</v>
      </c>
      <c r="E106" s="221">
        <f>SUM(E104:E105)</f>
        <v>1738.9070400000001</v>
      </c>
      <c r="F106" s="221">
        <f>SUM(F104:F105)</f>
        <v>1716.3213600000001</v>
      </c>
      <c r="G106" s="221">
        <f>SUM(G104:G105)</f>
        <v>1690.9768800000002</v>
      </c>
      <c r="H106" s="221">
        <f>SUM(H104:H105)</f>
        <v>1663.69136</v>
      </c>
      <c r="I106" s="218"/>
      <c r="J106" s="218"/>
    </row>
    <row r="107" spans="1:10" x14ac:dyDescent="0.2">
      <c r="A107" s="131"/>
      <c r="B107" s="222"/>
      <c r="C107" s="217"/>
      <c r="D107" s="129"/>
      <c r="E107" s="129"/>
      <c r="F107" s="129"/>
      <c r="G107" s="129"/>
      <c r="H107" s="129"/>
      <c r="I107" s="218"/>
      <c r="J107" s="218"/>
    </row>
    <row r="108" spans="1:10" x14ac:dyDescent="0.2">
      <c r="A108" s="223" t="s">
        <v>161</v>
      </c>
      <c r="B108" s="224"/>
      <c r="C108" s="217"/>
      <c r="D108" s="225"/>
      <c r="E108" s="129"/>
      <c r="F108" s="129"/>
      <c r="G108" s="129"/>
      <c r="H108" s="129"/>
      <c r="I108" s="218"/>
      <c r="J108" s="218"/>
    </row>
    <row r="109" spans="1:10" x14ac:dyDescent="0.2">
      <c r="A109" t="s">
        <v>24</v>
      </c>
      <c r="B109" s="218"/>
      <c r="C109" s="217"/>
      <c r="D109" s="218">
        <f>(((D365*12+D367)*J370+(D365*4+D367)*J371)+((D366*12+D368)*J372+(D366*4+D368)*J373))/1000</f>
        <v>9300.4678000000004</v>
      </c>
      <c r="E109" s="218">
        <f>(((E365*12+E367)*K370+(E365*4+E367)*K371)+((E366*12+E368)*K372+(E366*4+E368)*K373))/1000</f>
        <v>9700.7270000000008</v>
      </c>
      <c r="F109" s="218">
        <f>(((F365*12+F367)*L370+(F365*4+F367)*L371)+((F366*12+F368)*L372+(F366*4+F368)*L373))/1000</f>
        <v>10052.628000000001</v>
      </c>
      <c r="G109" s="218">
        <f>(((G365*12+G367)*M370+(G365*4+G367)*M371)+((G366*12+G368)*M372+(G366*4+G368)*M373))/1000</f>
        <v>10385.349900000001</v>
      </c>
      <c r="H109" s="218">
        <f>(((H365*12+H367)*N370+(H365*4+H367)*N371)+((H366*12+H368)*N372+(H366*4+H368)*N373))/1000</f>
        <v>10707.721599999999</v>
      </c>
      <c r="I109" s="219"/>
      <c r="J109" s="219"/>
    </row>
    <row r="110" spans="1:10" x14ac:dyDescent="0.2">
      <c r="A110" s="226" t="s">
        <v>162</v>
      </c>
      <c r="B110" s="224"/>
      <c r="C110" s="217"/>
      <c r="D110" s="218">
        <f>SUMPRODUCT(D356:D362,J356:J362)/1000</f>
        <v>106.3118563265306</v>
      </c>
      <c r="E110" s="218">
        <f>SUMPRODUCT(E356:E362,K356:K362)/1000</f>
        <v>402.88925632653059</v>
      </c>
      <c r="F110" s="218">
        <f>SUMPRODUCT(F356:F362,L356:L362)/1000</f>
        <v>756.3420163265306</v>
      </c>
      <c r="G110" s="218">
        <f>SUMPRODUCT(G356:G362,M356:M362)/1000</f>
        <v>763.85741632653048</v>
      </c>
      <c r="H110" s="218">
        <f>SUMPRODUCT(H356:H362,N356:N362)/1000</f>
        <v>767.92781632653055</v>
      </c>
      <c r="I110" s="219"/>
      <c r="J110" s="219"/>
    </row>
    <row r="111" spans="1:10" x14ac:dyDescent="0.2">
      <c r="A111" s="155" t="s">
        <v>54</v>
      </c>
      <c r="B111" s="224"/>
      <c r="C111" s="217"/>
      <c r="D111" s="218">
        <f>D375/1000</f>
        <v>1949.3054129536522</v>
      </c>
      <c r="E111" s="218">
        <f>E375/1000</f>
        <v>1975.5694544452247</v>
      </c>
      <c r="F111" s="218">
        <f>F375/1000</f>
        <v>2002.1873655104857</v>
      </c>
      <c r="G111" s="218">
        <f>G375/1000</f>
        <v>2029.1639140247537</v>
      </c>
      <c r="H111" s="218">
        <f>H375/1000</f>
        <v>2056.5039321034983</v>
      </c>
      <c r="I111" s="219"/>
      <c r="J111" s="219"/>
    </row>
    <row r="112" spans="1:10" x14ac:dyDescent="0.2">
      <c r="A112" s="227" t="s">
        <v>45</v>
      </c>
      <c r="B112" s="218"/>
      <c r="C112" s="217"/>
      <c r="D112" s="221">
        <f>SUM(D109:D111)</f>
        <v>11356.085069280183</v>
      </c>
      <c r="E112" s="221">
        <f>SUM(E109:E111)</f>
        <v>12079.185710771757</v>
      </c>
      <c r="F112" s="221">
        <f>SUM(F109:F111)</f>
        <v>12811.157381837018</v>
      </c>
      <c r="G112" s="221">
        <f>SUM(G109:G111)</f>
        <v>13178.371230351286</v>
      </c>
      <c r="H112" s="221">
        <f>SUM(H109:H111)</f>
        <v>13532.153348430027</v>
      </c>
      <c r="I112" s="218"/>
      <c r="J112" s="218"/>
    </row>
    <row r="113" spans="1:10" x14ac:dyDescent="0.2">
      <c r="B113" s="218"/>
      <c r="C113" s="217"/>
      <c r="D113" s="129"/>
      <c r="E113" s="129"/>
      <c r="F113" s="129"/>
      <c r="G113" s="129"/>
      <c r="H113" s="129"/>
      <c r="I113" s="218"/>
      <c r="J113" s="218"/>
    </row>
    <row r="114" spans="1:10" x14ac:dyDescent="0.2">
      <c r="A114" s="153" t="s">
        <v>163</v>
      </c>
      <c r="B114" s="224"/>
      <c r="C114" s="217"/>
      <c r="D114" s="221">
        <f>SUM(D106,D112)</f>
        <v>13083.453789280184</v>
      </c>
      <c r="E114" s="221">
        <f>SUM(E106,E112)</f>
        <v>13818.092750771757</v>
      </c>
      <c r="F114" s="221">
        <f>SUM(F106,F112)</f>
        <v>14527.478741837018</v>
      </c>
      <c r="G114" s="221">
        <f>SUM(G106,G112)</f>
        <v>14869.348110351286</v>
      </c>
      <c r="H114" s="221">
        <f>SUM(H106,H112)</f>
        <v>15195.844708430028</v>
      </c>
      <c r="I114" s="218"/>
      <c r="J114" s="218"/>
    </row>
    <row r="115" spans="1:10" x14ac:dyDescent="0.2">
      <c r="A115" s="131"/>
      <c r="B115" s="222"/>
      <c r="C115" s="217"/>
      <c r="D115" s="216"/>
      <c r="E115" s="216"/>
      <c r="F115" s="216"/>
      <c r="G115" s="216"/>
      <c r="H115" s="216"/>
      <c r="I115" s="218"/>
      <c r="J115" s="218"/>
    </row>
    <row r="116" spans="1:10" x14ac:dyDescent="0.2">
      <c r="A116" s="228"/>
      <c r="B116" s="176"/>
      <c r="C116" s="176"/>
      <c r="D116" s="176"/>
      <c r="E116" s="176"/>
      <c r="F116" s="176"/>
      <c r="G116" s="176"/>
      <c r="H116" s="176"/>
      <c r="I116" s="155"/>
      <c r="J116" s="155"/>
    </row>
    <row r="117" spans="1:10" x14ac:dyDescent="0.2">
      <c r="I117" s="155"/>
      <c r="J117" s="155"/>
    </row>
    <row r="118" spans="1:10" x14ac:dyDescent="0.2">
      <c r="A118" s="131"/>
      <c r="B118" s="196"/>
      <c r="C118" s="196"/>
      <c r="D118" s="129"/>
      <c r="E118" s="129"/>
      <c r="F118" s="129"/>
      <c r="G118" s="129"/>
      <c r="H118" s="129"/>
      <c r="I118" s="218"/>
      <c r="J118" s="218"/>
    </row>
    <row r="119" spans="1:10" x14ac:dyDescent="0.2">
      <c r="A119" s="160" t="s">
        <v>164</v>
      </c>
      <c r="I119" s="155"/>
      <c r="J119" s="155"/>
    </row>
    <row r="120" spans="1:10" x14ac:dyDescent="0.2">
      <c r="A120" s="128" t="s">
        <v>158</v>
      </c>
      <c r="B120" s="214"/>
      <c r="D120" s="132">
        <v>2006</v>
      </c>
      <c r="E120" s="132">
        <v>2007</v>
      </c>
      <c r="F120" s="132">
        <v>2008</v>
      </c>
      <c r="G120" s="132">
        <v>2009</v>
      </c>
      <c r="H120" s="132">
        <v>2010</v>
      </c>
      <c r="I120" s="214"/>
      <c r="J120" s="214"/>
    </row>
    <row r="121" spans="1:10" x14ac:dyDescent="0.2">
      <c r="A121" s="153"/>
      <c r="B121" s="222"/>
      <c r="D121" s="128"/>
      <c r="E121" s="128"/>
      <c r="F121" s="128"/>
      <c r="G121" s="128"/>
      <c r="H121" s="128"/>
      <c r="I121" s="155"/>
      <c r="J121" s="155"/>
    </row>
    <row r="122" spans="1:10" x14ac:dyDescent="0.2">
      <c r="A122" s="153" t="s">
        <v>165</v>
      </c>
      <c r="B122" s="229"/>
      <c r="D122" s="218">
        <f>(D323*J323+D331*J331)/1000</f>
        <v>0</v>
      </c>
      <c r="E122" s="218">
        <f>(E323*K323+E331*K331)/1000</f>
        <v>0</v>
      </c>
      <c r="F122" s="218">
        <f>(F323*L323+F331*L331)/1000</f>
        <v>0</v>
      </c>
      <c r="G122" s="218">
        <f>(G323*M323+G331*M331)/1000</f>
        <v>0</v>
      </c>
      <c r="H122" s="218">
        <f>(H323*N323+H331*N331)/1000</f>
        <v>0</v>
      </c>
      <c r="I122" s="219"/>
      <c r="J122" s="219"/>
    </row>
    <row r="123" spans="1:10" x14ac:dyDescent="0.2">
      <c r="A123" s="153" t="s">
        <v>166</v>
      </c>
      <c r="B123" s="229"/>
      <c r="D123" s="218">
        <f>(SUMPRODUCT(D325:D328,J325:J328)+SUMPRODUCT(D333:D337,J333:J337))/1000</f>
        <v>5907.8872930940261</v>
      </c>
      <c r="E123" s="218">
        <f>(SUMPRODUCT(E325:E328,K325:K328)+SUMPRODUCT(E333:E337,K333:K337))/1000</f>
        <v>21767.612053806795</v>
      </c>
      <c r="F123" s="218">
        <f>(SUMPRODUCT(F325:F328,L325:L328)+SUMPRODUCT(F333:F337,L333:L337))/1000</f>
        <v>33123.069371530488</v>
      </c>
      <c r="G123" s="218">
        <f>(SUMPRODUCT(G325:G328,M325:M328)+SUMPRODUCT(G333:G337,M333:M337))/1000</f>
        <v>33334.13892829229</v>
      </c>
      <c r="H123" s="218">
        <f>(SUMPRODUCT(H325:H328,N325:N328)+SUMPRODUCT(H333:H337,N333:N337))/1000</f>
        <v>33117.53318660619</v>
      </c>
      <c r="I123" s="219"/>
      <c r="J123" s="219"/>
    </row>
    <row r="124" spans="1:10" x14ac:dyDescent="0.2">
      <c r="A124" s="153" t="s">
        <v>4</v>
      </c>
      <c r="B124" s="230"/>
      <c r="D124" s="525">
        <v>0</v>
      </c>
      <c r="E124" s="525">
        <v>0</v>
      </c>
      <c r="F124" s="525">
        <v>0</v>
      </c>
      <c r="G124" s="525">
        <v>0</v>
      </c>
      <c r="H124" s="525">
        <v>0</v>
      </c>
      <c r="I124" s="219"/>
      <c r="J124" s="219"/>
    </row>
    <row r="125" spans="1:10" x14ac:dyDescent="0.2">
      <c r="A125" s="227" t="s">
        <v>167</v>
      </c>
      <c r="B125" s="231"/>
      <c r="D125" s="221">
        <f>D122+D123-D124</f>
        <v>5907.8872930940261</v>
      </c>
      <c r="E125" s="221">
        <f>E122+E123-E124</f>
        <v>21767.612053806795</v>
      </c>
      <c r="F125" s="221">
        <f>F122+F123-F124</f>
        <v>33123.069371530488</v>
      </c>
      <c r="G125" s="221">
        <f>G122+G123-G124</f>
        <v>33334.13892829229</v>
      </c>
      <c r="H125" s="221">
        <f>H122+H123-H124</f>
        <v>33117.53318660619</v>
      </c>
      <c r="I125" s="218"/>
      <c r="J125" s="218"/>
    </row>
    <row r="126" spans="1:10" x14ac:dyDescent="0.2">
      <c r="A126" s="153"/>
      <c r="B126" s="230"/>
      <c r="D126" s="218"/>
      <c r="E126" s="218"/>
      <c r="F126" s="218"/>
      <c r="G126" s="218"/>
      <c r="H126" s="218"/>
      <c r="I126" s="218"/>
      <c r="J126" s="218"/>
    </row>
    <row r="127" spans="1:10" x14ac:dyDescent="0.2">
      <c r="A127" s="153" t="s">
        <v>90</v>
      </c>
      <c r="B127" s="229"/>
      <c r="D127" s="218">
        <f>D341/1000</f>
        <v>5730</v>
      </c>
      <c r="E127" s="218">
        <f>E341/1000</f>
        <v>5000</v>
      </c>
      <c r="F127" s="218">
        <f>F341/1000</f>
        <v>500</v>
      </c>
      <c r="G127" s="218">
        <f>G341/1000</f>
        <v>500</v>
      </c>
      <c r="H127" s="218">
        <f>H341/1000</f>
        <v>500</v>
      </c>
      <c r="I127" s="218"/>
      <c r="J127" s="218"/>
    </row>
    <row r="128" spans="1:10" x14ac:dyDescent="0.2">
      <c r="A128" s="155" t="s">
        <v>168</v>
      </c>
      <c r="B128" s="229"/>
      <c r="D128" s="218">
        <f>SUM(D339,D343)/1000</f>
        <v>632</v>
      </c>
      <c r="E128" s="218">
        <f>SUM(E339,E343)/1000</f>
        <v>1143</v>
      </c>
      <c r="F128" s="218">
        <f>SUM(F339,F343)/1000</f>
        <v>713</v>
      </c>
      <c r="G128" s="218">
        <f>SUM(G339,G343)/1000</f>
        <v>721</v>
      </c>
      <c r="H128" s="218">
        <f>SUM(H339,H343)/1000</f>
        <v>731</v>
      </c>
      <c r="I128" s="219"/>
      <c r="J128" s="219"/>
    </row>
    <row r="129" spans="1:10" x14ac:dyDescent="0.2">
      <c r="A129" s="153"/>
      <c r="B129" s="155"/>
      <c r="D129" s="232"/>
      <c r="E129" s="232"/>
      <c r="F129" s="232"/>
      <c r="G129" s="232"/>
      <c r="H129" s="232"/>
      <c r="I129" s="218"/>
      <c r="J129" s="218"/>
    </row>
    <row r="130" spans="1:10" x14ac:dyDescent="0.2">
      <c r="A130" s="153" t="s">
        <v>169</v>
      </c>
      <c r="B130" s="224"/>
      <c r="D130" s="221">
        <f>SUM(D125:D128)</f>
        <v>12269.887293094027</v>
      </c>
      <c r="E130" s="221">
        <f>SUM(E125:E128)</f>
        <v>27910.612053806795</v>
      </c>
      <c r="F130" s="221">
        <f>SUM(F125:F128)</f>
        <v>34336.069371530488</v>
      </c>
      <c r="G130" s="221">
        <f>SUM(G125:G128)</f>
        <v>34555.13892829229</v>
      </c>
      <c r="H130" s="221">
        <f>SUM(H125:H128)</f>
        <v>34348.53318660619</v>
      </c>
      <c r="I130" s="218"/>
      <c r="J130" s="218"/>
    </row>
    <row r="131" spans="1:10" x14ac:dyDescent="0.2">
      <c r="B131" s="222"/>
      <c r="D131" s="216"/>
      <c r="E131" s="216"/>
      <c r="F131" s="216"/>
      <c r="G131" s="216"/>
      <c r="H131" s="216"/>
      <c r="I131" s="155"/>
      <c r="J131" s="155"/>
    </row>
    <row r="132" spans="1:10" x14ac:dyDescent="0.2">
      <c r="A132" s="228"/>
      <c r="B132" s="176"/>
      <c r="C132" s="176"/>
      <c r="D132" s="176"/>
      <c r="E132" s="176"/>
      <c r="F132" s="176"/>
      <c r="G132" s="176"/>
      <c r="H132" s="176"/>
      <c r="I132" s="155"/>
      <c r="J132" s="155"/>
    </row>
    <row r="133" spans="1:10" x14ac:dyDescent="0.2">
      <c r="A133" s="131"/>
      <c r="I133" s="155"/>
      <c r="J133" s="155"/>
    </row>
    <row r="134" spans="1:10" x14ac:dyDescent="0.2">
      <c r="A134" s="131"/>
      <c r="I134" s="155"/>
      <c r="J134" s="155"/>
    </row>
    <row r="135" spans="1:10" x14ac:dyDescent="0.2">
      <c r="A135" s="233" t="s">
        <v>170</v>
      </c>
      <c r="B135" s="150"/>
      <c r="C135" s="150"/>
      <c r="D135" s="150"/>
      <c r="I135" s="155"/>
      <c r="J135" s="155"/>
    </row>
    <row r="136" spans="1:10" x14ac:dyDescent="0.2">
      <c r="A136" s="128" t="s">
        <v>158</v>
      </c>
      <c r="B136" s="128"/>
      <c r="C136" s="128"/>
      <c r="D136" s="132">
        <v>2006</v>
      </c>
      <c r="E136" s="132">
        <v>2007</v>
      </c>
      <c r="F136" s="132">
        <v>2008</v>
      </c>
      <c r="G136" s="132">
        <v>2009</v>
      </c>
      <c r="H136" s="132">
        <v>2010</v>
      </c>
      <c r="I136" s="214"/>
      <c r="J136" s="214"/>
    </row>
    <row r="137" spans="1:10" s="153" customFormat="1" x14ac:dyDescent="0.2">
      <c r="I137" s="155"/>
      <c r="J137" s="155"/>
    </row>
    <row r="138" spans="1:10" x14ac:dyDescent="0.2">
      <c r="A138" s="128" t="s">
        <v>171</v>
      </c>
      <c r="B138" s="153"/>
      <c r="C138" s="153"/>
      <c r="D138" s="153"/>
      <c r="E138" s="153"/>
      <c r="F138" s="153"/>
      <c r="G138" s="153"/>
      <c r="H138" s="153"/>
      <c r="I138" s="155"/>
      <c r="J138" s="155"/>
    </row>
    <row r="139" spans="1:10" x14ac:dyDescent="0.2">
      <c r="A139" s="153" t="s">
        <v>172</v>
      </c>
      <c r="B139" s="155"/>
      <c r="C139" s="155"/>
      <c r="D139" s="219">
        <v>0</v>
      </c>
      <c r="E139" s="232">
        <f>D143</f>
        <v>0</v>
      </c>
      <c r="F139" s="232">
        <f>E143</f>
        <v>0</v>
      </c>
      <c r="G139" s="232">
        <f>F143</f>
        <v>0</v>
      </c>
      <c r="H139" s="232">
        <f>G143</f>
        <v>0</v>
      </c>
      <c r="I139" s="218"/>
      <c r="J139" s="218"/>
    </row>
    <row r="140" spans="1:10" x14ac:dyDescent="0.2">
      <c r="A140" s="153" t="s">
        <v>173</v>
      </c>
      <c r="B140" s="155"/>
      <c r="C140" s="155"/>
      <c r="D140" s="232">
        <f>D122</f>
        <v>0</v>
      </c>
      <c r="E140" s="232">
        <f>E122</f>
        <v>0</v>
      </c>
      <c r="F140" s="232">
        <f>F122</f>
        <v>0</v>
      </c>
      <c r="G140" s="232">
        <f>G122</f>
        <v>0</v>
      </c>
      <c r="H140" s="232">
        <f>H122</f>
        <v>0</v>
      </c>
      <c r="I140" s="218"/>
      <c r="J140" s="218"/>
    </row>
    <row r="141" spans="1:10" x14ac:dyDescent="0.2">
      <c r="A141" s="124" t="s">
        <v>5</v>
      </c>
      <c r="B141" s="155"/>
      <c r="C141" s="155"/>
      <c r="D141" s="525">
        <v>0</v>
      </c>
      <c r="E141" s="525">
        <v>0</v>
      </c>
      <c r="F141" s="525">
        <v>0</v>
      </c>
      <c r="G141" s="525">
        <v>0</v>
      </c>
      <c r="H141" s="525">
        <v>0</v>
      </c>
      <c r="I141" s="218"/>
      <c r="J141" s="218"/>
    </row>
    <row r="142" spans="1:10" x14ac:dyDescent="0.2">
      <c r="A142" s="124" t="s">
        <v>138</v>
      </c>
      <c r="B142" s="155"/>
      <c r="C142" s="155"/>
      <c r="D142" s="218">
        <f>D215</f>
        <v>0</v>
      </c>
      <c r="E142" s="218">
        <f>E215</f>
        <v>0</v>
      </c>
      <c r="F142" s="218">
        <f>F215</f>
        <v>0</v>
      </c>
      <c r="G142" s="218">
        <f>G215</f>
        <v>0</v>
      </c>
      <c r="H142" s="218">
        <f>H215</f>
        <v>0</v>
      </c>
      <c r="I142" s="218"/>
      <c r="J142" s="218"/>
    </row>
    <row r="143" spans="1:10" x14ac:dyDescent="0.2">
      <c r="A143" s="153" t="s">
        <v>174</v>
      </c>
      <c r="B143" s="155"/>
      <c r="C143" s="155"/>
      <c r="D143" s="234">
        <f>D139+D140-D141-D142</f>
        <v>0</v>
      </c>
      <c r="E143" s="234">
        <f>E139+E140-E141-E142</f>
        <v>0</v>
      </c>
      <c r="F143" s="234">
        <f>F139+F140-F141-F142</f>
        <v>0</v>
      </c>
      <c r="G143" s="234">
        <f>G139+G140-G141-G142</f>
        <v>0</v>
      </c>
      <c r="H143" s="234">
        <f>H139+H140-H141-H142</f>
        <v>0</v>
      </c>
      <c r="I143" s="218"/>
      <c r="J143" s="218"/>
    </row>
    <row r="144" spans="1:10" x14ac:dyDescent="0.2">
      <c r="A144" s="153"/>
      <c r="B144" s="155"/>
      <c r="C144" s="155"/>
      <c r="D144" s="232"/>
      <c r="E144" s="232"/>
      <c r="F144" s="232"/>
      <c r="G144" s="232"/>
      <c r="H144" s="232"/>
      <c r="I144" s="218"/>
      <c r="J144" s="218"/>
    </row>
    <row r="145" spans="1:10" x14ac:dyDescent="0.2">
      <c r="A145" s="153" t="s">
        <v>175</v>
      </c>
      <c r="B145" s="155"/>
      <c r="C145" s="155"/>
      <c r="D145" s="232">
        <f>(D143+D139)/2</f>
        <v>0</v>
      </c>
      <c r="E145" s="232">
        <f>(E143+E139)/2</f>
        <v>0</v>
      </c>
      <c r="F145" s="232">
        <f>(F143+F139)/2</f>
        <v>0</v>
      </c>
      <c r="G145" s="232">
        <f>(G143+G139)/2</f>
        <v>0</v>
      </c>
      <c r="H145" s="232">
        <f>(H143+H139)/2</f>
        <v>0</v>
      </c>
      <c r="I145" s="218"/>
      <c r="J145" s="218"/>
    </row>
    <row r="146" spans="1:10" x14ac:dyDescent="0.2">
      <c r="A146" s="153"/>
      <c r="B146" s="153"/>
      <c r="C146" s="153"/>
      <c r="D146" s="153"/>
      <c r="E146" s="153"/>
      <c r="F146" s="153"/>
      <c r="G146" s="153"/>
      <c r="H146" s="153"/>
      <c r="I146" s="155"/>
      <c r="J146" s="155"/>
    </row>
    <row r="147" spans="1:10" x14ac:dyDescent="0.2">
      <c r="A147" s="153"/>
      <c r="B147" s="153"/>
      <c r="C147" s="153"/>
      <c r="D147" s="153"/>
      <c r="E147" s="153"/>
      <c r="F147" s="153"/>
      <c r="G147" s="153"/>
      <c r="H147" s="153"/>
      <c r="I147" s="155"/>
      <c r="J147" s="155"/>
    </row>
    <row r="148" spans="1:10" x14ac:dyDescent="0.2">
      <c r="A148" s="128" t="s">
        <v>176</v>
      </c>
      <c r="B148" s="153"/>
      <c r="C148" s="153"/>
      <c r="D148" s="153"/>
      <c r="E148" s="153"/>
      <c r="F148" s="153"/>
      <c r="G148" s="153"/>
      <c r="H148" s="153"/>
      <c r="I148" s="155"/>
      <c r="J148" s="155"/>
    </row>
    <row r="149" spans="1:10" x14ac:dyDescent="0.2">
      <c r="A149" s="153" t="s">
        <v>172</v>
      </c>
      <c r="B149" s="155"/>
      <c r="C149" s="155"/>
      <c r="D149" s="219">
        <v>0</v>
      </c>
      <c r="E149" s="232">
        <f>D153</f>
        <v>5612.4929284393247</v>
      </c>
      <c r="F149" s="232">
        <f>E153</f>
        <v>25700.935650246378</v>
      </c>
      <c r="G149" s="232">
        <f>F153</f>
        <v>54400.301618510261</v>
      </c>
      <c r="H149" s="232">
        <f>G153</f>
        <v>79987.876728544812</v>
      </c>
      <c r="I149" s="218"/>
      <c r="J149" s="218"/>
    </row>
    <row r="150" spans="1:10" x14ac:dyDescent="0.2">
      <c r="A150" s="153" t="s">
        <v>173</v>
      </c>
      <c r="B150" s="155"/>
      <c r="C150" s="155"/>
      <c r="D150" s="232">
        <f>D123-D124</f>
        <v>5907.8872930940261</v>
      </c>
      <c r="E150" s="232">
        <f>E123-E124</f>
        <v>21767.612053806795</v>
      </c>
      <c r="F150" s="232">
        <f>F123-F124</f>
        <v>33123.069371530488</v>
      </c>
      <c r="G150" s="232">
        <f>G123-G124</f>
        <v>33334.13892829229</v>
      </c>
      <c r="H150" s="232">
        <f>H123-H124</f>
        <v>33117.53318660619</v>
      </c>
      <c r="I150" s="218"/>
      <c r="J150" s="218"/>
    </row>
    <row r="151" spans="1:10" x14ac:dyDescent="0.2">
      <c r="A151" s="124" t="s">
        <v>5</v>
      </c>
      <c r="B151" s="155"/>
      <c r="C151" s="155"/>
      <c r="D151" s="525">
        <v>0</v>
      </c>
      <c r="E151" s="525">
        <v>0</v>
      </c>
      <c r="F151" s="525">
        <v>0</v>
      </c>
      <c r="G151" s="525">
        <v>0</v>
      </c>
      <c r="H151" s="525">
        <v>0</v>
      </c>
      <c r="I151" s="218"/>
      <c r="J151" s="218"/>
    </row>
    <row r="152" spans="1:10" x14ac:dyDescent="0.2">
      <c r="A152" s="124" t="s">
        <v>138</v>
      </c>
      <c r="B152" s="155"/>
      <c r="C152" s="155"/>
      <c r="D152" s="218">
        <f>D225</f>
        <v>295.39436465470129</v>
      </c>
      <c r="E152" s="218">
        <f>E225</f>
        <v>1679.1693319997426</v>
      </c>
      <c r="F152" s="218">
        <f>F225</f>
        <v>4423.703403266607</v>
      </c>
      <c r="G152" s="218">
        <f>G225</f>
        <v>7746.563818257745</v>
      </c>
      <c r="H152" s="218">
        <f>H225</f>
        <v>11069.147424002669</v>
      </c>
      <c r="I152" s="218"/>
      <c r="J152" s="218"/>
    </row>
    <row r="153" spans="1:10" x14ac:dyDescent="0.2">
      <c r="A153" s="153" t="s">
        <v>174</v>
      </c>
      <c r="B153" s="155"/>
      <c r="C153" s="155"/>
      <c r="D153" s="234">
        <f>D149+D150-D151-D152</f>
        <v>5612.4929284393247</v>
      </c>
      <c r="E153" s="234">
        <f>E149+E150-E151-E152</f>
        <v>25700.935650246378</v>
      </c>
      <c r="F153" s="234">
        <f>F149+F150-F151-F152</f>
        <v>54400.301618510261</v>
      </c>
      <c r="G153" s="234">
        <f>G149+G150-G151-G152</f>
        <v>79987.876728544812</v>
      </c>
      <c r="H153" s="234">
        <f>H149+H150-H151-H152</f>
        <v>102036.26249114833</v>
      </c>
      <c r="I153" s="218"/>
      <c r="J153" s="218"/>
    </row>
    <row r="154" spans="1:10" x14ac:dyDescent="0.2">
      <c r="A154" s="153"/>
      <c r="B154" s="155"/>
      <c r="C154" s="155"/>
      <c r="D154" s="232"/>
      <c r="E154" s="232"/>
      <c r="F154" s="232"/>
      <c r="G154" s="232"/>
      <c r="H154" s="232"/>
      <c r="I154" s="218"/>
      <c r="J154" s="218"/>
    </row>
    <row r="155" spans="1:10" x14ac:dyDescent="0.2">
      <c r="A155" s="153" t="s">
        <v>175</v>
      </c>
      <c r="B155" s="155"/>
      <c r="C155" s="155"/>
      <c r="D155" s="232">
        <f>(D153+D149)/2</f>
        <v>2806.2464642196624</v>
      </c>
      <c r="E155" s="232">
        <f>(E153+E149)/2</f>
        <v>15656.714289342852</v>
      </c>
      <c r="F155" s="232">
        <f>(F153+F149)/2</f>
        <v>40050.618634378319</v>
      </c>
      <c r="G155" s="232">
        <f>(G153+G149)/2</f>
        <v>67194.089173527536</v>
      </c>
      <c r="H155" s="232">
        <f>(H153+H149)/2</f>
        <v>91012.069609846571</v>
      </c>
      <c r="I155" s="218"/>
      <c r="J155" s="218"/>
    </row>
    <row r="156" spans="1:10" x14ac:dyDescent="0.2">
      <c r="A156" s="153"/>
      <c r="B156" s="153"/>
      <c r="C156" s="153"/>
      <c r="E156" s="153"/>
      <c r="F156" s="153"/>
      <c r="G156" s="153"/>
      <c r="H156" s="153"/>
      <c r="I156" s="155"/>
      <c r="J156" s="155"/>
    </row>
    <row r="157" spans="1:10" x14ac:dyDescent="0.2">
      <c r="A157" s="153"/>
      <c r="B157" s="153"/>
      <c r="C157" s="153"/>
      <c r="D157" s="153"/>
      <c r="E157" s="153"/>
      <c r="F157" s="153"/>
      <c r="G157" s="153"/>
      <c r="H157" s="153"/>
      <c r="I157" s="155"/>
      <c r="J157" s="155"/>
    </row>
    <row r="158" spans="1:10" x14ac:dyDescent="0.2">
      <c r="A158" s="128" t="s">
        <v>90</v>
      </c>
      <c r="B158" s="153"/>
      <c r="C158" s="153"/>
      <c r="D158" s="153"/>
      <c r="E158" s="153"/>
      <c r="F158" s="153"/>
      <c r="G158" s="153"/>
      <c r="H158" s="153"/>
      <c r="I158" s="155"/>
      <c r="J158" s="155"/>
    </row>
    <row r="159" spans="1:10" x14ac:dyDescent="0.2">
      <c r="A159" s="153" t="s">
        <v>172</v>
      </c>
      <c r="B159" s="218"/>
      <c r="C159" s="218"/>
      <c r="D159" s="219">
        <v>0</v>
      </c>
      <c r="E159" s="232">
        <f>D163</f>
        <v>5157</v>
      </c>
      <c r="F159" s="232">
        <f>E163</f>
        <v>8511</v>
      </c>
      <c r="G159" s="232">
        <f>F163</f>
        <v>6815</v>
      </c>
      <c r="H159" s="232">
        <f>G163</f>
        <v>5019</v>
      </c>
      <c r="I159" s="218"/>
      <c r="J159" s="218"/>
    </row>
    <row r="160" spans="1:10" x14ac:dyDescent="0.2">
      <c r="A160" s="153" t="s">
        <v>173</v>
      </c>
      <c r="B160" s="218"/>
      <c r="C160" s="218"/>
      <c r="D160" s="232">
        <f>D127</f>
        <v>5730</v>
      </c>
      <c r="E160" s="232">
        <f>E127</f>
        <v>5000</v>
      </c>
      <c r="F160" s="232">
        <f>F127</f>
        <v>500</v>
      </c>
      <c r="G160" s="232">
        <f>G127</f>
        <v>500</v>
      </c>
      <c r="H160" s="232">
        <f>H127</f>
        <v>500</v>
      </c>
      <c r="I160" s="218"/>
      <c r="J160" s="218"/>
    </row>
    <row r="161" spans="1:10" x14ac:dyDescent="0.2">
      <c r="A161" s="124" t="s">
        <v>5</v>
      </c>
      <c r="B161" s="218"/>
      <c r="C161" s="218"/>
      <c r="D161" s="525">
        <v>0</v>
      </c>
      <c r="E161" s="525">
        <v>0</v>
      </c>
      <c r="F161" s="525">
        <v>0</v>
      </c>
      <c r="G161" s="525">
        <v>0</v>
      </c>
      <c r="H161" s="525">
        <v>0</v>
      </c>
      <c r="I161" s="218"/>
      <c r="J161" s="218"/>
    </row>
    <row r="162" spans="1:10" x14ac:dyDescent="0.2">
      <c r="A162" s="153" t="s">
        <v>177</v>
      </c>
      <c r="B162" s="218"/>
      <c r="C162" s="218"/>
      <c r="D162" s="218">
        <f>D235</f>
        <v>573</v>
      </c>
      <c r="E162" s="218">
        <f>E235</f>
        <v>1646</v>
      </c>
      <c r="F162" s="218">
        <f>F235</f>
        <v>2196</v>
      </c>
      <c r="G162" s="218">
        <f>G235</f>
        <v>2296</v>
      </c>
      <c r="H162" s="218">
        <f>H235</f>
        <v>2396</v>
      </c>
      <c r="I162" s="218"/>
      <c r="J162" s="218"/>
    </row>
    <row r="163" spans="1:10" x14ac:dyDescent="0.2">
      <c r="A163" s="153" t="s">
        <v>174</v>
      </c>
      <c r="B163" s="218"/>
      <c r="C163" s="218"/>
      <c r="D163" s="234">
        <f>D159+D160-D161-D162</f>
        <v>5157</v>
      </c>
      <c r="E163" s="234">
        <f>E159+E160-E161-E162</f>
        <v>8511</v>
      </c>
      <c r="F163" s="234">
        <f>F159+F160-F161-F162</f>
        <v>6815</v>
      </c>
      <c r="G163" s="234">
        <f>G159+G160-G161-G162</f>
        <v>5019</v>
      </c>
      <c r="H163" s="234">
        <f>H159+H160-H161-H162</f>
        <v>3123</v>
      </c>
      <c r="I163" s="218"/>
      <c r="J163" s="218"/>
    </row>
    <row r="164" spans="1:10" x14ac:dyDescent="0.2">
      <c r="A164" s="153"/>
      <c r="B164" s="218"/>
      <c r="C164" s="218"/>
      <c r="D164" s="232"/>
      <c r="E164" s="232"/>
      <c r="F164" s="232"/>
      <c r="G164" s="232"/>
      <c r="H164" s="232"/>
      <c r="I164" s="218"/>
      <c r="J164" s="218"/>
    </row>
    <row r="165" spans="1:10" x14ac:dyDescent="0.2">
      <c r="A165" s="153" t="s">
        <v>175</v>
      </c>
      <c r="B165" s="218"/>
      <c r="C165" s="218"/>
      <c r="D165" s="232">
        <f>(D163+D159)/2</f>
        <v>2578.5</v>
      </c>
      <c r="E165" s="232">
        <f>(E163+E159)/2</f>
        <v>6834</v>
      </c>
      <c r="F165" s="232">
        <f>(F163+F159)/2</f>
        <v>7663</v>
      </c>
      <c r="G165" s="232">
        <f>(G163+G159)/2</f>
        <v>5917</v>
      </c>
      <c r="H165" s="232">
        <f>(H163+H159)/2</f>
        <v>4071</v>
      </c>
      <c r="I165" s="218"/>
      <c r="J165" s="218"/>
    </row>
    <row r="166" spans="1:10" x14ac:dyDescent="0.2">
      <c r="A166" s="153"/>
      <c r="B166" s="153"/>
      <c r="C166" s="153"/>
      <c r="E166" s="153"/>
      <c r="F166" s="153"/>
      <c r="G166" s="153"/>
      <c r="H166" s="153"/>
      <c r="I166" s="155"/>
      <c r="J166" s="155"/>
    </row>
    <row r="167" spans="1:10" x14ac:dyDescent="0.2">
      <c r="A167" s="153"/>
      <c r="B167" s="153"/>
      <c r="C167" s="153"/>
      <c r="D167" s="153"/>
      <c r="E167" s="153"/>
      <c r="F167" s="153"/>
      <c r="G167" s="153"/>
      <c r="H167" s="153"/>
      <c r="I167" s="155"/>
      <c r="J167" s="155"/>
    </row>
    <row r="168" spans="1:10" x14ac:dyDescent="0.2">
      <c r="A168" s="128" t="s">
        <v>168</v>
      </c>
      <c r="B168" s="153"/>
      <c r="C168" s="153"/>
      <c r="D168" s="153"/>
      <c r="E168" s="153"/>
      <c r="F168" s="153"/>
      <c r="G168" s="153"/>
      <c r="H168" s="153"/>
      <c r="I168" s="155"/>
      <c r="J168" s="155"/>
    </row>
    <row r="169" spans="1:10" x14ac:dyDescent="0.2">
      <c r="A169" s="153" t="s">
        <v>172</v>
      </c>
      <c r="B169" s="218"/>
      <c r="C169" s="218"/>
      <c r="D169" s="219">
        <v>0</v>
      </c>
      <c r="E169" s="232">
        <f>D173</f>
        <v>568.79999999999995</v>
      </c>
      <c r="F169" s="232">
        <f>E173</f>
        <v>1471.1</v>
      </c>
      <c r="G169" s="232">
        <f>F173</f>
        <v>1757.8</v>
      </c>
      <c r="H169" s="232">
        <f>G173</f>
        <v>1909.1000000000001</v>
      </c>
      <c r="I169" s="218"/>
      <c r="J169" s="218"/>
    </row>
    <row r="170" spans="1:10" x14ac:dyDescent="0.2">
      <c r="A170" s="153" t="s">
        <v>173</v>
      </c>
      <c r="B170" s="218"/>
      <c r="C170" s="218"/>
      <c r="D170" s="232">
        <f>D128</f>
        <v>632</v>
      </c>
      <c r="E170" s="232">
        <f>E128</f>
        <v>1143</v>
      </c>
      <c r="F170" s="232">
        <f>F128</f>
        <v>713</v>
      </c>
      <c r="G170" s="232">
        <f>G128</f>
        <v>721</v>
      </c>
      <c r="H170" s="232">
        <f>H128</f>
        <v>731</v>
      </c>
      <c r="I170" s="218"/>
      <c r="J170" s="218"/>
    </row>
    <row r="171" spans="1:10" x14ac:dyDescent="0.2">
      <c r="A171" s="124" t="s">
        <v>5</v>
      </c>
      <c r="B171" s="218"/>
      <c r="C171" s="218"/>
      <c r="D171" s="525">
        <v>0</v>
      </c>
      <c r="E171" s="525">
        <v>0</v>
      </c>
      <c r="F171" s="525">
        <v>0</v>
      </c>
      <c r="G171" s="525">
        <v>0</v>
      </c>
      <c r="H171" s="525">
        <v>0</v>
      </c>
      <c r="I171" s="218"/>
      <c r="J171" s="218"/>
    </row>
    <row r="172" spans="1:10" x14ac:dyDescent="0.2">
      <c r="A172" s="153" t="s">
        <v>177</v>
      </c>
      <c r="B172" s="218"/>
      <c r="C172" s="218"/>
      <c r="D172" s="218">
        <f>D245</f>
        <v>63.2</v>
      </c>
      <c r="E172" s="218">
        <f>E245</f>
        <v>240.7</v>
      </c>
      <c r="F172" s="218">
        <f>F245</f>
        <v>426.3</v>
      </c>
      <c r="G172" s="218">
        <f>G245</f>
        <v>569.70000000000005</v>
      </c>
      <c r="H172" s="218">
        <f>H245</f>
        <v>714.9</v>
      </c>
      <c r="I172" s="218"/>
      <c r="J172" s="218"/>
    </row>
    <row r="173" spans="1:10" x14ac:dyDescent="0.2">
      <c r="A173" s="153" t="s">
        <v>174</v>
      </c>
      <c r="B173" s="218"/>
      <c r="C173" s="218"/>
      <c r="D173" s="234">
        <f>D169+D170-D171-D172</f>
        <v>568.79999999999995</v>
      </c>
      <c r="E173" s="234">
        <f>E169+E170-E171-E172</f>
        <v>1471.1</v>
      </c>
      <c r="F173" s="234">
        <f>F169+F170-F171-F172</f>
        <v>1757.8</v>
      </c>
      <c r="G173" s="234">
        <f>G169+G170-G171-G172</f>
        <v>1909.1000000000001</v>
      </c>
      <c r="H173" s="234">
        <f>H169+H170-H171-H172</f>
        <v>1925.2000000000003</v>
      </c>
      <c r="I173" s="218"/>
      <c r="J173" s="218"/>
    </row>
    <row r="174" spans="1:10" x14ac:dyDescent="0.2">
      <c r="A174" s="153"/>
      <c r="B174" s="218"/>
      <c r="C174" s="218"/>
      <c r="D174" s="232"/>
      <c r="E174" s="232"/>
      <c r="F174" s="232"/>
      <c r="G174" s="232"/>
      <c r="H174" s="232"/>
      <c r="I174" s="218"/>
      <c r="J174" s="218"/>
    </row>
    <row r="175" spans="1:10" x14ac:dyDescent="0.2">
      <c r="A175" s="153" t="s">
        <v>175</v>
      </c>
      <c r="B175" s="218"/>
      <c r="C175" s="218"/>
      <c r="D175" s="232">
        <f>(D173+D169)/2</f>
        <v>284.39999999999998</v>
      </c>
      <c r="E175" s="232">
        <f>(E173+E169)/2</f>
        <v>1019.9499999999999</v>
      </c>
      <c r="F175" s="232">
        <f>(F173+F169)/2</f>
        <v>1614.4499999999998</v>
      </c>
      <c r="G175" s="232">
        <f>(G173+G169)/2</f>
        <v>1833.45</v>
      </c>
      <c r="H175" s="232">
        <f>(H173+H169)/2</f>
        <v>1917.15</v>
      </c>
      <c r="I175" s="218"/>
      <c r="J175" s="218"/>
    </row>
    <row r="176" spans="1:10" x14ac:dyDescent="0.2">
      <c r="A176" s="153"/>
      <c r="B176" s="218"/>
      <c r="C176" s="218"/>
      <c r="D176" s="232"/>
      <c r="E176" s="232"/>
      <c r="F176" s="232"/>
      <c r="G176" s="232"/>
      <c r="H176" s="232"/>
      <c r="I176" s="218"/>
      <c r="J176" s="218"/>
    </row>
    <row r="177" spans="1:10" x14ac:dyDescent="0.2">
      <c r="A177" s="153"/>
      <c r="B177" s="218"/>
      <c r="C177" s="218"/>
      <c r="D177" s="232"/>
      <c r="E177" s="232"/>
      <c r="F177" s="232"/>
      <c r="G177" s="232"/>
      <c r="H177" s="232"/>
      <c r="I177" s="218"/>
      <c r="J177" s="218"/>
    </row>
    <row r="178" spans="1:10" x14ac:dyDescent="0.2">
      <c r="A178" s="128" t="s">
        <v>45</v>
      </c>
      <c r="B178" s="232"/>
      <c r="C178" s="232"/>
      <c r="D178" s="232"/>
      <c r="E178" s="232"/>
      <c r="F178" s="232"/>
      <c r="G178" s="232"/>
      <c r="H178" s="232"/>
      <c r="I178" s="218"/>
      <c r="J178" s="218"/>
    </row>
    <row r="179" spans="1:10" x14ac:dyDescent="0.2">
      <c r="A179" s="153" t="s">
        <v>172</v>
      </c>
      <c r="B179" s="232"/>
      <c r="C179" s="232"/>
      <c r="D179" s="232">
        <f t="shared" ref="D179:H183" si="5">SUM(D139,D149,D159,D169)</f>
        <v>0</v>
      </c>
      <c r="E179" s="232">
        <f t="shared" si="5"/>
        <v>11338.292928439325</v>
      </c>
      <c r="F179" s="232">
        <f t="shared" si="5"/>
        <v>35683.035650246376</v>
      </c>
      <c r="G179" s="232">
        <f t="shared" si="5"/>
        <v>62973.101618510264</v>
      </c>
      <c r="H179" s="232">
        <f t="shared" si="5"/>
        <v>86915.976728544818</v>
      </c>
      <c r="I179" s="218"/>
      <c r="J179" s="218"/>
    </row>
    <row r="180" spans="1:10" x14ac:dyDescent="0.2">
      <c r="A180" s="153" t="s">
        <v>173</v>
      </c>
      <c r="B180" s="232"/>
      <c r="C180" s="232"/>
      <c r="D180" s="232">
        <f t="shared" si="5"/>
        <v>12269.887293094027</v>
      </c>
      <c r="E180" s="232">
        <f t="shared" si="5"/>
        <v>27910.612053806795</v>
      </c>
      <c r="F180" s="232">
        <f t="shared" si="5"/>
        <v>34336.069371530488</v>
      </c>
      <c r="G180" s="232">
        <f t="shared" si="5"/>
        <v>34555.13892829229</v>
      </c>
      <c r="H180" s="232">
        <f t="shared" si="5"/>
        <v>34348.53318660619</v>
      </c>
      <c r="I180" s="218"/>
      <c r="J180" s="218"/>
    </row>
    <row r="181" spans="1:10" x14ac:dyDescent="0.2">
      <c r="A181" s="153" t="s">
        <v>178</v>
      </c>
      <c r="B181" s="232"/>
      <c r="C181" s="232"/>
      <c r="D181" s="232">
        <f t="shared" si="5"/>
        <v>0</v>
      </c>
      <c r="E181" s="232">
        <f t="shared" si="5"/>
        <v>0</v>
      </c>
      <c r="F181" s="232">
        <f t="shared" si="5"/>
        <v>0</v>
      </c>
      <c r="G181" s="232">
        <f t="shared" si="5"/>
        <v>0</v>
      </c>
      <c r="H181" s="232">
        <f t="shared" si="5"/>
        <v>0</v>
      </c>
      <c r="I181" s="218"/>
      <c r="J181" s="218"/>
    </row>
    <row r="182" spans="1:10" x14ac:dyDescent="0.2">
      <c r="A182" s="153" t="s">
        <v>177</v>
      </c>
      <c r="B182" s="232"/>
      <c r="C182" s="232"/>
      <c r="D182" s="232">
        <f t="shared" si="5"/>
        <v>931.59436465470139</v>
      </c>
      <c r="E182" s="232">
        <f t="shared" si="5"/>
        <v>3565.8693319997424</v>
      </c>
      <c r="F182" s="232">
        <f t="shared" si="5"/>
        <v>7046.0034032666072</v>
      </c>
      <c r="G182" s="232">
        <f t="shared" si="5"/>
        <v>10612.263818257747</v>
      </c>
      <c r="H182" s="232">
        <f t="shared" si="5"/>
        <v>14180.047424002669</v>
      </c>
      <c r="I182" s="218"/>
      <c r="J182" s="218"/>
    </row>
    <row r="183" spans="1:10" x14ac:dyDescent="0.2">
      <c r="A183" s="153" t="s">
        <v>174</v>
      </c>
      <c r="B183" s="232"/>
      <c r="C183" s="232"/>
      <c r="D183" s="234">
        <f t="shared" si="5"/>
        <v>11338.292928439325</v>
      </c>
      <c r="E183" s="234">
        <f t="shared" si="5"/>
        <v>35683.035650246376</v>
      </c>
      <c r="F183" s="234">
        <f t="shared" si="5"/>
        <v>62973.101618510264</v>
      </c>
      <c r="G183" s="234">
        <f t="shared" si="5"/>
        <v>86915.976728544818</v>
      </c>
      <c r="H183" s="234">
        <f t="shared" si="5"/>
        <v>107084.46249114833</v>
      </c>
      <c r="I183" s="218"/>
      <c r="J183" s="218"/>
    </row>
    <row r="184" spans="1:10" x14ac:dyDescent="0.2">
      <c r="A184" s="153"/>
      <c r="B184" s="232"/>
      <c r="C184" s="232"/>
      <c r="D184" s="232"/>
      <c r="E184" s="232"/>
      <c r="F184" s="232"/>
      <c r="G184" s="232"/>
      <c r="H184" s="232"/>
      <c r="I184" s="218"/>
      <c r="J184" s="218"/>
    </row>
    <row r="185" spans="1:10" x14ac:dyDescent="0.2">
      <c r="A185" s="153" t="s">
        <v>175</v>
      </c>
      <c r="B185" s="232"/>
      <c r="C185" s="232"/>
      <c r="D185" s="232">
        <f>SUM(D145,D155,D165,D175)</f>
        <v>5669.1464642196624</v>
      </c>
      <c r="E185" s="232">
        <f>SUM(E145,E155,E165,E175)</f>
        <v>23510.664289342854</v>
      </c>
      <c r="F185" s="232">
        <f>SUM(F145,F155,F165,F175)</f>
        <v>49328.068634378316</v>
      </c>
      <c r="G185" s="232">
        <f>SUM(G145,G155,G165,G175)</f>
        <v>74944.539173527533</v>
      </c>
      <c r="H185" s="232">
        <f>SUM(H145,H155,H165,H175)</f>
        <v>97000.219609846565</v>
      </c>
      <c r="I185" s="218"/>
      <c r="J185" s="218"/>
    </row>
    <row r="186" spans="1:10" x14ac:dyDescent="0.2">
      <c r="D186" s="235"/>
      <c r="E186" s="235"/>
      <c r="F186" s="235"/>
      <c r="G186" s="235"/>
      <c r="H186" s="235"/>
      <c r="I186" s="193"/>
      <c r="J186" s="193"/>
    </row>
    <row r="187" spans="1:10" x14ac:dyDescent="0.2">
      <c r="A187" s="126" t="s">
        <v>179</v>
      </c>
      <c r="I187" s="155"/>
      <c r="J187" s="155"/>
    </row>
    <row r="188" spans="1:10" x14ac:dyDescent="0.2">
      <c r="D188" s="236">
        <v>2006</v>
      </c>
      <c r="E188" s="236">
        <v>2007</v>
      </c>
      <c r="F188" s="236">
        <v>2008</v>
      </c>
      <c r="G188" s="236">
        <v>2009</v>
      </c>
      <c r="H188" s="236">
        <v>2010</v>
      </c>
      <c r="I188" s="237"/>
      <c r="J188" s="237"/>
    </row>
    <row r="189" spans="1:10" x14ac:dyDescent="0.2">
      <c r="A189" s="125" t="s">
        <v>180</v>
      </c>
      <c r="I189" s="155"/>
      <c r="J189" s="155"/>
    </row>
    <row r="190" spans="1:10" x14ac:dyDescent="0.2">
      <c r="A190" s="238" t="s">
        <v>171</v>
      </c>
      <c r="D190" s="526">
        <v>15</v>
      </c>
      <c r="E190" s="526">
        <v>15</v>
      </c>
      <c r="F190" s="526">
        <v>15</v>
      </c>
      <c r="G190" s="526">
        <v>15</v>
      </c>
      <c r="H190" s="526">
        <v>15</v>
      </c>
      <c r="I190" s="239"/>
      <c r="J190" s="239"/>
    </row>
    <row r="191" spans="1:10" x14ac:dyDescent="0.2">
      <c r="A191" s="238" t="s">
        <v>176</v>
      </c>
      <c r="D191" s="526">
        <v>10</v>
      </c>
      <c r="E191" s="526">
        <v>10</v>
      </c>
      <c r="F191" s="526">
        <v>10</v>
      </c>
      <c r="G191" s="526">
        <v>10</v>
      </c>
      <c r="H191" s="526">
        <v>10</v>
      </c>
      <c r="I191" s="239"/>
      <c r="J191" s="239"/>
    </row>
    <row r="192" spans="1:10" x14ac:dyDescent="0.2">
      <c r="A192" s="129" t="s">
        <v>90</v>
      </c>
      <c r="D192" s="526">
        <v>5</v>
      </c>
      <c r="E192" s="526">
        <v>5</v>
      </c>
      <c r="F192" s="526">
        <v>5</v>
      </c>
      <c r="G192" s="526">
        <v>5</v>
      </c>
      <c r="H192" s="526">
        <v>5</v>
      </c>
      <c r="I192" s="239"/>
      <c r="J192" s="239"/>
    </row>
    <row r="193" spans="1:10" x14ac:dyDescent="0.2">
      <c r="A193" s="129" t="s">
        <v>168</v>
      </c>
      <c r="D193" s="526">
        <v>5</v>
      </c>
      <c r="E193" s="526">
        <v>5</v>
      </c>
      <c r="F193" s="526">
        <v>5</v>
      </c>
      <c r="G193" s="526">
        <v>5</v>
      </c>
      <c r="H193" s="526">
        <v>5</v>
      </c>
      <c r="I193" s="239"/>
      <c r="J193" s="239"/>
    </row>
    <row r="194" spans="1:10" x14ac:dyDescent="0.2">
      <c r="I194" s="155"/>
      <c r="J194" s="155"/>
    </row>
    <row r="195" spans="1:10" s="150" customFormat="1" x14ac:dyDescent="0.2">
      <c r="I195" s="155"/>
      <c r="J195" s="155"/>
    </row>
    <row r="196" spans="1:10" s="188" customFormat="1" x14ac:dyDescent="0.2">
      <c r="A196" s="160" t="s">
        <v>181</v>
      </c>
      <c r="I196" s="240"/>
      <c r="J196" s="240"/>
    </row>
    <row r="197" spans="1:10" s="188" customFormat="1" x14ac:dyDescent="0.2">
      <c r="I197" s="240"/>
      <c r="J197" s="240"/>
    </row>
    <row r="198" spans="1:10" s="188" customFormat="1" x14ac:dyDescent="0.2">
      <c r="A198" s="241" t="s">
        <v>182</v>
      </c>
      <c r="D198" s="242">
        <v>2006</v>
      </c>
      <c r="E198" s="242">
        <v>2007</v>
      </c>
      <c r="F198" s="242">
        <v>2008</v>
      </c>
      <c r="G198" s="242">
        <v>2009</v>
      </c>
      <c r="H198" s="242">
        <v>2010</v>
      </c>
      <c r="I198" s="237"/>
      <c r="J198" s="237"/>
    </row>
    <row r="199" spans="1:10" s="188" customFormat="1" x14ac:dyDescent="0.2">
      <c r="B199" s="243">
        <v>2006</v>
      </c>
      <c r="D199" s="188">
        <v>0.5</v>
      </c>
      <c r="E199" s="188">
        <v>1.5</v>
      </c>
      <c r="F199" s="188">
        <v>2.5</v>
      </c>
      <c r="G199" s="188">
        <v>3.5</v>
      </c>
      <c r="H199" s="188">
        <v>4.5</v>
      </c>
      <c r="I199" s="240"/>
      <c r="J199" s="240"/>
    </row>
    <row r="200" spans="1:10" s="188" customFormat="1" x14ac:dyDescent="0.2">
      <c r="B200" s="243">
        <v>2007</v>
      </c>
      <c r="E200" s="188">
        <v>0.5</v>
      </c>
      <c r="F200" s="188">
        <v>1.5</v>
      </c>
      <c r="G200" s="188">
        <v>2.5</v>
      </c>
      <c r="H200" s="188">
        <v>3.5</v>
      </c>
      <c r="I200" s="240"/>
      <c r="J200" s="240"/>
    </row>
    <row r="201" spans="1:10" s="188" customFormat="1" x14ac:dyDescent="0.2">
      <c r="B201" s="243">
        <v>2008</v>
      </c>
      <c r="F201" s="188">
        <v>0.5</v>
      </c>
      <c r="G201" s="188">
        <v>1.5</v>
      </c>
      <c r="H201" s="188">
        <v>2.5</v>
      </c>
      <c r="I201" s="240"/>
      <c r="J201" s="240"/>
    </row>
    <row r="202" spans="1:10" s="188" customFormat="1" x14ac:dyDescent="0.2">
      <c r="B202" s="243">
        <v>2009</v>
      </c>
      <c r="G202" s="188">
        <v>0.5</v>
      </c>
      <c r="H202" s="188">
        <v>1.5</v>
      </c>
      <c r="I202" s="240"/>
      <c r="J202" s="240"/>
    </row>
    <row r="203" spans="1:10" s="188" customFormat="1" x14ac:dyDescent="0.2">
      <c r="B203" s="243">
        <v>2010</v>
      </c>
      <c r="H203" s="188">
        <v>0.5</v>
      </c>
      <c r="I203" s="240"/>
      <c r="J203" s="240"/>
    </row>
    <row r="204" spans="1:10" s="188" customFormat="1" x14ac:dyDescent="0.2">
      <c r="B204" s="243"/>
      <c r="I204" s="240"/>
      <c r="J204" s="240"/>
    </row>
    <row r="205" spans="1:10" s="188" customFormat="1" x14ac:dyDescent="0.2">
      <c r="B205" s="243"/>
      <c r="I205" s="240"/>
      <c r="J205" s="240"/>
    </row>
    <row r="206" spans="1:10" s="188" customFormat="1" x14ac:dyDescent="0.2">
      <c r="I206" s="240"/>
      <c r="J206" s="240"/>
    </row>
    <row r="207" spans="1:10" s="188" customFormat="1" x14ac:dyDescent="0.2">
      <c r="A207" s="238" t="s">
        <v>171</v>
      </c>
      <c r="C207" s="188" t="s">
        <v>183</v>
      </c>
      <c r="D207" s="242">
        <v>2006</v>
      </c>
      <c r="E207" s="242">
        <v>2007</v>
      </c>
      <c r="F207" s="242">
        <v>2008</v>
      </c>
      <c r="G207" s="242">
        <v>2009</v>
      </c>
      <c r="H207" s="242">
        <v>2010</v>
      </c>
      <c r="I207" s="237"/>
      <c r="J207" s="237"/>
    </row>
    <row r="208" spans="1:10" s="188" customFormat="1" x14ac:dyDescent="0.2">
      <c r="B208" s="243">
        <v>2006</v>
      </c>
      <c r="C208" s="244">
        <f>D$190</f>
        <v>15</v>
      </c>
      <c r="D208" s="245">
        <f>($D$140*0.5)/$C208</f>
        <v>0</v>
      </c>
      <c r="E208" s="245">
        <f>IF($C208&gt;E$199,$D$140/$C208,IF($C208&lt;=E$199,$D$140-SUM($D208:D208),0))</f>
        <v>0</v>
      </c>
      <c r="F208" s="245">
        <f>IF($C208&gt;F$199,$D$140/$C208,IF($C208&lt;=F$199,$D$140-SUM($D208:E208),0))</f>
        <v>0</v>
      </c>
      <c r="G208" s="245">
        <f>IF($C208&gt;G$199,$D$140/$C208,IF($C208&lt;=G$199,$D$140-SUM($D208:F208),0))</f>
        <v>0</v>
      </c>
      <c r="H208" s="245">
        <f>IF($C208&gt;H$199,$D$140/$C208,IF($C208&lt;=H$199,$D$140-SUM($D208:G208),0))</f>
        <v>0</v>
      </c>
      <c r="I208" s="246"/>
      <c r="J208" s="246"/>
    </row>
    <row r="209" spans="1:10" s="188" customFormat="1" x14ac:dyDescent="0.2">
      <c r="B209" s="243">
        <v>2007</v>
      </c>
      <c r="C209" s="244">
        <f>E$190</f>
        <v>15</v>
      </c>
      <c r="D209" s="245"/>
      <c r="E209" s="245">
        <f>($E$140*0.5)/$C209</f>
        <v>0</v>
      </c>
      <c r="F209" s="245">
        <f>IF($C209&gt;F$200,$E$140/$C209,IF($C209&lt;=F$200,$E$140-SUM($D209:E209),0))</f>
        <v>0</v>
      </c>
      <c r="G209" s="245">
        <f>IF($C209&gt;G$200,$E$140/$C209,IF($C209&lt;=G$200,$E$140-SUM($D209:F209),0))</f>
        <v>0</v>
      </c>
      <c r="H209" s="245">
        <f>IF($C209&gt;H$200,$E$140/$C209,IF($C209&lt;=H$200,$E$140-SUM($D209:G209),0))</f>
        <v>0</v>
      </c>
      <c r="I209" s="246"/>
      <c r="J209" s="246"/>
    </row>
    <row r="210" spans="1:10" s="188" customFormat="1" x14ac:dyDescent="0.2">
      <c r="B210" s="243">
        <v>2008</v>
      </c>
      <c r="C210" s="244">
        <f>F$190</f>
        <v>15</v>
      </c>
      <c r="D210" s="245"/>
      <c r="E210" s="245"/>
      <c r="F210" s="245">
        <f>($F$140*0.5)/$C210</f>
        <v>0</v>
      </c>
      <c r="G210" s="245">
        <f>IF($C210&gt;G$201,$F$140/$C210,IF($C210&lt;=G$201,$F$140-SUM($D210:F210),0))</f>
        <v>0</v>
      </c>
      <c r="H210" s="245">
        <f>IF($C210&gt;H$201,$F$140/$C210,IF($C210&lt;=H$201,$F$140-SUM($D210:G210),0))</f>
        <v>0</v>
      </c>
      <c r="I210" s="246"/>
      <c r="J210" s="246"/>
    </row>
    <row r="211" spans="1:10" s="188" customFormat="1" x14ac:dyDescent="0.2">
      <c r="B211" s="243">
        <v>2009</v>
      </c>
      <c r="C211" s="244">
        <f>G$190</f>
        <v>15</v>
      </c>
      <c r="D211" s="245"/>
      <c r="E211" s="245"/>
      <c r="F211" s="245"/>
      <c r="G211" s="245">
        <f>($G$140*0.5)/$C211</f>
        <v>0</v>
      </c>
      <c r="H211" s="245">
        <f>IF($C211&gt;H$202,$G$140/$C211,IF($C211&lt;=H$202,$G$140-SUM($D211:G211),0))</f>
        <v>0</v>
      </c>
      <c r="I211" s="246"/>
      <c r="J211" s="246"/>
    </row>
    <row r="212" spans="1:10" s="188" customFormat="1" x14ac:dyDescent="0.2">
      <c r="B212" s="243">
        <v>2010</v>
      </c>
      <c r="C212" s="244">
        <f>H$190</f>
        <v>15</v>
      </c>
      <c r="D212" s="245"/>
      <c r="E212" s="245"/>
      <c r="F212" s="245"/>
      <c r="G212" s="245"/>
      <c r="H212" s="245">
        <f>($H$140*0.5)/$C212</f>
        <v>0</v>
      </c>
      <c r="I212" s="246"/>
      <c r="J212" s="246"/>
    </row>
    <row r="213" spans="1:10" s="188" customFormat="1" x14ac:dyDescent="0.2">
      <c r="B213" s="243"/>
      <c r="C213" s="244"/>
      <c r="D213" s="247"/>
      <c r="E213" s="247"/>
      <c r="F213" s="247"/>
      <c r="G213" s="247"/>
      <c r="H213" s="247"/>
      <c r="I213" s="246"/>
      <c r="J213" s="246"/>
    </row>
    <row r="214" spans="1:10" s="188" customFormat="1" x14ac:dyDescent="0.2">
      <c r="B214" s="243"/>
      <c r="C214" s="244"/>
      <c r="D214" s="247"/>
      <c r="E214" s="247"/>
      <c r="F214" s="247"/>
      <c r="G214" s="247"/>
      <c r="H214" s="247"/>
      <c r="I214" s="240"/>
      <c r="J214" s="246"/>
    </row>
    <row r="215" spans="1:10" s="188" customFormat="1" x14ac:dyDescent="0.2">
      <c r="D215" s="248">
        <f>SUM(D208:D214)</f>
        <v>0</v>
      </c>
      <c r="E215" s="248">
        <f>SUM(E208:E214)</f>
        <v>0</v>
      </c>
      <c r="F215" s="248">
        <f>SUM(F208:F214)</f>
        <v>0</v>
      </c>
      <c r="G215" s="248">
        <f>SUM(G208:G214)</f>
        <v>0</v>
      </c>
      <c r="H215" s="248">
        <f>SUM(H208:H214)</f>
        <v>0</v>
      </c>
      <c r="I215" s="246"/>
      <c r="J215" s="246"/>
    </row>
    <row r="216" spans="1:10" s="188" customFormat="1" x14ac:dyDescent="0.2">
      <c r="D216" s="246"/>
      <c r="E216" s="246"/>
      <c r="F216" s="246"/>
      <c r="G216" s="246"/>
      <c r="H216" s="246"/>
      <c r="I216" s="240"/>
      <c r="J216" s="240"/>
    </row>
    <row r="217" spans="1:10" s="188" customFormat="1" x14ac:dyDescent="0.2">
      <c r="A217" s="238" t="s">
        <v>176</v>
      </c>
      <c r="C217" s="188" t="s">
        <v>183</v>
      </c>
      <c r="D217" s="242">
        <v>2006</v>
      </c>
      <c r="E217" s="242">
        <v>2007</v>
      </c>
      <c r="F217" s="242">
        <v>2008</v>
      </c>
      <c r="G217" s="242">
        <v>2009</v>
      </c>
      <c r="H217" s="242">
        <v>2010</v>
      </c>
      <c r="I217" s="237"/>
      <c r="J217" s="237"/>
    </row>
    <row r="218" spans="1:10" s="188" customFormat="1" x14ac:dyDescent="0.2">
      <c r="B218" s="243">
        <v>2006</v>
      </c>
      <c r="C218" s="244">
        <f>D$191</f>
        <v>10</v>
      </c>
      <c r="D218" s="245">
        <f>($D$150*0.5)/$C218</f>
        <v>295.39436465470129</v>
      </c>
      <c r="E218" s="245">
        <f>IF($C218&gt;E$199,$D$150/$C218,IF($C218&lt;=E$199,$D$150-SUM($D218:D218),0))</f>
        <v>590.78872930940258</v>
      </c>
      <c r="F218" s="245">
        <f>IF($C218&gt;F$199,$D$150/$C218,IF($C218&lt;=F$199,$D$150-SUM($D218:E218),0))</f>
        <v>590.78872930940258</v>
      </c>
      <c r="G218" s="245">
        <f>IF($C218&gt;G$199,$D$150/$C218,IF($C218&lt;=G$199,$D$150-SUM($D218:F218),0))</f>
        <v>590.78872930940258</v>
      </c>
      <c r="H218" s="245">
        <f>IF($C218&gt;H$199,$D$150/$C218,IF($C218&lt;=H$199,$D$150-SUM($D218:G218),0))</f>
        <v>590.78872930940258</v>
      </c>
      <c r="I218" s="246"/>
      <c r="J218" s="246"/>
    </row>
    <row r="219" spans="1:10" s="188" customFormat="1" x14ac:dyDescent="0.2">
      <c r="B219" s="243">
        <v>2007</v>
      </c>
      <c r="C219" s="244">
        <f>E$191</f>
        <v>10</v>
      </c>
      <c r="D219" s="245"/>
      <c r="E219" s="245">
        <f>($E$150*0.5)/$C219</f>
        <v>1088.3806026903399</v>
      </c>
      <c r="F219" s="245">
        <f>IF($C219&gt;F$200,$E$150/$C219,IF($C219&lt;=F$200,$E$150-SUM($D219:E219),0))</f>
        <v>2176.7612053806797</v>
      </c>
      <c r="G219" s="245">
        <f>IF($C219&gt;G$200,$E$150/$C219,IF($C219&lt;=G$200,$E$150-SUM($D219:F219),0))</f>
        <v>2176.7612053806797</v>
      </c>
      <c r="H219" s="245">
        <f>IF($C219&gt;H$200,$E$150/$C219,IF($C219&lt;=H$200,$E$150-SUM($D219:G219),0))</f>
        <v>2176.7612053806797</v>
      </c>
      <c r="I219" s="246"/>
      <c r="J219" s="246"/>
    </row>
    <row r="220" spans="1:10" s="188" customFormat="1" x14ac:dyDescent="0.2">
      <c r="B220" s="243">
        <v>2008</v>
      </c>
      <c r="C220" s="244">
        <f>F$191</f>
        <v>10</v>
      </c>
      <c r="D220" s="245"/>
      <c r="E220" s="245"/>
      <c r="F220" s="245">
        <f>($F$150*0.5)/$C220</f>
        <v>1656.1534685765243</v>
      </c>
      <c r="G220" s="245">
        <f>IF($C220&gt;G$201,$F$150/$C220,IF($C220&lt;=G$201,$F$150-SUM($D220:F220),0))</f>
        <v>3312.3069371530487</v>
      </c>
      <c r="H220" s="245">
        <f>IF($C220&gt;H$201,$F$150/$C220,IF($C220&lt;=H$201,$F$150-SUM($D220:G220),0))</f>
        <v>3312.3069371530487</v>
      </c>
      <c r="I220" s="246"/>
      <c r="J220" s="246"/>
    </row>
    <row r="221" spans="1:10" s="188" customFormat="1" x14ac:dyDescent="0.2">
      <c r="B221" s="243">
        <v>2009</v>
      </c>
      <c r="C221" s="244">
        <f>G$191</f>
        <v>10</v>
      </c>
      <c r="D221" s="245"/>
      <c r="E221" s="245"/>
      <c r="F221" s="245"/>
      <c r="G221" s="245">
        <f>($G$150*0.5)/$C221</f>
        <v>1666.7069464146145</v>
      </c>
      <c r="H221" s="245">
        <f>IF($C221&gt;H$202,$G$150/$C221,IF($C221&lt;=H$202,$G$150-SUM($D221:G221),0))</f>
        <v>3333.4138928292291</v>
      </c>
      <c r="I221" s="246"/>
      <c r="J221" s="246"/>
    </row>
    <row r="222" spans="1:10" s="188" customFormat="1" x14ac:dyDescent="0.2">
      <c r="B222" s="243">
        <v>2010</v>
      </c>
      <c r="C222" s="244">
        <f>H$191</f>
        <v>10</v>
      </c>
      <c r="D222" s="245"/>
      <c r="E222" s="245"/>
      <c r="F222" s="245"/>
      <c r="G222" s="245"/>
      <c r="H222" s="245">
        <f>($H$150*0.5)/$C222</f>
        <v>1655.8766593303094</v>
      </c>
      <c r="I222" s="246"/>
      <c r="J222" s="246"/>
    </row>
    <row r="223" spans="1:10" s="188" customFormat="1" x14ac:dyDescent="0.2">
      <c r="B223" s="243"/>
      <c r="C223" s="244"/>
      <c r="D223" s="247"/>
      <c r="E223" s="247"/>
      <c r="F223" s="247"/>
      <c r="G223" s="247"/>
      <c r="H223" s="247"/>
      <c r="I223" s="246"/>
      <c r="J223" s="246"/>
    </row>
    <row r="224" spans="1:10" s="188" customFormat="1" x14ac:dyDescent="0.2">
      <c r="B224" s="243"/>
      <c r="C224" s="244"/>
      <c r="D224" s="247"/>
      <c r="E224" s="247"/>
      <c r="F224" s="247"/>
      <c r="G224" s="247"/>
      <c r="H224" s="247"/>
      <c r="I224" s="240"/>
      <c r="J224" s="246"/>
    </row>
    <row r="225" spans="1:10" s="188" customFormat="1" x14ac:dyDescent="0.2">
      <c r="D225" s="248">
        <f>SUM(D218:D224)</f>
        <v>295.39436465470129</v>
      </c>
      <c r="E225" s="248">
        <f>SUM(E218:E224)</f>
        <v>1679.1693319997426</v>
      </c>
      <c r="F225" s="248">
        <f>SUM(F218:F224)</f>
        <v>4423.703403266607</v>
      </c>
      <c r="G225" s="248">
        <f>SUM(G218:G224)</f>
        <v>7746.563818257745</v>
      </c>
      <c r="H225" s="248">
        <f>SUM(H218:H224)</f>
        <v>11069.147424002669</v>
      </c>
      <c r="I225" s="246"/>
      <c r="J225" s="246"/>
    </row>
    <row r="226" spans="1:10" s="188" customFormat="1" x14ac:dyDescent="0.2">
      <c r="I226" s="240"/>
      <c r="J226" s="240"/>
    </row>
    <row r="227" spans="1:10" s="188" customFormat="1" x14ac:dyDescent="0.2">
      <c r="A227" s="216" t="s">
        <v>90</v>
      </c>
      <c r="C227" s="188" t="s">
        <v>183</v>
      </c>
      <c r="D227" s="242">
        <v>2006</v>
      </c>
      <c r="E227" s="242">
        <v>2007</v>
      </c>
      <c r="F227" s="242">
        <v>2008</v>
      </c>
      <c r="G227" s="242">
        <v>2009</v>
      </c>
      <c r="H227" s="242">
        <v>2010</v>
      </c>
      <c r="I227" s="237"/>
      <c r="J227" s="237"/>
    </row>
    <row r="228" spans="1:10" s="188" customFormat="1" x14ac:dyDescent="0.2">
      <c r="B228" s="243">
        <v>2006</v>
      </c>
      <c r="C228" s="244">
        <f>D$192</f>
        <v>5</v>
      </c>
      <c r="D228" s="245">
        <f>($D$127*0.5)/$C228</f>
        <v>573</v>
      </c>
      <c r="E228" s="245">
        <f>IF($C228&gt;E$199,$D$127/$C228,IF($C228&lt;=E$199,$D$127-SUM($D228:D228),0))</f>
        <v>1146</v>
      </c>
      <c r="F228" s="245">
        <f>IF($C228&gt;F$199,$D$127/$C228,IF($C228&lt;=F$199,$D$127-SUM($D228:E228),0))</f>
        <v>1146</v>
      </c>
      <c r="G228" s="245">
        <f>IF($C228&gt;G$199,$D$127/$C228,IF($C228&lt;=G$199,$D$127-SUM($D228:F228),0))</f>
        <v>1146</v>
      </c>
      <c r="H228" s="245">
        <f>IF($C228&gt;H$199,$D$127/$C228,IF($C228&lt;=H$199,$D$127-SUM($D228:G228),0))</f>
        <v>1146</v>
      </c>
      <c r="I228" s="246"/>
      <c r="J228" s="246"/>
    </row>
    <row r="229" spans="1:10" s="188" customFormat="1" x14ac:dyDescent="0.2">
      <c r="B229" s="243">
        <v>2007</v>
      </c>
      <c r="C229" s="244">
        <f>E$192</f>
        <v>5</v>
      </c>
      <c r="D229" s="245"/>
      <c r="E229" s="245">
        <f>($E$127*0.5)/$C229</f>
        <v>500</v>
      </c>
      <c r="F229" s="245">
        <f>IF($C229&gt;F$200,$E$127/$C229,IF($C229&lt;=F$200,$E$127-SUM($D229:E229),0))</f>
        <v>1000</v>
      </c>
      <c r="G229" s="245">
        <f>IF($C229&gt;G$200,$E$127/$C229,IF($C229&lt;=G$200,$E$127-SUM($D229:F229),0))</f>
        <v>1000</v>
      </c>
      <c r="H229" s="245">
        <f>IF($C229&gt;H$200,$E$127/$C229,IF($C229&lt;=H$200,$E$127-SUM($D229:G229),0))</f>
        <v>1000</v>
      </c>
      <c r="I229" s="246"/>
      <c r="J229" s="246"/>
    </row>
    <row r="230" spans="1:10" s="188" customFormat="1" x14ac:dyDescent="0.2">
      <c r="B230" s="243">
        <v>2008</v>
      </c>
      <c r="C230" s="244">
        <f>F$192</f>
        <v>5</v>
      </c>
      <c r="D230" s="245"/>
      <c r="E230" s="245"/>
      <c r="F230" s="245">
        <f>($F$127*0.5)/$C230</f>
        <v>50</v>
      </c>
      <c r="G230" s="245">
        <f>IF($C230&gt;G$201,$F$127/$C230,IF($C230&lt;=G$201,$F$127-SUM($D230:F230),0))</f>
        <v>100</v>
      </c>
      <c r="H230" s="245">
        <f>IF($C230&gt;H$201,$F$127/$C230,IF($C230&lt;=H$201,$F$127-SUM($D230:G230),0))</f>
        <v>100</v>
      </c>
      <c r="I230" s="246"/>
      <c r="J230" s="246"/>
    </row>
    <row r="231" spans="1:10" s="188" customFormat="1" x14ac:dyDescent="0.2">
      <c r="B231" s="243">
        <v>2009</v>
      </c>
      <c r="C231" s="244">
        <f>G$192</f>
        <v>5</v>
      </c>
      <c r="D231" s="245"/>
      <c r="E231" s="245"/>
      <c r="F231" s="245"/>
      <c r="G231" s="245">
        <f>($G$127*0.5)/$C231</f>
        <v>50</v>
      </c>
      <c r="H231" s="245">
        <f>IF($C231&gt;H$202,$G$127/$C231,IF($C231&lt;=H$202,$G$127-SUM($D231:G231),0))</f>
        <v>100</v>
      </c>
      <c r="I231" s="246"/>
      <c r="J231" s="246"/>
    </row>
    <row r="232" spans="1:10" s="188" customFormat="1" x14ac:dyDescent="0.2">
      <c r="B232" s="243">
        <v>2010</v>
      </c>
      <c r="C232" s="244">
        <f>H$192</f>
        <v>5</v>
      </c>
      <c r="D232" s="245"/>
      <c r="E232" s="245"/>
      <c r="F232" s="245"/>
      <c r="G232" s="245"/>
      <c r="H232" s="245">
        <f>($H$127*0.5)/$C232</f>
        <v>50</v>
      </c>
      <c r="I232" s="246"/>
      <c r="J232" s="246"/>
    </row>
    <row r="233" spans="1:10" s="188" customFormat="1" x14ac:dyDescent="0.2">
      <c r="B233" s="243"/>
      <c r="C233" s="244"/>
      <c r="D233" s="247"/>
      <c r="E233" s="247"/>
      <c r="F233" s="247"/>
      <c r="G233" s="247"/>
      <c r="H233" s="247"/>
      <c r="I233" s="246"/>
      <c r="J233" s="246"/>
    </row>
    <row r="234" spans="1:10" s="188" customFormat="1" x14ac:dyDescent="0.2">
      <c r="B234" s="243"/>
      <c r="C234" s="244"/>
      <c r="D234" s="247"/>
      <c r="E234" s="247"/>
      <c r="F234" s="247"/>
      <c r="G234" s="247"/>
      <c r="H234" s="247"/>
      <c r="I234" s="240"/>
      <c r="J234" s="246"/>
    </row>
    <row r="235" spans="1:10" s="188" customFormat="1" x14ac:dyDescent="0.2">
      <c r="D235" s="248">
        <f>SUM(D228:D234)</f>
        <v>573</v>
      </c>
      <c r="E235" s="248">
        <f>SUM(E228:E234)</f>
        <v>1646</v>
      </c>
      <c r="F235" s="248">
        <f>SUM(F228:F234)</f>
        <v>2196</v>
      </c>
      <c r="G235" s="248">
        <f>SUM(G228:G234)</f>
        <v>2296</v>
      </c>
      <c r="H235" s="248">
        <f>SUM(H228:H234)</f>
        <v>2396</v>
      </c>
      <c r="I235" s="246"/>
      <c r="J235" s="246"/>
    </row>
    <row r="236" spans="1:10" s="188" customFormat="1" x14ac:dyDescent="0.2">
      <c r="I236" s="240"/>
      <c r="J236" s="240"/>
    </row>
    <row r="237" spans="1:10" s="188" customFormat="1" x14ac:dyDescent="0.2">
      <c r="A237" s="216" t="s">
        <v>168</v>
      </c>
      <c r="C237" s="188" t="s">
        <v>183</v>
      </c>
      <c r="D237" s="242">
        <v>2006</v>
      </c>
      <c r="E237" s="242">
        <v>2007</v>
      </c>
      <c r="F237" s="242">
        <v>2008</v>
      </c>
      <c r="G237" s="242">
        <v>2009</v>
      </c>
      <c r="H237" s="242">
        <v>2010</v>
      </c>
      <c r="I237" s="237"/>
      <c r="J237" s="237"/>
    </row>
    <row r="238" spans="1:10" s="188" customFormat="1" x14ac:dyDescent="0.2">
      <c r="B238" s="243">
        <v>2006</v>
      </c>
      <c r="C238" s="244">
        <f>D$193</f>
        <v>5</v>
      </c>
      <c r="D238" s="245">
        <f>($D$128*0.5)/$C238</f>
        <v>63.2</v>
      </c>
      <c r="E238" s="245">
        <f>IF($C238&gt;E$199,$D$128/$C238,IF($C238&lt;=E$199,$D$128-SUM($D238:D238),0))</f>
        <v>126.4</v>
      </c>
      <c r="F238" s="245">
        <f>IF($C238&gt;F$199,$D$128/$C238,IF($C238&lt;=F$199,$D$128-SUM($D238:E238),0))</f>
        <v>126.4</v>
      </c>
      <c r="G238" s="245">
        <f>IF($C238&gt;G$199,$D$128/$C238,IF($C238&lt;=G$199,$D$128-SUM($D238:F238),0))</f>
        <v>126.4</v>
      </c>
      <c r="H238" s="245">
        <f>IF($C238&gt;H$199,$D$128/$C238,IF($C238&lt;=H$199,$D$128-SUM($D238:G238),0))</f>
        <v>126.4</v>
      </c>
      <c r="I238" s="246"/>
      <c r="J238" s="246"/>
    </row>
    <row r="239" spans="1:10" s="188" customFormat="1" x14ac:dyDescent="0.2">
      <c r="B239" s="243">
        <v>2007</v>
      </c>
      <c r="C239" s="244">
        <f>E$193</f>
        <v>5</v>
      </c>
      <c r="D239" s="245"/>
      <c r="E239" s="245">
        <f>($E$128*0.5)/$C239</f>
        <v>114.3</v>
      </c>
      <c r="F239" s="245">
        <f>IF($C239&gt;F$200,$E$128/$C239,IF($C239&lt;=F$200,$E$128-SUM($D239:E239),0))</f>
        <v>228.6</v>
      </c>
      <c r="G239" s="245">
        <f>IF($C239&gt;G$200,$E$128/$C239,IF($C239&lt;=G$200,$E$128-SUM($D239:F239),0))</f>
        <v>228.6</v>
      </c>
      <c r="H239" s="245">
        <f>IF($C239&gt;H$200,$E$128/$C239,IF($C239&lt;=H$200,$E$128-SUM($D239:G239),0))</f>
        <v>228.6</v>
      </c>
      <c r="I239" s="246"/>
      <c r="J239" s="246"/>
    </row>
    <row r="240" spans="1:10" s="188" customFormat="1" x14ac:dyDescent="0.2">
      <c r="B240" s="243">
        <v>2008</v>
      </c>
      <c r="C240" s="244">
        <f>F$193</f>
        <v>5</v>
      </c>
      <c r="D240" s="245"/>
      <c r="E240" s="245"/>
      <c r="F240" s="245">
        <f>($F$128*0.5)/$C240</f>
        <v>71.3</v>
      </c>
      <c r="G240" s="245">
        <f>IF($C240&gt;G$201,$F$128/$C240,IF($C240&lt;=G$201,$F$128-SUM($D240:F240),0))</f>
        <v>142.6</v>
      </c>
      <c r="H240" s="245">
        <f>IF($C240&gt;H$201,$F$128/$C240,IF($C240&lt;=H$201,$F$128-SUM($D240:G240),0))</f>
        <v>142.6</v>
      </c>
      <c r="I240" s="246"/>
      <c r="J240" s="246"/>
    </row>
    <row r="241" spans="1:10" s="188" customFormat="1" x14ac:dyDescent="0.2">
      <c r="B241" s="243">
        <v>2009</v>
      </c>
      <c r="C241" s="244">
        <f>G$193</f>
        <v>5</v>
      </c>
      <c r="D241" s="245"/>
      <c r="E241" s="245"/>
      <c r="F241" s="245"/>
      <c r="G241" s="245">
        <f>($G$128*0.5)/$C241</f>
        <v>72.099999999999994</v>
      </c>
      <c r="H241" s="245">
        <f>IF($C241&gt;H$202,$G$128/$C241,IF($C241&lt;=H$202,$G$128-SUM($D241:G241),0))</f>
        <v>144.19999999999999</v>
      </c>
      <c r="I241" s="246"/>
      <c r="J241" s="246"/>
    </row>
    <row r="242" spans="1:10" s="188" customFormat="1" x14ac:dyDescent="0.2">
      <c r="B242" s="243">
        <v>2010</v>
      </c>
      <c r="C242" s="244">
        <f>H$193</f>
        <v>5</v>
      </c>
      <c r="D242" s="245"/>
      <c r="E242" s="245"/>
      <c r="F242" s="245"/>
      <c r="G242" s="245"/>
      <c r="H242" s="245">
        <f>($H$128*0.5)/$C242</f>
        <v>73.099999999999994</v>
      </c>
      <c r="I242" s="246"/>
      <c r="J242" s="246"/>
    </row>
    <row r="243" spans="1:10" s="188" customFormat="1" x14ac:dyDescent="0.2">
      <c r="B243" s="243"/>
      <c r="C243" s="244"/>
      <c r="D243" s="247"/>
      <c r="E243" s="247"/>
      <c r="F243" s="247"/>
      <c r="G243" s="247"/>
      <c r="H243" s="247"/>
      <c r="I243" s="246"/>
      <c r="J243" s="246"/>
    </row>
    <row r="244" spans="1:10" s="188" customFormat="1" x14ac:dyDescent="0.2">
      <c r="B244" s="243"/>
      <c r="C244" s="244"/>
      <c r="D244" s="247"/>
      <c r="E244" s="247"/>
      <c r="F244" s="247"/>
      <c r="G244" s="247"/>
      <c r="H244" s="247"/>
      <c r="I244" s="240"/>
      <c r="J244" s="246"/>
    </row>
    <row r="245" spans="1:10" s="188" customFormat="1" x14ac:dyDescent="0.2">
      <c r="D245" s="248">
        <f>SUM(D238:D244)</f>
        <v>63.2</v>
      </c>
      <c r="E245" s="248">
        <f>SUM(E238:E244)</f>
        <v>240.7</v>
      </c>
      <c r="F245" s="248">
        <f>SUM(F238:F244)</f>
        <v>426.3</v>
      </c>
      <c r="G245" s="248">
        <f>SUM(G238:G244)</f>
        <v>569.70000000000005</v>
      </c>
      <c r="H245" s="248">
        <f>SUM(H238:H244)</f>
        <v>714.9</v>
      </c>
      <c r="I245" s="246"/>
      <c r="J245" s="246"/>
    </row>
    <row r="246" spans="1:10" s="150" customFormat="1" x14ac:dyDescent="0.2">
      <c r="I246" s="155"/>
      <c r="J246" s="155"/>
    </row>
    <row r="247" spans="1:10" s="150" customFormat="1" x14ac:dyDescent="0.2">
      <c r="A247" s="177"/>
      <c r="B247" s="177"/>
      <c r="C247" s="177"/>
      <c r="D247" s="177"/>
      <c r="E247" s="177"/>
      <c r="F247" s="177"/>
      <c r="G247" s="177"/>
      <c r="H247" s="177"/>
      <c r="I247" s="155"/>
      <c r="J247" s="155"/>
    </row>
    <row r="248" spans="1:10" s="150" customFormat="1" x14ac:dyDescent="0.2">
      <c r="I248" s="155"/>
      <c r="J248" s="155"/>
    </row>
    <row r="249" spans="1:10" s="150" customFormat="1" x14ac:dyDescent="0.2">
      <c r="I249" s="155"/>
      <c r="J249" s="155"/>
    </row>
    <row r="250" spans="1:10" x14ac:dyDescent="0.2">
      <c r="A250" s="126" t="s">
        <v>184</v>
      </c>
      <c r="I250" s="155"/>
      <c r="J250" s="155"/>
    </row>
    <row r="251" spans="1:10" x14ac:dyDescent="0.2">
      <c r="A251" s="131" t="s">
        <v>185</v>
      </c>
      <c r="B251" s="128"/>
      <c r="C251" s="128"/>
      <c r="D251" s="132">
        <v>2006</v>
      </c>
      <c r="E251" s="132">
        <v>2007</v>
      </c>
      <c r="F251" s="132">
        <v>2008</v>
      </c>
      <c r="G251" s="132">
        <v>2009</v>
      </c>
      <c r="H251" s="132">
        <v>2010</v>
      </c>
      <c r="I251" s="214"/>
      <c r="J251" s="214"/>
    </row>
    <row r="252" spans="1:10" x14ac:dyDescent="0.2">
      <c r="A252" s="126" t="s">
        <v>186</v>
      </c>
      <c r="I252" s="155"/>
      <c r="J252" s="155"/>
    </row>
    <row r="253" spans="1:10" ht="24" x14ac:dyDescent="0.2">
      <c r="A253" s="131" t="s">
        <v>187</v>
      </c>
      <c r="D253" s="249" t="s">
        <v>188</v>
      </c>
      <c r="E253" s="250"/>
      <c r="I253" s="155"/>
      <c r="J253" s="155"/>
    </row>
    <row r="254" spans="1:10" x14ac:dyDescent="0.2">
      <c r="A254" s="128" t="s">
        <v>189</v>
      </c>
      <c r="C254" s="250"/>
      <c r="D254" s="250"/>
      <c r="E254" s="250"/>
      <c r="I254" s="155"/>
      <c r="J254" s="155"/>
    </row>
    <row r="255" spans="1:10" x14ac:dyDescent="0.2">
      <c r="A255" s="124" t="s">
        <v>49</v>
      </c>
      <c r="D255" s="302">
        <f>'Data 2006-08'!C176</f>
        <v>0.375</v>
      </c>
      <c r="F255" s="200"/>
      <c r="I255" s="155"/>
      <c r="J255" s="155"/>
    </row>
    <row r="256" spans="1:10" x14ac:dyDescent="0.2">
      <c r="A256" s="124" t="s">
        <v>50</v>
      </c>
      <c r="D256" s="303">
        <f>'Data 2006-08'!C177</f>
        <v>0.06</v>
      </c>
      <c r="F256" s="200"/>
      <c r="I256" s="155"/>
      <c r="J256" s="155"/>
    </row>
    <row r="257" spans="1:10" x14ac:dyDescent="0.2">
      <c r="A257" s="124" t="s">
        <v>90</v>
      </c>
      <c r="D257" s="303">
        <f>'Data 2006-08'!C178</f>
        <v>0.4</v>
      </c>
      <c r="F257" s="200"/>
      <c r="I257" s="155"/>
      <c r="J257" s="155"/>
    </row>
    <row r="258" spans="1:10" x14ac:dyDescent="0.2">
      <c r="A258" s="129" t="s">
        <v>91</v>
      </c>
      <c r="D258" s="305">
        <f>'Data 2006-08'!C179</f>
        <v>0.1764705882352941</v>
      </c>
      <c r="F258" s="200"/>
      <c r="I258" s="155"/>
      <c r="J258" s="155"/>
    </row>
    <row r="259" spans="1:10" s="150" customFormat="1" x14ac:dyDescent="0.2">
      <c r="D259" s="251"/>
      <c r="I259" s="155"/>
      <c r="J259" s="155"/>
    </row>
    <row r="260" spans="1:10" s="150" customFormat="1" x14ac:dyDescent="0.2">
      <c r="A260" s="252" t="s">
        <v>190</v>
      </c>
      <c r="D260" s="251"/>
      <c r="I260" s="155"/>
      <c r="J260" s="155"/>
    </row>
    <row r="261" spans="1:10" s="150" customFormat="1" x14ac:dyDescent="0.2">
      <c r="A261" s="124" t="s">
        <v>49</v>
      </c>
      <c r="D261" s="216">
        <f>D263-D262</f>
        <v>5907.8872930940261</v>
      </c>
      <c r="E261" s="216">
        <f>E263-E262</f>
        <v>21767.612053806795</v>
      </c>
      <c r="F261" s="216">
        <f>F263-F262</f>
        <v>33123.069371530488</v>
      </c>
      <c r="G261" s="216">
        <f>G263-G262</f>
        <v>33334.13892829229</v>
      </c>
      <c r="H261" s="216">
        <f>H263-H262</f>
        <v>33117.53318660619</v>
      </c>
      <c r="I261" s="218"/>
      <c r="J261" s="218"/>
    </row>
    <row r="262" spans="1:10" s="150" customFormat="1" x14ac:dyDescent="0.2">
      <c r="A262" s="124" t="s">
        <v>50</v>
      </c>
      <c r="D262" s="218">
        <f>D274</f>
        <v>0</v>
      </c>
      <c r="E262" s="218">
        <f>E274</f>
        <v>0</v>
      </c>
      <c r="F262" s="218">
        <f>F274</f>
        <v>0</v>
      </c>
      <c r="G262" s="218">
        <f>G274</f>
        <v>0</v>
      </c>
      <c r="H262" s="218">
        <f>H274</f>
        <v>0</v>
      </c>
      <c r="I262" s="218"/>
      <c r="J262" s="218"/>
    </row>
    <row r="263" spans="1:10" s="150" customFormat="1" x14ac:dyDescent="0.2">
      <c r="A263" s="150" t="s">
        <v>191</v>
      </c>
      <c r="D263" s="221">
        <f>D122+D123</f>
        <v>5907.8872930940261</v>
      </c>
      <c r="E263" s="221">
        <f>E122+E123</f>
        <v>21767.612053806795</v>
      </c>
      <c r="F263" s="221">
        <f>F122+F123</f>
        <v>33123.069371530488</v>
      </c>
      <c r="G263" s="221">
        <f>G122+G123</f>
        <v>33334.13892829229</v>
      </c>
      <c r="H263" s="221">
        <f>H122+H123</f>
        <v>33117.53318660619</v>
      </c>
      <c r="I263" s="218"/>
      <c r="J263" s="218"/>
    </row>
    <row r="264" spans="1:10" s="150" customFormat="1" x14ac:dyDescent="0.2">
      <c r="D264" s="218"/>
      <c r="E264" s="218"/>
      <c r="F264" s="218"/>
      <c r="G264" s="218"/>
      <c r="H264" s="218"/>
      <c r="I264" s="218"/>
      <c r="J264" s="218"/>
    </row>
    <row r="265" spans="1:10" s="150" customFormat="1" x14ac:dyDescent="0.2">
      <c r="A265" s="252" t="s">
        <v>190</v>
      </c>
      <c r="D265" s="251"/>
      <c r="I265" s="155"/>
      <c r="J265" s="155"/>
    </row>
    <row r="266" spans="1:10" s="155" customFormat="1" x14ac:dyDescent="0.2">
      <c r="A266" s="253" t="s">
        <v>50</v>
      </c>
      <c r="B266" s="218"/>
      <c r="C266" s="218"/>
      <c r="D266" s="254"/>
      <c r="E266" s="254"/>
      <c r="F266" s="254"/>
      <c r="G266" s="254"/>
      <c r="H266" s="254"/>
      <c r="I266" s="218"/>
      <c r="J266" s="218"/>
    </row>
    <row r="267" spans="1:10" s="155" customFormat="1" x14ac:dyDescent="0.2">
      <c r="A267" t="s">
        <v>192</v>
      </c>
      <c r="B267" s="214"/>
      <c r="C267" s="214"/>
      <c r="D267" s="218">
        <f>IF(D323&lt;1000,0,D323*J323)/1000+IF(D331&lt;1000,0,D331*J331)/1000</f>
        <v>0</v>
      </c>
      <c r="E267" s="218">
        <f>IF(E323&lt;1000,0,E323*K323)/1000+IF(E331&lt;1000,0,E331*K331)/1000</f>
        <v>0</v>
      </c>
      <c r="F267" s="218">
        <f>IF(F323&lt;1000,0,F323*L323)/1000+IF(F331&lt;1000,0,F331*L331)/1000</f>
        <v>0</v>
      </c>
      <c r="G267" s="218">
        <f>IF(G323&lt;1000,0,G323*M323)/1000+IF(G331&lt;1000,0,G331*M331)/1000</f>
        <v>0</v>
      </c>
      <c r="H267" s="218">
        <f>IF(H323&lt;1000,0,H323*N323)/1000+IF(H331&lt;1000,0,H331*N331)/1000</f>
        <v>0</v>
      </c>
      <c r="I267" s="214"/>
      <c r="J267" s="214"/>
    </row>
    <row r="268" spans="1:10" s="155" customFormat="1" x14ac:dyDescent="0.2">
      <c r="A268" t="s">
        <v>193</v>
      </c>
      <c r="B268" s="214"/>
      <c r="C268" s="214"/>
      <c r="D268" s="218"/>
      <c r="E268" s="218"/>
      <c r="F268" s="218"/>
      <c r="G268" s="218"/>
      <c r="H268" s="218"/>
      <c r="I268" s="214"/>
      <c r="J268" s="214"/>
    </row>
    <row r="269" spans="1:10" s="155" customFormat="1" x14ac:dyDescent="0.2">
      <c r="A269" s="155" t="s">
        <v>194</v>
      </c>
      <c r="B269" s="218"/>
      <c r="C269" s="218"/>
      <c r="D269" s="218">
        <f>IF(D325&lt;1000,0,D325*J325)/1000+IF(D333&lt;1000,0,D333*J333)/1000</f>
        <v>0</v>
      </c>
      <c r="E269" s="218">
        <f>IF(E325&lt;1000,0,E325*K325)/1000+IF(E333&lt;1000,0,E333*K333)/1000</f>
        <v>0</v>
      </c>
      <c r="F269" s="218">
        <f>IF(F325&lt;1000,0,F325*L325)/1000+IF(F333&lt;1000,0,F333*L333)/1000</f>
        <v>0</v>
      </c>
      <c r="G269" s="218">
        <f>IF(G325&lt;1000,0,G325*M325)/1000+IF(G333&lt;1000,0,G333*M333)/1000</f>
        <v>0</v>
      </c>
      <c r="H269" s="218">
        <f>IF(H325&lt;1000,0,H325*N325)/1000+IF(H333&lt;1000,0,H333*N333)/1000</f>
        <v>0</v>
      </c>
      <c r="I269" s="218"/>
      <c r="J269" s="218"/>
    </row>
    <row r="270" spans="1:10" s="155" customFormat="1" x14ac:dyDescent="0.2">
      <c r="A270" s="155" t="s">
        <v>195</v>
      </c>
      <c r="B270" s="218"/>
      <c r="C270" s="218"/>
      <c r="D270" s="218">
        <f>IF(D326&lt;1000,0,D326*J326)+IF(D334&lt;1000,0,D334*J334)</f>
        <v>0</v>
      </c>
      <c r="E270" s="218">
        <f>IF(E326&lt;1000,0,E326*K326)+IF(E334&lt;1000,0,E334*K334)</f>
        <v>0</v>
      </c>
      <c r="F270" s="218">
        <f>IF(F326&lt;1000,0,F326*L326)+IF(F334&lt;1000,0,F334*L334)</f>
        <v>0</v>
      </c>
      <c r="G270" s="218">
        <f>IF(G326&lt;1000,0,G326*M326)+IF(G334&lt;1000,0,G334*M334)</f>
        <v>0</v>
      </c>
      <c r="H270" s="218">
        <f>IF(H326&lt;1000,0,H326*N326)+IF(H334&lt;1000,0,H334*N334)</f>
        <v>0</v>
      </c>
      <c r="I270" s="218"/>
      <c r="J270" s="218"/>
    </row>
    <row r="271" spans="1:10" s="155" customFormat="1" x14ac:dyDescent="0.2">
      <c r="A271" s="155" t="s">
        <v>196</v>
      </c>
      <c r="B271" s="218"/>
      <c r="C271" s="218"/>
      <c r="D271" s="218">
        <f t="shared" ref="D271:H272" si="6">IF(D327&lt;1000,0,D327*J327)/1000+IF(D335&lt;1000,0,D335*J335)/1000</f>
        <v>0</v>
      </c>
      <c r="E271" s="218">
        <f t="shared" si="6"/>
        <v>0</v>
      </c>
      <c r="F271" s="218">
        <f t="shared" si="6"/>
        <v>0</v>
      </c>
      <c r="G271" s="218">
        <f t="shared" si="6"/>
        <v>0</v>
      </c>
      <c r="H271" s="218">
        <f t="shared" si="6"/>
        <v>0</v>
      </c>
      <c r="I271" s="218"/>
      <c r="J271" s="218"/>
    </row>
    <row r="272" spans="1:10" s="155" customFormat="1" x14ac:dyDescent="0.2">
      <c r="A272" s="155" t="s">
        <v>197</v>
      </c>
      <c r="B272" s="218"/>
      <c r="C272" s="218"/>
      <c r="D272" s="218">
        <f t="shared" si="6"/>
        <v>0</v>
      </c>
      <c r="E272" s="218">
        <f t="shared" si="6"/>
        <v>0</v>
      </c>
      <c r="F272" s="218">
        <f t="shared" si="6"/>
        <v>0</v>
      </c>
      <c r="G272" s="218">
        <f t="shared" si="6"/>
        <v>0</v>
      </c>
      <c r="H272" s="218">
        <f t="shared" si="6"/>
        <v>0</v>
      </c>
      <c r="I272" s="218"/>
      <c r="J272" s="218"/>
    </row>
    <row r="273" spans="1:10" s="155" customFormat="1" x14ac:dyDescent="0.2">
      <c r="A273" s="226" t="s">
        <v>198</v>
      </c>
      <c r="B273" s="218"/>
      <c r="C273" s="218"/>
      <c r="D273" s="218">
        <f>IF(D337&lt;1000,0,D337*J337)/1000</f>
        <v>0</v>
      </c>
      <c r="E273" s="218">
        <f>IF(E337&lt;1000,0,E337*K337)/1000</f>
        <v>0</v>
      </c>
      <c r="F273" s="218">
        <f>IF(F337&lt;1000,0,F337*L337)/1000</f>
        <v>0</v>
      </c>
      <c r="G273" s="218">
        <f>IF(G337&lt;1000,0,G337*M337)/1000</f>
        <v>0</v>
      </c>
      <c r="H273" s="218">
        <f>IF(H337&lt;1000,0,H337*N337)/1000</f>
        <v>0</v>
      </c>
      <c r="I273" s="218"/>
      <c r="J273" s="218"/>
    </row>
    <row r="274" spans="1:10" s="155" customFormat="1" x14ac:dyDescent="0.2">
      <c r="A274" s="255" t="s">
        <v>199</v>
      </c>
      <c r="B274" s="218"/>
      <c r="C274" s="218"/>
      <c r="D274" s="221">
        <f>SUM(D269:D273)</f>
        <v>0</v>
      </c>
      <c r="E274" s="221">
        <f>SUM(E269:E273)</f>
        <v>0</v>
      </c>
      <c r="F274" s="221">
        <f>SUM(F269:F273)</f>
        <v>0</v>
      </c>
      <c r="G274" s="221">
        <f>SUM(G269:G273)</f>
        <v>0</v>
      </c>
      <c r="H274" s="221">
        <f>SUM(H269:H273)</f>
        <v>0</v>
      </c>
      <c r="I274" s="218"/>
      <c r="J274" s="218"/>
    </row>
    <row r="275" spans="1:10" s="150" customFormat="1" x14ac:dyDescent="0.2">
      <c r="D275" s="251"/>
      <c r="I275" s="155"/>
      <c r="J275" s="155"/>
    </row>
    <row r="276" spans="1:10" s="150" customFormat="1" x14ac:dyDescent="0.2">
      <c r="D276" s="251"/>
      <c r="I276" s="155"/>
      <c r="J276" s="155"/>
    </row>
    <row r="277" spans="1:10" s="150" customFormat="1" x14ac:dyDescent="0.2">
      <c r="D277" s="251"/>
      <c r="I277" s="155"/>
      <c r="J277" s="155"/>
    </row>
    <row r="278" spans="1:10" s="150" customFormat="1" x14ac:dyDescent="0.2">
      <c r="A278" s="124" t="s">
        <v>148</v>
      </c>
      <c r="D278" s="256">
        <f>(148.4/144.8)*(1+D$63)</f>
        <v>1.0510983425414364</v>
      </c>
      <c r="E278" s="256">
        <f>D278*(1+E$63)</f>
        <v>1.0780064601104973</v>
      </c>
      <c r="F278" s="256">
        <f>E278*(1+F$63)</f>
        <v>1.1056034254893261</v>
      </c>
      <c r="G278" s="256">
        <f>F278*(1+G$63)</f>
        <v>1.1339068731818529</v>
      </c>
      <c r="H278" s="256">
        <f>G278*(1+H$63)</f>
        <v>1.1629348891353084</v>
      </c>
      <c r="I278" s="257"/>
      <c r="J278" s="257"/>
    </row>
    <row r="279" spans="1:10" s="150" customFormat="1" x14ac:dyDescent="0.2">
      <c r="D279" s="251"/>
      <c r="I279" s="155"/>
      <c r="J279" s="155"/>
    </row>
    <row r="280" spans="1:10" s="155" customFormat="1" x14ac:dyDescent="0.2">
      <c r="A280" s="214" t="s">
        <v>200</v>
      </c>
    </row>
    <row r="281" spans="1:10" s="150" customFormat="1" x14ac:dyDescent="0.2">
      <c r="A281" s="258" t="s">
        <v>49</v>
      </c>
      <c r="B281" s="155"/>
      <c r="C281" s="155"/>
      <c r="D281" s="155"/>
      <c r="E281" s="155"/>
      <c r="F281" s="155"/>
      <c r="G281" s="155"/>
      <c r="H281" s="155"/>
      <c r="I281" s="155"/>
      <c r="J281" s="155"/>
    </row>
    <row r="282" spans="1:10" s="150" customFormat="1" x14ac:dyDescent="0.2">
      <c r="A282" s="150" t="s">
        <v>201</v>
      </c>
      <c r="B282" s="155"/>
      <c r="C282" s="155"/>
      <c r="D282" s="219">
        <v>0</v>
      </c>
      <c r="E282" s="218">
        <f>D285</f>
        <v>5045.4385651253542</v>
      </c>
      <c r="F282" s="218">
        <f>E285</f>
        <v>22219.220565539417</v>
      </c>
      <c r="G282" s="218">
        <f>F285</f>
        <v>43641.558258368445</v>
      </c>
      <c r="H282" s="218">
        <f>G285</f>
        <v>57986.693920921658</v>
      </c>
      <c r="I282" s="218"/>
      <c r="J282" s="218"/>
    </row>
    <row r="283" spans="1:10" s="150" customFormat="1" x14ac:dyDescent="0.2">
      <c r="A283" s="150" t="s">
        <v>177</v>
      </c>
      <c r="B283" s="155"/>
      <c r="C283" s="155"/>
      <c r="D283" s="218">
        <f>$D$255*(D282+D284*0.5)</f>
        <v>1164.3319765673896</v>
      </c>
      <c r="E283" s="218">
        <f>$D$255*(E282+E284*0.5)</f>
        <v>6291.8444147687924</v>
      </c>
      <c r="F283" s="218">
        <f>$D$255*(F282+F284*0.5)</f>
        <v>15198.64126705566</v>
      </c>
      <c r="G283" s="218">
        <f>$D$255*(G282+G284*0.5)</f>
        <v>23452.673579836177</v>
      </c>
      <c r="H283" s="218">
        <f>$D$255*(H282+H284*0.5)</f>
        <v>28966.297992495765</v>
      </c>
      <c r="I283" s="218"/>
      <c r="J283" s="218"/>
    </row>
    <row r="284" spans="1:10" s="150" customFormat="1" x14ac:dyDescent="0.2">
      <c r="A284" s="150" t="s">
        <v>202</v>
      </c>
      <c r="B284" s="155"/>
      <c r="C284" s="155"/>
      <c r="D284" s="218">
        <f>D261*D$278</f>
        <v>6209.7705416927438</v>
      </c>
      <c r="E284" s="218">
        <f>E261*E$278</f>
        <v>23465.626415182855</v>
      </c>
      <c r="F284" s="218">
        <f>F261*F$278</f>
        <v>36620.978959884691</v>
      </c>
      <c r="G284" s="218">
        <f>G261*G$278</f>
        <v>37797.80924238939</v>
      </c>
      <c r="H284" s="218">
        <f>H261*H$278</f>
        <v>38513.534784800766</v>
      </c>
      <c r="I284" s="218"/>
      <c r="J284" s="218"/>
    </row>
    <row r="285" spans="1:10" s="150" customFormat="1" x14ac:dyDescent="0.2">
      <c r="A285" s="150" t="s">
        <v>203</v>
      </c>
      <c r="B285" s="155"/>
      <c r="C285" s="155"/>
      <c r="D285" s="221">
        <f>D282-D283+D284</f>
        <v>5045.4385651253542</v>
      </c>
      <c r="E285" s="221">
        <f>E282-E283+E284</f>
        <v>22219.220565539417</v>
      </c>
      <c r="F285" s="221">
        <f>F282-F283+F284</f>
        <v>43641.558258368445</v>
      </c>
      <c r="G285" s="221">
        <f>G282-G283+G284</f>
        <v>57986.693920921658</v>
      </c>
      <c r="H285" s="221">
        <f>H282-H283+H284</f>
        <v>67533.930713226655</v>
      </c>
      <c r="I285" s="218"/>
      <c r="J285" s="218"/>
    </row>
    <row r="286" spans="1:10" s="150" customFormat="1" x14ac:dyDescent="0.2">
      <c r="A286" s="155"/>
      <c r="B286" s="155"/>
      <c r="C286" s="155"/>
      <c r="I286" s="155"/>
      <c r="J286" s="155"/>
    </row>
    <row r="287" spans="1:10" s="150" customFormat="1" x14ac:dyDescent="0.2">
      <c r="A287" s="258" t="s">
        <v>50</v>
      </c>
      <c r="B287" s="155"/>
      <c r="C287" s="155"/>
      <c r="D287" s="155"/>
      <c r="E287" s="155"/>
      <c r="F287" s="155"/>
      <c r="G287" s="155"/>
      <c r="H287" s="155"/>
      <c r="I287" s="155"/>
      <c r="J287" s="155"/>
    </row>
    <row r="288" spans="1:10" s="150" customFormat="1" x14ac:dyDescent="0.2">
      <c r="A288" s="150" t="s">
        <v>201</v>
      </c>
      <c r="B288" s="155"/>
      <c r="C288" s="155"/>
      <c r="D288" s="219">
        <v>0</v>
      </c>
      <c r="E288" s="218">
        <f>D291</f>
        <v>0</v>
      </c>
      <c r="F288" s="218">
        <f>E291</f>
        <v>0</v>
      </c>
      <c r="G288" s="218">
        <f>F291</f>
        <v>0</v>
      </c>
      <c r="H288" s="218">
        <f>G291</f>
        <v>0</v>
      </c>
      <c r="I288" s="218"/>
      <c r="J288" s="218"/>
    </row>
    <row r="289" spans="1:10" s="150" customFormat="1" x14ac:dyDescent="0.2">
      <c r="A289" s="150" t="s">
        <v>177</v>
      </c>
      <c r="B289" s="155"/>
      <c r="C289" s="155"/>
      <c r="D289" s="218">
        <f>$D$256*(D288+D290*0.5)</f>
        <v>0</v>
      </c>
      <c r="E289" s="218">
        <f>$D$256*(E288+E290*0.5)</f>
        <v>0</v>
      </c>
      <c r="F289" s="218">
        <f>$D$256*(F288+F290*0.5)</f>
        <v>0</v>
      </c>
      <c r="G289" s="218">
        <f>$D$256*(G288+G290*0.5)</f>
        <v>0</v>
      </c>
      <c r="H289" s="218">
        <f>$D$256*(H288+H290*0.5)</f>
        <v>0</v>
      </c>
      <c r="I289" s="218"/>
      <c r="J289" s="218"/>
    </row>
    <row r="290" spans="1:10" s="150" customFormat="1" x14ac:dyDescent="0.2">
      <c r="A290" s="150" t="s">
        <v>202</v>
      </c>
      <c r="B290" s="155"/>
      <c r="C290" s="155"/>
      <c r="D290" s="218">
        <f>D263*D$278-D284</f>
        <v>0</v>
      </c>
      <c r="E290" s="218">
        <f>E263*E$278-E284</f>
        <v>0</v>
      </c>
      <c r="F290" s="218">
        <f>F263*F$278-F284</f>
        <v>0</v>
      </c>
      <c r="G290" s="218">
        <f>G263*G$278-G284</f>
        <v>0</v>
      </c>
      <c r="H290" s="218">
        <f>H263*H$278-H284</f>
        <v>0</v>
      </c>
      <c r="I290" s="218"/>
      <c r="J290" s="218"/>
    </row>
    <row r="291" spans="1:10" s="150" customFormat="1" x14ac:dyDescent="0.2">
      <c r="A291" s="150" t="s">
        <v>203</v>
      </c>
      <c r="B291" s="155"/>
      <c r="C291" s="155"/>
      <c r="D291" s="221">
        <f>D288-D289+D290</f>
        <v>0</v>
      </c>
      <c r="E291" s="221">
        <f>E288-E289+E290</f>
        <v>0</v>
      </c>
      <c r="F291" s="221">
        <f>F288-F289+F290</f>
        <v>0</v>
      </c>
      <c r="G291" s="221">
        <f>G288-G289+G290</f>
        <v>0</v>
      </c>
      <c r="H291" s="221">
        <f>H288-H289+H290</f>
        <v>0</v>
      </c>
      <c r="I291" s="218"/>
      <c r="J291" s="218"/>
    </row>
    <row r="292" spans="1:10" s="150" customFormat="1" x14ac:dyDescent="0.2">
      <c r="A292" s="155"/>
      <c r="B292" s="155"/>
      <c r="C292" s="155"/>
      <c r="D292" s="218"/>
      <c r="E292" s="218"/>
      <c r="F292" s="218"/>
      <c r="G292" s="218"/>
      <c r="H292" s="218"/>
      <c r="I292" s="218"/>
      <c r="J292" s="218"/>
    </row>
    <row r="293" spans="1:10" s="150" customFormat="1" x14ac:dyDescent="0.2">
      <c r="A293" s="258" t="s">
        <v>90</v>
      </c>
      <c r="I293" s="155"/>
      <c r="J293" s="155"/>
    </row>
    <row r="294" spans="1:10" s="150" customFormat="1" x14ac:dyDescent="0.2">
      <c r="A294" s="150" t="s">
        <v>201</v>
      </c>
      <c r="B294" s="155"/>
      <c r="C294" s="155"/>
      <c r="D294" s="219">
        <v>0</v>
      </c>
      <c r="E294" s="218">
        <f>D297</f>
        <v>4818.234802209945</v>
      </c>
      <c r="F294" s="218">
        <f>E297</f>
        <v>7202.9667217679562</v>
      </c>
      <c r="G294" s="218">
        <f>F297</f>
        <v>4764.0214032565036</v>
      </c>
      <c r="H294" s="218">
        <f>G297</f>
        <v>3311.9755912266437</v>
      </c>
      <c r="I294" s="218"/>
      <c r="J294" s="218"/>
    </row>
    <row r="295" spans="1:10" s="150" customFormat="1" x14ac:dyDescent="0.2">
      <c r="A295" s="150" t="s">
        <v>177</v>
      </c>
      <c r="B295" s="155"/>
      <c r="C295" s="155"/>
      <c r="D295" s="218">
        <f>$D$257*(D294+D296*0.5)</f>
        <v>1204.5587005524862</v>
      </c>
      <c r="E295" s="218">
        <f>$D$257*(E294+E296*0.5)</f>
        <v>3005.3003809944753</v>
      </c>
      <c r="F295" s="218">
        <f>$D$257*(F294+F296*0.5)</f>
        <v>2991.7470312561154</v>
      </c>
      <c r="G295" s="218">
        <f>$D$257*(G294+G296*0.5)</f>
        <v>2018.9992486207866</v>
      </c>
      <c r="H295" s="218">
        <f>$D$257*(H294+H296*0.5)</f>
        <v>1441.0837254041883</v>
      </c>
      <c r="I295" s="218"/>
      <c r="J295" s="218"/>
    </row>
    <row r="296" spans="1:10" s="150" customFormat="1" x14ac:dyDescent="0.2">
      <c r="A296" s="150" t="s">
        <v>202</v>
      </c>
      <c r="B296" s="155"/>
      <c r="C296" s="155"/>
      <c r="D296" s="218">
        <f>D127*D$278</f>
        <v>6022.7935027624308</v>
      </c>
      <c r="E296" s="218">
        <f>E127*E$278</f>
        <v>5390.032300552486</v>
      </c>
      <c r="F296" s="218">
        <f>F127*F$278</f>
        <v>552.80171274466306</v>
      </c>
      <c r="G296" s="218">
        <f>G127*G$278</f>
        <v>566.95343659092646</v>
      </c>
      <c r="H296" s="218">
        <f>H127*H$278</f>
        <v>581.46744456765418</v>
      </c>
      <c r="I296" s="218"/>
      <c r="J296" s="218"/>
    </row>
    <row r="297" spans="1:10" s="150" customFormat="1" x14ac:dyDescent="0.2">
      <c r="A297" s="150" t="s">
        <v>203</v>
      </c>
      <c r="B297" s="155"/>
      <c r="C297" s="155"/>
      <c r="D297" s="221">
        <f>D294-D295+D296</f>
        <v>4818.234802209945</v>
      </c>
      <c r="E297" s="221">
        <f>E294-E295+E296</f>
        <v>7202.9667217679562</v>
      </c>
      <c r="F297" s="221">
        <f>F294-F295+F296</f>
        <v>4764.0214032565036</v>
      </c>
      <c r="G297" s="221">
        <f>G294-G295+G296</f>
        <v>3311.9755912266437</v>
      </c>
      <c r="H297" s="221">
        <f>H294-H295+H296</f>
        <v>2452.3593103901094</v>
      </c>
      <c r="I297" s="218"/>
      <c r="J297" s="218"/>
    </row>
    <row r="298" spans="1:10" s="150" customFormat="1" x14ac:dyDescent="0.2">
      <c r="A298" s="155"/>
      <c r="B298" s="155"/>
      <c r="C298" s="155"/>
      <c r="D298" s="218"/>
      <c r="E298" s="218"/>
      <c r="F298" s="218"/>
      <c r="G298" s="218"/>
      <c r="H298" s="218"/>
      <c r="I298" s="218"/>
      <c r="J298" s="218"/>
    </row>
    <row r="299" spans="1:10" s="150" customFormat="1" x14ac:dyDescent="0.2">
      <c r="A299" s="258" t="s">
        <v>91</v>
      </c>
      <c r="I299" s="155"/>
      <c r="J299" s="155"/>
    </row>
    <row r="300" spans="1:10" s="150" customFormat="1" x14ac:dyDescent="0.2">
      <c r="A300" s="150" t="s">
        <v>201</v>
      </c>
      <c r="B300" s="155"/>
      <c r="C300" s="155"/>
      <c r="D300" s="219">
        <v>0</v>
      </c>
      <c r="E300" s="218">
        <f>D303</f>
        <v>605.67996256093602</v>
      </c>
      <c r="F300" s="218">
        <f>E303</f>
        <v>1622.2365250823959</v>
      </c>
      <c r="G300" s="218">
        <f>F303</f>
        <v>2054.6992710558134</v>
      </c>
      <c r="H300" s="218">
        <f>G303</f>
        <v>2437.5156503544226</v>
      </c>
      <c r="I300" s="218"/>
      <c r="J300" s="218"/>
    </row>
    <row r="301" spans="1:10" s="150" customFormat="1" x14ac:dyDescent="0.2">
      <c r="A301" s="150" t="s">
        <v>177</v>
      </c>
      <c r="B301" s="155"/>
      <c r="C301" s="155"/>
      <c r="D301" s="218">
        <f>$D$258*(D300+D302*0.5)</f>
        <v>58.614189925251864</v>
      </c>
      <c r="E301" s="218">
        <f>$D$258*(E300+E302*0.5)</f>
        <v>215.60482138483854</v>
      </c>
      <c r="F301" s="218">
        <f>$D$258*(F300+F302*0.5)</f>
        <v>355.83249640047188</v>
      </c>
      <c r="G301" s="218">
        <f>$D$258*(G300+G302*0.5)</f>
        <v>434.7304762655067</v>
      </c>
      <c r="H301" s="218">
        <f>$D$258*(H300+H302*0.5)</f>
        <v>505.15912100000781</v>
      </c>
      <c r="I301" s="218"/>
      <c r="J301" s="218"/>
    </row>
    <row r="302" spans="1:10" s="150" customFormat="1" x14ac:dyDescent="0.2">
      <c r="A302" s="150" t="s">
        <v>202</v>
      </c>
      <c r="B302" s="155"/>
      <c r="C302" s="155"/>
      <c r="D302" s="218">
        <f>D128*D278</f>
        <v>664.29415248618784</v>
      </c>
      <c r="E302" s="218">
        <f>E128*E278</f>
        <v>1232.1613839062984</v>
      </c>
      <c r="F302" s="218">
        <f>F128*F278</f>
        <v>788.29524237388955</v>
      </c>
      <c r="G302" s="218">
        <f>G128*G278</f>
        <v>817.54685556411596</v>
      </c>
      <c r="H302" s="218">
        <f>H128*H278</f>
        <v>850.10540395791043</v>
      </c>
      <c r="I302" s="218"/>
      <c r="J302" s="218"/>
    </row>
    <row r="303" spans="1:10" s="150" customFormat="1" x14ac:dyDescent="0.2">
      <c r="A303" s="150" t="s">
        <v>203</v>
      </c>
      <c r="B303" s="155"/>
      <c r="C303" s="155"/>
      <c r="D303" s="221">
        <f>D300-D301+D302</f>
        <v>605.67996256093602</v>
      </c>
      <c r="E303" s="221">
        <f>E300-E301+E302</f>
        <v>1622.2365250823959</v>
      </c>
      <c r="F303" s="221">
        <f>F300-F301+F302</f>
        <v>2054.6992710558134</v>
      </c>
      <c r="G303" s="221">
        <f>G300-G301+G302</f>
        <v>2437.5156503544226</v>
      </c>
      <c r="H303" s="221">
        <f>H300-H301+H302</f>
        <v>2782.4619333123251</v>
      </c>
      <c r="I303" s="218"/>
      <c r="J303" s="218"/>
    </row>
    <row r="304" spans="1:10" s="150" customFormat="1" x14ac:dyDescent="0.2">
      <c r="B304" s="155"/>
      <c r="C304" s="155"/>
      <c r="D304" s="218"/>
      <c r="E304" s="218"/>
      <c r="F304" s="218"/>
      <c r="G304" s="218"/>
      <c r="H304" s="218"/>
      <c r="I304" s="218"/>
      <c r="J304" s="218"/>
    </row>
    <row r="305" spans="1:16" s="150" customFormat="1" x14ac:dyDescent="0.2">
      <c r="A305" s="258" t="s">
        <v>45</v>
      </c>
      <c r="B305" s="218"/>
      <c r="C305" s="218"/>
      <c r="D305" s="218"/>
      <c r="E305" s="218"/>
      <c r="F305" s="218"/>
      <c r="G305" s="218"/>
      <c r="H305" s="218"/>
      <c r="I305" s="218"/>
      <c r="J305" s="218"/>
    </row>
    <row r="306" spans="1:16" s="150" customFormat="1" x14ac:dyDescent="0.2">
      <c r="A306" s="150" t="s">
        <v>201</v>
      </c>
      <c r="B306" s="218"/>
      <c r="C306" s="218"/>
      <c r="D306" s="218">
        <f t="shared" ref="D306:H309" si="7">SUM(D282,D288,D294,D300)</f>
        <v>0</v>
      </c>
      <c r="E306" s="218">
        <f t="shared" si="7"/>
        <v>10469.353329896236</v>
      </c>
      <c r="F306" s="218">
        <f t="shared" si="7"/>
        <v>31044.42381238977</v>
      </c>
      <c r="G306" s="218">
        <f t="shared" si="7"/>
        <v>50460.278932680761</v>
      </c>
      <c r="H306" s="218">
        <f t="shared" si="7"/>
        <v>63736.185162502719</v>
      </c>
      <c r="I306" s="218"/>
      <c r="J306" s="218"/>
    </row>
    <row r="307" spans="1:16" s="150" customFormat="1" x14ac:dyDescent="0.2">
      <c r="A307" s="150" t="s">
        <v>177</v>
      </c>
      <c r="B307" s="218"/>
      <c r="C307" s="218"/>
      <c r="D307" s="218">
        <f t="shared" si="7"/>
        <v>2427.5048670451279</v>
      </c>
      <c r="E307" s="218">
        <f t="shared" si="7"/>
        <v>9512.7496171481071</v>
      </c>
      <c r="F307" s="218">
        <f t="shared" si="7"/>
        <v>18546.220794712248</v>
      </c>
      <c r="G307" s="218">
        <f t="shared" si="7"/>
        <v>25906.403304722469</v>
      </c>
      <c r="H307" s="218">
        <f t="shared" si="7"/>
        <v>30912.54083889996</v>
      </c>
      <c r="I307" s="218"/>
      <c r="J307" s="218"/>
    </row>
    <row r="308" spans="1:16" s="150" customFormat="1" x14ac:dyDescent="0.2">
      <c r="A308" s="150" t="s">
        <v>202</v>
      </c>
      <c r="B308" s="218"/>
      <c r="C308" s="218"/>
      <c r="D308" s="218">
        <f t="shared" si="7"/>
        <v>12896.858196941363</v>
      </c>
      <c r="E308" s="218">
        <f t="shared" si="7"/>
        <v>30087.820099641642</v>
      </c>
      <c r="F308" s="218">
        <f t="shared" si="7"/>
        <v>37962.075915003246</v>
      </c>
      <c r="G308" s="218">
        <f t="shared" si="7"/>
        <v>39182.309534544431</v>
      </c>
      <c r="H308" s="218">
        <f t="shared" si="7"/>
        <v>39945.107633326334</v>
      </c>
      <c r="I308" s="218"/>
      <c r="J308" s="218"/>
    </row>
    <row r="309" spans="1:16" s="150" customFormat="1" x14ac:dyDescent="0.2">
      <c r="A309" s="150" t="s">
        <v>203</v>
      </c>
      <c r="D309" s="221">
        <f t="shared" si="7"/>
        <v>10469.353329896236</v>
      </c>
      <c r="E309" s="221">
        <f t="shared" si="7"/>
        <v>31044.42381238977</v>
      </c>
      <c r="F309" s="221">
        <f t="shared" si="7"/>
        <v>50460.278932680761</v>
      </c>
      <c r="G309" s="221">
        <f t="shared" si="7"/>
        <v>63736.185162502719</v>
      </c>
      <c r="H309" s="221">
        <f t="shared" si="7"/>
        <v>72768.751956929089</v>
      </c>
      <c r="I309" s="218"/>
      <c r="J309" s="218"/>
    </row>
    <row r="310" spans="1:16" s="150" customFormat="1" x14ac:dyDescent="0.2">
      <c r="A310" s="259"/>
      <c r="C310" s="260"/>
      <c r="D310" s="161"/>
      <c r="E310" s="161"/>
      <c r="F310" s="161"/>
      <c r="G310" s="161"/>
      <c r="H310" s="161"/>
      <c r="I310" s="222"/>
      <c r="J310" s="222"/>
    </row>
    <row r="311" spans="1:16" x14ac:dyDescent="0.2">
      <c r="D311" s="261"/>
      <c r="E311" s="261"/>
      <c r="F311" s="261"/>
      <c r="G311" s="261"/>
      <c r="H311" s="261"/>
      <c r="I311" s="219"/>
      <c r="J311" s="219"/>
    </row>
    <row r="312" spans="1:16" s="153" customFormat="1" x14ac:dyDescent="0.2">
      <c r="A312" s="176"/>
      <c r="B312" s="176"/>
      <c r="C312" s="176"/>
      <c r="D312" s="176"/>
      <c r="E312" s="176"/>
      <c r="F312" s="176"/>
      <c r="G312" s="176"/>
      <c r="H312" s="176"/>
      <c r="I312" s="155"/>
      <c r="J312" s="155"/>
    </row>
    <row r="313" spans="1:16" x14ac:dyDescent="0.2">
      <c r="A313" s="131"/>
      <c r="I313" s="155"/>
      <c r="J313" s="155"/>
    </row>
    <row r="314" spans="1:16" x14ac:dyDescent="0.2">
      <c r="A314" s="131"/>
      <c r="I314" s="155"/>
      <c r="J314" s="155"/>
    </row>
    <row r="315" spans="1:16" x14ac:dyDescent="0.2">
      <c r="A315" s="160" t="s">
        <v>204</v>
      </c>
      <c r="I315" s="155"/>
      <c r="J315" s="155"/>
    </row>
    <row r="316" spans="1:16" x14ac:dyDescent="0.2">
      <c r="A316" s="128" t="s">
        <v>205</v>
      </c>
      <c r="I316" s="155"/>
      <c r="J316" s="155"/>
    </row>
    <row r="317" spans="1:16" x14ac:dyDescent="0.2">
      <c r="A317" s="131"/>
      <c r="I317" s="155"/>
      <c r="J317" s="155"/>
    </row>
    <row r="318" spans="1:16" customFormat="1" x14ac:dyDescent="0.2">
      <c r="A318" s="262" t="s">
        <v>206</v>
      </c>
      <c r="B318" s="263"/>
      <c r="C318" s="263"/>
      <c r="D318" s="264">
        <v>2006</v>
      </c>
      <c r="E318" s="264">
        <v>2007</v>
      </c>
      <c r="F318" s="264">
        <v>2008</v>
      </c>
      <c r="G318" s="264">
        <v>2009</v>
      </c>
      <c r="H318" s="264">
        <v>2010</v>
      </c>
      <c r="J318" s="264">
        <v>2006</v>
      </c>
      <c r="K318" s="264">
        <v>2007</v>
      </c>
      <c r="L318" s="264">
        <v>2008</v>
      </c>
      <c r="M318" s="264">
        <v>2009</v>
      </c>
      <c r="N318" s="264">
        <v>2010</v>
      </c>
    </row>
    <row r="319" spans="1:16" customFormat="1" x14ac:dyDescent="0.2">
      <c r="A319" s="262"/>
      <c r="B319" s="262"/>
      <c r="C319" s="262"/>
      <c r="D319" s="265"/>
      <c r="E319" s="265"/>
      <c r="F319" s="265"/>
      <c r="G319" s="265"/>
      <c r="H319" s="265"/>
      <c r="J319" s="265"/>
      <c r="K319" s="265"/>
      <c r="L319" s="265"/>
      <c r="M319" s="265"/>
      <c r="N319" s="265"/>
    </row>
    <row r="320" spans="1:16" customFormat="1" x14ac:dyDescent="0.2">
      <c r="A320" s="266" t="s">
        <v>207</v>
      </c>
      <c r="B320" s="266"/>
      <c r="C320" s="266"/>
      <c r="D320" s="267"/>
      <c r="E320" s="267"/>
      <c r="F320" s="267"/>
      <c r="G320" s="267"/>
      <c r="H320" s="267"/>
      <c r="J320" s="268"/>
      <c r="K320" s="269"/>
      <c r="L320" s="270"/>
      <c r="M320" s="270"/>
      <c r="N320" s="270"/>
      <c r="O320" s="270"/>
      <c r="P320" s="270"/>
    </row>
    <row r="321" spans="1:16" s="226" customFormat="1" x14ac:dyDescent="0.2">
      <c r="A321" s="262" t="s">
        <v>208</v>
      </c>
      <c r="B321" s="262"/>
      <c r="C321" s="262"/>
      <c r="D321" s="267"/>
      <c r="E321" s="267"/>
      <c r="F321" s="267"/>
      <c r="G321" s="267"/>
      <c r="H321" s="267"/>
      <c r="J321" s="262" t="s">
        <v>209</v>
      </c>
      <c r="K321" s="271"/>
      <c r="L321" s="269"/>
      <c r="M321" s="269"/>
      <c r="N321" s="269"/>
      <c r="O321" s="269"/>
      <c r="P321" s="269"/>
    </row>
    <row r="322" spans="1:16" customFormat="1" x14ac:dyDescent="0.2">
      <c r="A322" t="s">
        <v>210</v>
      </c>
      <c r="J322" s="269"/>
      <c r="K322" s="269"/>
      <c r="L322" s="272"/>
      <c r="M322" s="272"/>
      <c r="N322" s="272"/>
      <c r="O322" s="272"/>
      <c r="P322" s="272"/>
    </row>
    <row r="323" spans="1:16" customFormat="1" x14ac:dyDescent="0.2">
      <c r="A323" t="s">
        <v>192</v>
      </c>
      <c r="D323" s="527">
        <v>37.301250000000003</v>
      </c>
      <c r="E323" s="527">
        <v>37.301250000000003</v>
      </c>
      <c r="F323" s="527">
        <v>37.301250000000003</v>
      </c>
      <c r="G323" s="527">
        <v>37.301250000000003</v>
      </c>
      <c r="H323" s="527">
        <v>37.301250000000003</v>
      </c>
      <c r="J323" s="530">
        <v>0</v>
      </c>
      <c r="K323" s="530">
        <v>0</v>
      </c>
      <c r="L323" s="530">
        <v>0</v>
      </c>
      <c r="M323" s="530">
        <v>0</v>
      </c>
      <c r="N323" s="530">
        <v>0</v>
      </c>
      <c r="O323" s="272"/>
      <c r="P323" s="272"/>
    </row>
    <row r="324" spans="1:16" customFormat="1" x14ac:dyDescent="0.2">
      <c r="A324" t="s">
        <v>193</v>
      </c>
      <c r="D324" s="528"/>
      <c r="E324" s="528"/>
      <c r="F324" s="528"/>
      <c r="G324" s="528"/>
      <c r="H324" s="528"/>
      <c r="I324" s="226"/>
      <c r="J324" s="380"/>
      <c r="K324" s="531"/>
      <c r="L324" s="380"/>
      <c r="M324" s="380"/>
      <c r="N324" s="380"/>
      <c r="O324" s="274"/>
      <c r="P324" s="274"/>
    </row>
    <row r="325" spans="1:16" customFormat="1" x14ac:dyDescent="0.2">
      <c r="A325" t="s">
        <v>211</v>
      </c>
      <c r="D325" s="527">
        <v>85.26</v>
      </c>
      <c r="E325" s="527">
        <v>85.26</v>
      </c>
      <c r="F325" s="527">
        <v>85.26</v>
      </c>
      <c r="G325" s="527">
        <v>85.26</v>
      </c>
      <c r="H325" s="527">
        <v>85.26</v>
      </c>
      <c r="J325" s="530">
        <v>7319.6972011135904</v>
      </c>
      <c r="K325" s="530">
        <v>7816.563734356585</v>
      </c>
      <c r="L325" s="530">
        <v>7744</v>
      </c>
      <c r="M325" s="530">
        <v>7494</v>
      </c>
      <c r="N325" s="530">
        <v>7234.2328577569469</v>
      </c>
      <c r="O325" s="275"/>
      <c r="P325" s="275"/>
    </row>
    <row r="326" spans="1:16" customFormat="1" x14ac:dyDescent="0.2">
      <c r="A326" t="s">
        <v>212</v>
      </c>
      <c r="D326" s="527">
        <v>165.19125</v>
      </c>
      <c r="E326" s="527">
        <v>165.19125</v>
      </c>
      <c r="F326" s="527">
        <v>165.19125</v>
      </c>
      <c r="G326" s="527">
        <v>165.19125</v>
      </c>
      <c r="H326" s="527">
        <v>165.19125</v>
      </c>
      <c r="J326" s="530">
        <v>2167.0719707366593</v>
      </c>
      <c r="K326" s="530">
        <v>2314.2576531631157</v>
      </c>
      <c r="L326" s="530">
        <v>2293</v>
      </c>
      <c r="M326" s="530">
        <v>2219</v>
      </c>
      <c r="N326" s="530">
        <v>2141.4202936598435</v>
      </c>
      <c r="O326" s="272"/>
      <c r="P326" s="272"/>
    </row>
    <row r="327" spans="1:16" customFormat="1" x14ac:dyDescent="0.2">
      <c r="A327" t="s">
        <v>213</v>
      </c>
      <c r="D327" s="527">
        <v>314.39625000000001</v>
      </c>
      <c r="E327" s="527">
        <v>314.39625000000001</v>
      </c>
      <c r="F327" s="527">
        <v>314.39625000000001</v>
      </c>
      <c r="G327" s="527">
        <v>314.39625000000001</v>
      </c>
      <c r="H327" s="527">
        <v>314.39625000000001</v>
      </c>
      <c r="J327" s="530">
        <v>2262.244213632428</v>
      </c>
      <c r="K327" s="530">
        <v>2417.2896719683231</v>
      </c>
      <c r="L327" s="530">
        <v>2394</v>
      </c>
      <c r="M327" s="530">
        <v>2317</v>
      </c>
      <c r="N327" s="530">
        <v>2236.978785302123</v>
      </c>
      <c r="O327" s="272"/>
      <c r="P327" s="272"/>
    </row>
    <row r="328" spans="1:16" customFormat="1" x14ac:dyDescent="0.2">
      <c r="A328" t="s">
        <v>214</v>
      </c>
      <c r="D328" s="527">
        <v>378.34125</v>
      </c>
      <c r="E328" s="527">
        <v>378.34125</v>
      </c>
      <c r="F328" s="527">
        <v>378.34125</v>
      </c>
      <c r="G328" s="527">
        <v>378.34125</v>
      </c>
      <c r="H328" s="527">
        <v>378.34125</v>
      </c>
      <c r="J328" s="530">
        <v>139.90319705678036</v>
      </c>
      <c r="K328" s="530">
        <v>149.59456576525278</v>
      </c>
      <c r="L328" s="530">
        <v>148</v>
      </c>
      <c r="M328" s="530">
        <v>143</v>
      </c>
      <c r="N328" s="530">
        <v>138.33229266310931</v>
      </c>
      <c r="O328" s="272"/>
      <c r="P328" s="272"/>
    </row>
    <row r="329" spans="1:16" customFormat="1" x14ac:dyDescent="0.2">
      <c r="D329" s="528"/>
      <c r="E329" s="528"/>
      <c r="F329" s="528"/>
      <c r="G329" s="528"/>
      <c r="H329" s="528"/>
      <c r="I329" s="226"/>
      <c r="J329" s="531"/>
      <c r="K329" s="531"/>
      <c r="L329" s="531"/>
      <c r="M329" s="531"/>
      <c r="N329" s="531"/>
      <c r="O329" s="272"/>
      <c r="P329" s="272"/>
    </row>
    <row r="330" spans="1:16" customFormat="1" x14ac:dyDescent="0.2">
      <c r="A330" t="s">
        <v>215</v>
      </c>
      <c r="D330" s="528"/>
      <c r="E330" s="528"/>
      <c r="F330" s="528"/>
      <c r="G330" s="528"/>
      <c r="H330" s="528"/>
      <c r="I330" s="226"/>
      <c r="J330" s="531"/>
      <c r="K330" s="531"/>
      <c r="L330" s="531"/>
      <c r="M330" s="531"/>
      <c r="N330" s="531"/>
      <c r="O330" s="272"/>
      <c r="P330" s="272"/>
    </row>
    <row r="331" spans="1:16" customFormat="1" x14ac:dyDescent="0.2">
      <c r="A331" t="s">
        <v>192</v>
      </c>
      <c r="D331" s="527">
        <v>160.24125000000001</v>
      </c>
      <c r="E331" s="527">
        <v>162.62601200000003</v>
      </c>
      <c r="F331" s="527">
        <v>165.06395419260002</v>
      </c>
      <c r="G331" s="527">
        <v>167.556262496095</v>
      </c>
      <c r="H331" s="527">
        <v>170.1041492747579</v>
      </c>
      <c r="J331" s="530">
        <v>0</v>
      </c>
      <c r="K331" s="530">
        <v>0</v>
      </c>
      <c r="L331" s="530">
        <v>0</v>
      </c>
      <c r="M331" s="530">
        <v>0</v>
      </c>
      <c r="N331" s="530">
        <v>0</v>
      </c>
      <c r="O331" s="272"/>
      <c r="P331" s="272"/>
    </row>
    <row r="332" spans="1:16" customFormat="1" x14ac:dyDescent="0.2">
      <c r="A332" t="s">
        <v>193</v>
      </c>
      <c r="D332" s="528"/>
      <c r="E332" s="528"/>
      <c r="F332" s="528"/>
      <c r="G332" s="528"/>
      <c r="H332" s="528"/>
      <c r="I332" s="226"/>
      <c r="J332" s="531"/>
      <c r="K332" s="531"/>
      <c r="L332" s="531"/>
      <c r="M332" s="531"/>
      <c r="N332" s="531"/>
      <c r="O332" s="272"/>
      <c r="P332" s="272"/>
    </row>
    <row r="333" spans="1:16" customFormat="1" x14ac:dyDescent="0.2">
      <c r="A333" t="s">
        <v>211</v>
      </c>
      <c r="D333" s="527">
        <v>214.86666666666667</v>
      </c>
      <c r="E333" s="527">
        <v>217.40009533333333</v>
      </c>
      <c r="F333" s="527">
        <v>219.99001945926665</v>
      </c>
      <c r="G333" s="527">
        <v>222.63769889320832</v>
      </c>
      <c r="H333" s="527">
        <v>225.34442157852686</v>
      </c>
      <c r="J333" s="530">
        <v>3510</v>
      </c>
      <c r="K333" s="530">
        <v>3510</v>
      </c>
      <c r="L333" s="530">
        <v>8710</v>
      </c>
      <c r="M333" s="530">
        <v>8710</v>
      </c>
      <c r="N333" s="530">
        <v>8710</v>
      </c>
      <c r="O333" s="274"/>
      <c r="P333" s="274"/>
    </row>
    <row r="334" spans="1:16" customFormat="1" x14ac:dyDescent="0.2">
      <c r="A334" t="s">
        <v>212</v>
      </c>
      <c r="D334" s="527">
        <v>356.13125000000002</v>
      </c>
      <c r="E334" s="527">
        <v>360.03241199999997</v>
      </c>
      <c r="F334" s="527">
        <v>364.02056991259997</v>
      </c>
      <c r="G334" s="527">
        <v>368.09766374665094</v>
      </c>
      <c r="H334" s="527">
        <v>372.26567677320128</v>
      </c>
      <c r="J334" s="530">
        <v>3392</v>
      </c>
      <c r="K334" s="530">
        <v>6792</v>
      </c>
      <c r="L334" s="530">
        <v>35681.599999999999</v>
      </c>
      <c r="M334" s="530">
        <v>37509.599999999999</v>
      </c>
      <c r="N334" s="530">
        <v>40129.599999999999</v>
      </c>
      <c r="O334" s="275"/>
      <c r="P334" s="275"/>
    </row>
    <row r="335" spans="1:16" customFormat="1" x14ac:dyDescent="0.2">
      <c r="A335" t="s">
        <v>213</v>
      </c>
      <c r="D335" s="527">
        <v>565.12084291720168</v>
      </c>
      <c r="E335" s="527">
        <v>570.040526404395</v>
      </c>
      <c r="F335" s="527">
        <v>575.06991883335286</v>
      </c>
      <c r="G335" s="527">
        <v>580.21146671347628</v>
      </c>
      <c r="H335" s="527">
        <v>585.46767111132658</v>
      </c>
      <c r="J335" s="530">
        <v>1998.4</v>
      </c>
      <c r="K335" s="530">
        <v>23981.4</v>
      </c>
      <c r="L335" s="530">
        <v>23395.4</v>
      </c>
      <c r="M335" s="530">
        <v>22515.4</v>
      </c>
      <c r="N335" s="530">
        <v>20756.400000000001</v>
      </c>
      <c r="O335" s="272"/>
      <c r="P335" s="272"/>
    </row>
    <row r="336" spans="1:16" customFormat="1" x14ac:dyDescent="0.2">
      <c r="A336" t="s">
        <v>214</v>
      </c>
      <c r="D336" s="527">
        <v>947.84791666666672</v>
      </c>
      <c r="E336" s="527">
        <v>960.1911153333333</v>
      </c>
      <c r="F336" s="527">
        <v>972.80956733026676</v>
      </c>
      <c r="G336" s="527">
        <v>985.70941080673163</v>
      </c>
      <c r="H336" s="527">
        <v>998.89692079272174</v>
      </c>
      <c r="J336" s="530">
        <v>1129.0204081632653</v>
      </c>
      <c r="K336" s="530">
        <v>1064.0204081632653</v>
      </c>
      <c r="L336" s="530">
        <v>976.0204081632653</v>
      </c>
      <c r="M336" s="530">
        <v>845.0204081632653</v>
      </c>
      <c r="N336" s="530">
        <v>583.0204081632653</v>
      </c>
      <c r="O336" s="272"/>
      <c r="P336" s="272"/>
    </row>
    <row r="337" spans="1:16" customFormat="1" x14ac:dyDescent="0.2">
      <c r="A337" t="s">
        <v>216</v>
      </c>
      <c r="D337" s="527">
        <v>745.29624999999999</v>
      </c>
      <c r="E337" s="527">
        <v>752.29042199999992</v>
      </c>
      <c r="F337" s="527">
        <v>759.4405640356</v>
      </c>
      <c r="G337" s="527">
        <v>766.75015423859384</v>
      </c>
      <c r="H337" s="527">
        <v>774.22274830311449</v>
      </c>
      <c r="J337" s="530">
        <v>0</v>
      </c>
      <c r="K337" s="530">
        <v>2661</v>
      </c>
      <c r="L337" s="530">
        <v>2590</v>
      </c>
      <c r="M337" s="530">
        <v>2482</v>
      </c>
      <c r="N337" s="530">
        <v>2267</v>
      </c>
      <c r="O337" s="272"/>
      <c r="P337" s="272"/>
    </row>
    <row r="338" spans="1:16" customFormat="1" x14ac:dyDescent="0.2">
      <c r="D338" s="528"/>
      <c r="E338" s="528"/>
      <c r="F338" s="528"/>
      <c r="G338" s="528"/>
      <c r="H338" s="528"/>
      <c r="J338" s="269"/>
      <c r="K338" s="269"/>
      <c r="L338" s="272"/>
      <c r="M338" s="272"/>
      <c r="N338" s="272"/>
      <c r="O338" s="272"/>
      <c r="P338" s="272"/>
    </row>
    <row r="339" spans="1:16" customFormat="1" x14ac:dyDescent="0.2">
      <c r="A339" s="276" t="s">
        <v>217</v>
      </c>
      <c r="B339" s="276"/>
      <c r="C339" s="276"/>
      <c r="D339" s="529">
        <v>600000</v>
      </c>
      <c r="E339" s="529">
        <v>600000</v>
      </c>
      <c r="F339" s="529">
        <v>600000</v>
      </c>
      <c r="G339" s="529">
        <v>600000</v>
      </c>
      <c r="H339" s="529">
        <v>600000</v>
      </c>
      <c r="J339" s="269"/>
      <c r="K339" s="269"/>
      <c r="L339" s="272"/>
      <c r="M339" s="272"/>
      <c r="N339" s="272"/>
      <c r="O339" s="272"/>
      <c r="P339" s="272"/>
    </row>
    <row r="340" spans="1:16" customFormat="1" x14ac:dyDescent="0.2">
      <c r="A340" s="277"/>
      <c r="B340" s="277"/>
      <c r="C340" s="277"/>
      <c r="D340" s="528"/>
      <c r="E340" s="528"/>
      <c r="F340" s="528"/>
      <c r="G340" s="528"/>
      <c r="H340" s="528"/>
      <c r="J340" s="269"/>
      <c r="K340" s="269"/>
      <c r="L340" s="272"/>
      <c r="M340" s="272"/>
      <c r="N340" s="272"/>
      <c r="O340" s="272"/>
      <c r="P340" s="272"/>
    </row>
    <row r="341" spans="1:16" customFormat="1" x14ac:dyDescent="0.2">
      <c r="A341" s="276" t="s">
        <v>218</v>
      </c>
      <c r="B341" s="276"/>
      <c r="C341" s="276"/>
      <c r="D341" s="529">
        <v>5730000</v>
      </c>
      <c r="E341" s="529">
        <v>5000000</v>
      </c>
      <c r="F341" s="529">
        <v>500000</v>
      </c>
      <c r="G341" s="529">
        <v>500000</v>
      </c>
      <c r="H341" s="529">
        <v>500000</v>
      </c>
      <c r="J341" s="278"/>
      <c r="K341" s="278"/>
      <c r="L341" s="272"/>
      <c r="M341" s="272"/>
      <c r="N341" s="272"/>
      <c r="O341" s="272"/>
      <c r="P341" s="272"/>
    </row>
    <row r="342" spans="1:16" customFormat="1" x14ac:dyDescent="0.2">
      <c r="A342" s="277"/>
      <c r="B342" s="277"/>
      <c r="C342" s="277"/>
      <c r="D342" s="528"/>
      <c r="E342" s="528"/>
      <c r="F342" s="528"/>
      <c r="G342" s="528"/>
      <c r="H342" s="528"/>
      <c r="J342" s="270"/>
      <c r="K342" s="269"/>
      <c r="L342" s="274"/>
      <c r="M342" s="274"/>
      <c r="N342" s="274"/>
      <c r="O342" s="274"/>
      <c r="P342" s="274"/>
    </row>
    <row r="343" spans="1:16" customFormat="1" x14ac:dyDescent="0.2">
      <c r="A343" s="276" t="s">
        <v>219</v>
      </c>
      <c r="B343" s="276"/>
      <c r="C343" s="276"/>
      <c r="D343" s="529">
        <v>32000</v>
      </c>
      <c r="E343" s="529">
        <v>543000</v>
      </c>
      <c r="F343" s="529">
        <v>113000</v>
      </c>
      <c r="G343" s="529">
        <v>121000</v>
      </c>
      <c r="H343" s="529">
        <v>131000</v>
      </c>
      <c r="J343" s="269"/>
      <c r="K343" s="269"/>
      <c r="L343" s="275"/>
      <c r="M343" s="275"/>
      <c r="N343" s="275"/>
      <c r="O343" s="275"/>
      <c r="P343" s="275"/>
    </row>
    <row r="344" spans="1:16" customFormat="1" x14ac:dyDescent="0.2">
      <c r="J344" s="269"/>
      <c r="K344" s="269"/>
      <c r="L344" s="272"/>
      <c r="M344" s="272"/>
      <c r="N344" s="272"/>
      <c r="O344" s="272"/>
      <c r="P344" s="272"/>
    </row>
    <row r="345" spans="1:16" customFormat="1" x14ac:dyDescent="0.2">
      <c r="J345" s="269"/>
      <c r="K345" s="269"/>
      <c r="L345" s="272"/>
      <c r="M345" s="272"/>
      <c r="N345" s="272"/>
      <c r="O345" s="272"/>
      <c r="P345" s="272"/>
    </row>
    <row r="346" spans="1:16" customFormat="1" x14ac:dyDescent="0.2">
      <c r="A346" s="262" t="s">
        <v>220</v>
      </c>
      <c r="B346" s="263"/>
      <c r="C346" s="263"/>
      <c r="D346" s="264">
        <v>2006</v>
      </c>
      <c r="E346" s="264">
        <v>2007</v>
      </c>
      <c r="F346" s="264">
        <v>2008</v>
      </c>
      <c r="G346" s="264">
        <v>2009</v>
      </c>
      <c r="H346" s="264">
        <v>2010</v>
      </c>
      <c r="J346" s="264">
        <v>2006</v>
      </c>
      <c r="K346" s="264">
        <v>2007</v>
      </c>
      <c r="L346" s="264">
        <v>2008</v>
      </c>
      <c r="M346" s="264">
        <v>2009</v>
      </c>
      <c r="N346" s="264">
        <v>2010</v>
      </c>
      <c r="O346" s="272"/>
      <c r="P346" s="272"/>
    </row>
    <row r="347" spans="1:16" customFormat="1" x14ac:dyDescent="0.2">
      <c r="J347" s="269"/>
      <c r="K347" s="269"/>
      <c r="L347" s="272"/>
      <c r="M347" s="272"/>
      <c r="N347" s="272"/>
      <c r="O347" s="272"/>
      <c r="P347" s="272"/>
    </row>
    <row r="348" spans="1:16" customFormat="1" x14ac:dyDescent="0.2">
      <c r="A348" s="279" t="s">
        <v>51</v>
      </c>
      <c r="B348" s="279"/>
      <c r="C348" s="279"/>
      <c r="J348" s="268" t="s">
        <v>221</v>
      </c>
      <c r="K348" s="269"/>
      <c r="L348" s="272"/>
      <c r="M348" s="272"/>
      <c r="N348" s="272"/>
      <c r="O348" s="272"/>
      <c r="P348" s="272"/>
    </row>
    <row r="349" spans="1:16" customFormat="1" x14ac:dyDescent="0.2">
      <c r="A349" s="262" t="s">
        <v>222</v>
      </c>
      <c r="B349" s="262"/>
      <c r="C349" s="262"/>
      <c r="D349" s="532">
        <v>1.52</v>
      </c>
      <c r="E349" s="532">
        <v>1.52</v>
      </c>
      <c r="F349" s="532">
        <v>1.52</v>
      </c>
      <c r="G349" s="532">
        <v>1.52</v>
      </c>
      <c r="H349" s="532">
        <v>1.52</v>
      </c>
      <c r="J349" s="530">
        <v>860111</v>
      </c>
      <c r="K349" s="530">
        <v>867702</v>
      </c>
      <c r="L349" s="530">
        <v>852843</v>
      </c>
      <c r="M349" s="530">
        <v>836169</v>
      </c>
      <c r="N349" s="530">
        <v>818218</v>
      </c>
      <c r="O349" s="272"/>
      <c r="P349" s="272"/>
    </row>
    <row r="350" spans="1:16" customFormat="1" x14ac:dyDescent="0.2">
      <c r="D350" s="528"/>
      <c r="E350" s="528"/>
      <c r="F350" s="528"/>
      <c r="G350" s="528"/>
      <c r="H350" s="528"/>
      <c r="J350" s="270"/>
      <c r="K350" s="269"/>
      <c r="L350" s="274"/>
      <c r="M350" s="274"/>
      <c r="N350" s="274"/>
      <c r="O350" s="274"/>
      <c r="P350" s="274"/>
    </row>
    <row r="351" spans="1:16" customFormat="1" x14ac:dyDescent="0.2">
      <c r="A351" s="266" t="s">
        <v>223</v>
      </c>
      <c r="B351" s="266"/>
      <c r="C351" s="266"/>
      <c r="D351" s="533">
        <v>420000</v>
      </c>
      <c r="E351" s="533">
        <v>420000</v>
      </c>
      <c r="F351" s="533">
        <v>420000</v>
      </c>
      <c r="G351" s="533">
        <v>420000</v>
      </c>
      <c r="H351" s="533">
        <v>420000</v>
      </c>
      <c r="J351" s="270"/>
      <c r="K351" s="269"/>
      <c r="L351" s="274"/>
      <c r="M351" s="274"/>
      <c r="N351" s="274"/>
      <c r="O351" s="274"/>
      <c r="P351" s="274"/>
    </row>
    <row r="352" spans="1:16" customFormat="1" x14ac:dyDescent="0.2">
      <c r="D352" s="534"/>
      <c r="E352" s="534"/>
      <c r="F352" s="534"/>
      <c r="G352" s="534"/>
      <c r="H352" s="534"/>
      <c r="J352" s="269"/>
      <c r="K352" s="269"/>
      <c r="L352" s="275"/>
      <c r="M352" s="275"/>
      <c r="N352" s="275"/>
      <c r="O352" s="275"/>
      <c r="P352" s="275"/>
    </row>
    <row r="353" spans="1:16" customFormat="1" x14ac:dyDescent="0.2">
      <c r="A353" s="279" t="s">
        <v>224</v>
      </c>
      <c r="B353" s="279"/>
      <c r="C353" s="279"/>
      <c r="D353" s="534"/>
      <c r="E353" s="534"/>
      <c r="F353" s="534"/>
      <c r="G353" s="534"/>
      <c r="H353" s="534"/>
      <c r="J353" s="269"/>
      <c r="K353" s="269"/>
      <c r="L353" s="272"/>
      <c r="M353" s="272"/>
      <c r="N353" s="272"/>
      <c r="O353" s="272"/>
      <c r="P353" s="272"/>
    </row>
    <row r="354" spans="1:16" customFormat="1" x14ac:dyDescent="0.2">
      <c r="A354" s="266" t="s">
        <v>225</v>
      </c>
      <c r="B354" s="266"/>
      <c r="C354" s="266"/>
      <c r="D354" s="534"/>
      <c r="E354" s="534"/>
      <c r="F354" s="534"/>
      <c r="G354" s="534"/>
      <c r="H354" s="534"/>
      <c r="J354" s="262" t="s">
        <v>209</v>
      </c>
      <c r="K354" s="269"/>
      <c r="L354" s="272"/>
      <c r="M354" s="272"/>
      <c r="N354" s="272"/>
      <c r="O354" s="272"/>
      <c r="P354" s="272"/>
    </row>
    <row r="355" spans="1:16" customFormat="1" x14ac:dyDescent="0.2">
      <c r="A355" t="s">
        <v>215</v>
      </c>
      <c r="D355" s="534"/>
      <c r="E355" s="534"/>
      <c r="F355" s="534"/>
      <c r="G355" s="534"/>
      <c r="H355" s="534"/>
      <c r="J355" s="269"/>
      <c r="K355" s="269"/>
      <c r="L355" s="272"/>
      <c r="M355" s="272"/>
      <c r="N355" s="272"/>
      <c r="O355" s="272"/>
      <c r="P355" s="272"/>
    </row>
    <row r="356" spans="1:16" customFormat="1" x14ac:dyDescent="0.2">
      <c r="A356" t="s">
        <v>192</v>
      </c>
      <c r="D356" s="532">
        <v>10.6</v>
      </c>
      <c r="E356" s="532">
        <v>10.6</v>
      </c>
      <c r="F356" s="532">
        <v>10.6</v>
      </c>
      <c r="G356" s="532">
        <v>10.6</v>
      </c>
      <c r="H356" s="532">
        <v>10.6</v>
      </c>
      <c r="J356" s="272">
        <f>J331</f>
        <v>0</v>
      </c>
      <c r="K356" s="272">
        <f>K331</f>
        <v>0</v>
      </c>
      <c r="L356" s="272">
        <f>L331</f>
        <v>0</v>
      </c>
      <c r="M356" s="272">
        <f>M331</f>
        <v>0</v>
      </c>
      <c r="N356" s="272">
        <f>N331</f>
        <v>0</v>
      </c>
      <c r="O356" s="272"/>
      <c r="P356" s="272"/>
    </row>
    <row r="357" spans="1:16" customFormat="1" x14ac:dyDescent="0.2">
      <c r="A357" t="s">
        <v>193</v>
      </c>
      <c r="D357" s="528"/>
      <c r="E357" s="528"/>
      <c r="F357" s="528"/>
      <c r="G357" s="528"/>
      <c r="H357" s="528"/>
      <c r="J357" s="269"/>
      <c r="K357" s="269"/>
      <c r="L357" s="272"/>
      <c r="M357" s="272"/>
      <c r="N357" s="272"/>
      <c r="O357" s="272"/>
      <c r="P357" s="272"/>
    </row>
    <row r="358" spans="1:16" customFormat="1" x14ac:dyDescent="0.2">
      <c r="A358" t="s">
        <v>211</v>
      </c>
      <c r="D358" s="532">
        <v>10.6</v>
      </c>
      <c r="E358" s="532">
        <v>10.6</v>
      </c>
      <c r="F358" s="532">
        <v>10.6</v>
      </c>
      <c r="G358" s="532">
        <v>10.6</v>
      </c>
      <c r="H358" s="532">
        <v>10.6</v>
      </c>
      <c r="J358" s="272">
        <f t="shared" ref="J358:N362" si="8">J333</f>
        <v>3510</v>
      </c>
      <c r="K358" s="272">
        <f t="shared" si="8"/>
        <v>3510</v>
      </c>
      <c r="L358" s="272">
        <f t="shared" si="8"/>
        <v>8710</v>
      </c>
      <c r="M358" s="272">
        <f t="shared" si="8"/>
        <v>8710</v>
      </c>
      <c r="N358" s="272">
        <f t="shared" si="8"/>
        <v>8710</v>
      </c>
      <c r="O358" s="272"/>
      <c r="P358" s="272"/>
    </row>
    <row r="359" spans="1:16" customFormat="1" x14ac:dyDescent="0.2">
      <c r="A359" t="s">
        <v>212</v>
      </c>
      <c r="D359" s="532">
        <v>10.6</v>
      </c>
      <c r="E359" s="532">
        <v>10.6</v>
      </c>
      <c r="F359" s="532">
        <v>10.6</v>
      </c>
      <c r="G359" s="532">
        <v>10.6</v>
      </c>
      <c r="H359" s="532">
        <v>10.6</v>
      </c>
      <c r="I359" s="269"/>
      <c r="J359" s="272">
        <f t="shared" si="8"/>
        <v>3392</v>
      </c>
      <c r="K359" s="272">
        <f t="shared" si="8"/>
        <v>6792</v>
      </c>
      <c r="L359" s="272">
        <f t="shared" si="8"/>
        <v>35681.599999999999</v>
      </c>
      <c r="M359" s="272">
        <f t="shared" si="8"/>
        <v>37509.599999999999</v>
      </c>
      <c r="N359" s="272">
        <f t="shared" si="8"/>
        <v>40129.599999999999</v>
      </c>
      <c r="O359" s="274"/>
      <c r="P359" s="274"/>
    </row>
    <row r="360" spans="1:16" customFormat="1" x14ac:dyDescent="0.2">
      <c r="A360" t="s">
        <v>213</v>
      </c>
      <c r="D360" s="532">
        <v>10.6</v>
      </c>
      <c r="E360" s="532">
        <v>10.6</v>
      </c>
      <c r="F360" s="532">
        <v>10.6</v>
      </c>
      <c r="G360" s="532">
        <v>10.6</v>
      </c>
      <c r="H360" s="532">
        <v>10.6</v>
      </c>
      <c r="I360" s="269"/>
      <c r="J360" s="272">
        <f t="shared" si="8"/>
        <v>1998.4</v>
      </c>
      <c r="K360" s="272">
        <f t="shared" si="8"/>
        <v>23981.4</v>
      </c>
      <c r="L360" s="272">
        <f t="shared" si="8"/>
        <v>23395.4</v>
      </c>
      <c r="M360" s="272">
        <f t="shared" si="8"/>
        <v>22515.4</v>
      </c>
      <c r="N360" s="272">
        <f t="shared" si="8"/>
        <v>20756.400000000001</v>
      </c>
      <c r="O360" s="275"/>
      <c r="P360" s="275"/>
    </row>
    <row r="361" spans="1:16" customFormat="1" x14ac:dyDescent="0.2">
      <c r="A361" t="s">
        <v>214</v>
      </c>
      <c r="D361" s="532">
        <v>10.6</v>
      </c>
      <c r="E361" s="532">
        <v>10.6</v>
      </c>
      <c r="F361" s="532">
        <v>10.6</v>
      </c>
      <c r="G361" s="532">
        <v>10.6</v>
      </c>
      <c r="H361" s="532">
        <v>10.6</v>
      </c>
      <c r="I361" s="269"/>
      <c r="J361" s="272">
        <f t="shared" si="8"/>
        <v>1129.0204081632653</v>
      </c>
      <c r="K361" s="272">
        <f t="shared" si="8"/>
        <v>1064.0204081632653</v>
      </c>
      <c r="L361" s="272">
        <f t="shared" si="8"/>
        <v>976.0204081632653</v>
      </c>
      <c r="M361" s="272">
        <f t="shared" si="8"/>
        <v>845.0204081632653</v>
      </c>
      <c r="N361" s="272">
        <f t="shared" si="8"/>
        <v>583.0204081632653</v>
      </c>
      <c r="O361" s="272"/>
      <c r="P361" s="272"/>
    </row>
    <row r="362" spans="1:16" customFormat="1" x14ac:dyDescent="0.2">
      <c r="A362" t="s">
        <v>216</v>
      </c>
      <c r="D362" s="532">
        <v>10.6</v>
      </c>
      <c r="E362" s="532">
        <v>10.6</v>
      </c>
      <c r="F362" s="532">
        <v>10.6</v>
      </c>
      <c r="G362" s="532">
        <v>10.6</v>
      </c>
      <c r="H362" s="532">
        <v>10.6</v>
      </c>
      <c r="I362" s="269"/>
      <c r="J362" s="272">
        <f t="shared" si="8"/>
        <v>0</v>
      </c>
      <c r="K362" s="272">
        <f t="shared" si="8"/>
        <v>2661</v>
      </c>
      <c r="L362" s="272">
        <f t="shared" si="8"/>
        <v>2590</v>
      </c>
      <c r="M362" s="272">
        <f t="shared" si="8"/>
        <v>2482</v>
      </c>
      <c r="N362" s="272">
        <f t="shared" si="8"/>
        <v>2267</v>
      </c>
      <c r="O362" s="272"/>
      <c r="P362" s="272"/>
    </row>
    <row r="363" spans="1:16" customFormat="1" x14ac:dyDescent="0.2">
      <c r="D363" s="528"/>
      <c r="E363" s="528"/>
      <c r="F363" s="528"/>
      <c r="G363" s="528"/>
      <c r="H363" s="528"/>
      <c r="I363" s="269"/>
      <c r="J363" s="265"/>
      <c r="K363" s="265"/>
      <c r="L363" s="272"/>
      <c r="M363" s="272"/>
      <c r="N363" s="272"/>
      <c r="O363" s="272"/>
      <c r="P363" s="272"/>
    </row>
    <row r="364" spans="1:16" customFormat="1" x14ac:dyDescent="0.2">
      <c r="A364" s="280" t="s">
        <v>226</v>
      </c>
      <c r="B364" s="280"/>
      <c r="C364" s="280"/>
      <c r="D364" s="528"/>
      <c r="E364" s="528"/>
      <c r="F364" s="528"/>
      <c r="G364" s="528"/>
      <c r="H364" s="528"/>
      <c r="I364" s="269"/>
      <c r="N364" s="274"/>
      <c r="O364" s="274"/>
      <c r="P364" s="274"/>
    </row>
    <row r="365" spans="1:16" customFormat="1" x14ac:dyDescent="0.2">
      <c r="A365" s="281" t="s">
        <v>192</v>
      </c>
      <c r="B365" s="281"/>
      <c r="C365" s="281"/>
      <c r="D365" s="532">
        <v>1.5</v>
      </c>
      <c r="E365" s="532">
        <v>1.5</v>
      </c>
      <c r="F365" s="532">
        <v>1.5</v>
      </c>
      <c r="G365" s="532">
        <v>1.5</v>
      </c>
      <c r="H365" s="532">
        <v>1.5</v>
      </c>
      <c r="I365" s="269"/>
      <c r="N365" s="269"/>
      <c r="O365" s="269"/>
      <c r="P365" s="269"/>
    </row>
    <row r="366" spans="1:16" customFormat="1" x14ac:dyDescent="0.2">
      <c r="A366" s="281" t="s">
        <v>227</v>
      </c>
      <c r="B366" s="281"/>
      <c r="C366" s="281"/>
      <c r="D366" s="532">
        <v>2.5</v>
      </c>
      <c r="E366" s="532">
        <v>2.5</v>
      </c>
      <c r="F366" s="532">
        <v>2.5</v>
      </c>
      <c r="G366" s="532">
        <v>2.5</v>
      </c>
      <c r="H366" s="532">
        <v>2.5</v>
      </c>
      <c r="I366" s="269"/>
      <c r="J366" s="269"/>
      <c r="K366" s="269"/>
      <c r="L366" s="269"/>
      <c r="M366" s="269"/>
      <c r="N366" s="269"/>
      <c r="O366" s="269"/>
      <c r="P366" s="269"/>
    </row>
    <row r="367" spans="1:16" customFormat="1" x14ac:dyDescent="0.2">
      <c r="A367" s="281" t="s">
        <v>228</v>
      </c>
      <c r="B367" s="281"/>
      <c r="C367" s="281"/>
      <c r="D367" s="532">
        <v>4.5</v>
      </c>
      <c r="E367" s="532">
        <v>4.5</v>
      </c>
      <c r="F367" s="532">
        <v>4.5</v>
      </c>
      <c r="G367" s="532">
        <v>4.5</v>
      </c>
      <c r="H367" s="532">
        <v>4.5</v>
      </c>
      <c r="I367" s="269"/>
      <c r="J367" s="269"/>
      <c r="K367" s="269"/>
      <c r="L367" s="269"/>
      <c r="M367" s="269"/>
      <c r="N367" s="269"/>
      <c r="O367" s="269"/>
      <c r="P367" s="269"/>
    </row>
    <row r="368" spans="1:16" customFormat="1" x14ac:dyDescent="0.2">
      <c r="A368" s="281" t="s">
        <v>229</v>
      </c>
      <c r="B368" s="281"/>
      <c r="C368" s="281"/>
      <c r="D368" s="532">
        <v>6.2</v>
      </c>
      <c r="E368" s="532">
        <v>6.2</v>
      </c>
      <c r="F368" s="532">
        <v>6.2</v>
      </c>
      <c r="G368" s="532">
        <v>6.2</v>
      </c>
      <c r="H368" s="532">
        <v>6.2</v>
      </c>
      <c r="I368" s="269"/>
      <c r="J368" s="269"/>
      <c r="K368" s="269"/>
      <c r="L368" s="269"/>
      <c r="M368" s="269"/>
      <c r="N368" s="269"/>
      <c r="O368" s="269"/>
      <c r="P368" s="269"/>
    </row>
    <row r="369" spans="1:16" customFormat="1" x14ac:dyDescent="0.2">
      <c r="D369" s="534"/>
      <c r="E369" s="534"/>
      <c r="F369" s="534"/>
      <c r="G369" s="534"/>
      <c r="H369" s="534"/>
      <c r="I369" s="269"/>
      <c r="J369" s="262" t="s">
        <v>230</v>
      </c>
      <c r="K369" s="269"/>
      <c r="L369" s="274"/>
      <c r="M369" s="274"/>
      <c r="N369" s="269"/>
      <c r="O369" s="269"/>
      <c r="P369" s="269"/>
    </row>
    <row r="370" spans="1:16" customFormat="1" x14ac:dyDescent="0.2">
      <c r="A370" t="s">
        <v>231</v>
      </c>
      <c r="D370" s="534"/>
      <c r="E370" s="534"/>
      <c r="F370" s="534"/>
      <c r="G370" s="534"/>
      <c r="H370" s="534"/>
      <c r="J370" s="535">
        <v>5055</v>
      </c>
      <c r="K370" s="535">
        <v>3571</v>
      </c>
      <c r="L370" s="535">
        <v>2185</v>
      </c>
      <c r="M370" s="535">
        <v>946</v>
      </c>
      <c r="N370" s="535">
        <v>0</v>
      </c>
    </row>
    <row r="371" spans="1:16" customFormat="1" x14ac:dyDescent="0.2">
      <c r="A371" t="s">
        <v>232</v>
      </c>
      <c r="D371" s="534"/>
      <c r="E371" s="534"/>
      <c r="F371" s="534"/>
      <c r="G371" s="534"/>
      <c r="H371" s="534"/>
      <c r="J371" s="535">
        <v>823351</v>
      </c>
      <c r="K371" s="535">
        <v>778943</v>
      </c>
      <c r="L371" s="535">
        <v>678947</v>
      </c>
      <c r="M371" s="535">
        <v>576795</v>
      </c>
      <c r="N371" s="535">
        <v>472166</v>
      </c>
    </row>
    <row r="372" spans="1:16" customFormat="1" x14ac:dyDescent="0.2">
      <c r="A372" t="s">
        <v>233</v>
      </c>
      <c r="D372" s="534"/>
      <c r="E372" s="534"/>
      <c r="F372" s="534"/>
      <c r="G372" s="534"/>
      <c r="H372" s="534"/>
      <c r="J372" s="535">
        <v>1397</v>
      </c>
      <c r="K372" s="535">
        <v>3070</v>
      </c>
      <c r="L372" s="535">
        <v>4641</v>
      </c>
      <c r="M372" s="535">
        <v>6060</v>
      </c>
      <c r="N372" s="535">
        <v>7196</v>
      </c>
    </row>
    <row r="373" spans="1:16" customFormat="1" x14ac:dyDescent="0.2">
      <c r="A373" t="s">
        <v>234</v>
      </c>
      <c r="D373" s="534"/>
      <c r="E373" s="534"/>
      <c r="F373" s="534"/>
      <c r="G373" s="534"/>
      <c r="H373" s="534"/>
      <c r="J373" s="535">
        <v>30307</v>
      </c>
      <c r="K373" s="535">
        <v>82120</v>
      </c>
      <c r="L373" s="535">
        <v>167069</v>
      </c>
      <c r="M373" s="535">
        <v>252367</v>
      </c>
      <c r="N373" s="535">
        <v>338857</v>
      </c>
    </row>
    <row r="374" spans="1:16" customFormat="1" x14ac:dyDescent="0.2">
      <c r="D374" s="534"/>
      <c r="E374" s="534"/>
      <c r="F374" s="534"/>
      <c r="G374" s="534"/>
      <c r="H374" s="534"/>
      <c r="J374" s="282">
        <f>SUM(J370:J373)</f>
        <v>860110</v>
      </c>
      <c r="K374" s="282">
        <f>SUM(K370:K373)</f>
        <v>867704</v>
      </c>
      <c r="L374" s="282">
        <f>SUM(L370:L373)</f>
        <v>852842</v>
      </c>
      <c r="M374" s="282">
        <f>SUM(M370:M373)</f>
        <v>836168</v>
      </c>
      <c r="N374" s="282">
        <f>SUM(N370:N373)</f>
        <v>818219</v>
      </c>
    </row>
    <row r="375" spans="1:16" customFormat="1" x14ac:dyDescent="0.2">
      <c r="A375" s="276" t="s">
        <v>54</v>
      </c>
      <c r="D375" s="529">
        <v>1949305.4129536522</v>
      </c>
      <c r="E375" s="529">
        <v>1975569.4544452247</v>
      </c>
      <c r="F375" s="529">
        <v>2002187.3655104858</v>
      </c>
      <c r="G375" s="529">
        <v>2029163.9140247537</v>
      </c>
      <c r="H375" s="529">
        <v>2056503.9321034984</v>
      </c>
    </row>
    <row r="376" spans="1:16" customFormat="1" x14ac:dyDescent="0.2"/>
    <row r="377" spans="1:16" customFormat="1" x14ac:dyDescent="0.2">
      <c r="A377" s="283"/>
      <c r="B377" s="283"/>
      <c r="C377" s="283"/>
      <c r="D377" s="283"/>
      <c r="E377" s="283"/>
      <c r="F377" s="283"/>
      <c r="G377" s="283"/>
      <c r="H377" s="283"/>
      <c r="I377" s="283"/>
      <c r="J377" s="283"/>
      <c r="K377" s="283"/>
      <c r="L377" s="283"/>
      <c r="M377" s="283"/>
      <c r="N377" s="283"/>
    </row>
    <row r="378" spans="1:16" customFormat="1" x14ac:dyDescent="0.2"/>
    <row r="379" spans="1:16" customFormat="1" x14ac:dyDescent="0.2"/>
    <row r="380" spans="1:16" customFormat="1" x14ac:dyDescent="0.2">
      <c r="A380" s="262" t="s">
        <v>235</v>
      </c>
      <c r="B380" s="263"/>
      <c r="C380" s="263"/>
      <c r="D380" s="264">
        <v>2006</v>
      </c>
      <c r="E380" s="264">
        <v>2007</v>
      </c>
      <c r="F380" s="264">
        <v>2008</v>
      </c>
      <c r="G380" s="264">
        <v>2009</v>
      </c>
      <c r="H380" s="264">
        <v>2010</v>
      </c>
      <c r="J380" s="264">
        <v>2006</v>
      </c>
      <c r="K380" s="264">
        <v>2007</v>
      </c>
      <c r="L380" s="264">
        <v>2008</v>
      </c>
      <c r="M380" s="264">
        <v>2009</v>
      </c>
      <c r="N380" s="264">
        <v>2010</v>
      </c>
    </row>
    <row r="381" spans="1:16" customFormat="1" x14ac:dyDescent="0.2">
      <c r="A381" s="128" t="s">
        <v>205</v>
      </c>
    </row>
    <row r="382" spans="1:16" customFormat="1" ht="17.25" x14ac:dyDescent="0.3">
      <c r="A382" s="128"/>
      <c r="C382" s="284" t="s">
        <v>262</v>
      </c>
      <c r="D382" s="536">
        <v>1</v>
      </c>
    </row>
    <row r="383" spans="1:16" customFormat="1" x14ac:dyDescent="0.2">
      <c r="D383" s="131" t="s">
        <v>236</v>
      </c>
      <c r="J383" s="131" t="s">
        <v>23</v>
      </c>
    </row>
    <row r="384" spans="1:16" customFormat="1" x14ac:dyDescent="0.2">
      <c r="A384" s="253" t="s">
        <v>237</v>
      </c>
      <c r="B384" s="253"/>
      <c r="C384" s="253"/>
      <c r="D384" t="s">
        <v>238</v>
      </c>
      <c r="J384" s="265"/>
      <c r="K384" s="265"/>
      <c r="L384" s="265"/>
      <c r="M384" s="265"/>
      <c r="N384" s="265"/>
    </row>
    <row r="385" spans="1:19" customFormat="1" x14ac:dyDescent="0.2">
      <c r="A385" s="124" t="s">
        <v>239</v>
      </c>
      <c r="B385" s="124"/>
      <c r="C385" s="537">
        <v>0</v>
      </c>
      <c r="D385" s="285">
        <f>C385*$D$382</f>
        <v>0</v>
      </c>
      <c r="E385" s="286">
        <f t="shared" ref="E385:H388" si="9">D385*(1-$D$29)</f>
        <v>0</v>
      </c>
      <c r="F385" s="286">
        <f t="shared" si="9"/>
        <v>0</v>
      </c>
      <c r="G385" s="286">
        <f t="shared" si="9"/>
        <v>0</v>
      </c>
      <c r="H385" s="286">
        <f t="shared" si="9"/>
        <v>0</v>
      </c>
      <c r="J385" s="287">
        <f t="shared" ref="J385:N388" si="10">J370</f>
        <v>5055</v>
      </c>
      <c r="K385" s="287">
        <f t="shared" si="10"/>
        <v>3571</v>
      </c>
      <c r="L385" s="287">
        <f t="shared" si="10"/>
        <v>2185</v>
      </c>
      <c r="M385" s="287">
        <f t="shared" si="10"/>
        <v>946</v>
      </c>
      <c r="N385" s="287">
        <f t="shared" si="10"/>
        <v>0</v>
      </c>
      <c r="O385" s="288"/>
      <c r="P385" s="288"/>
      <c r="Q385" s="288"/>
      <c r="R385" s="288"/>
      <c r="S385" s="288"/>
    </row>
    <row r="386" spans="1:19" customFormat="1" x14ac:dyDescent="0.2">
      <c r="A386" s="124" t="s">
        <v>240</v>
      </c>
      <c r="B386" s="124"/>
      <c r="C386" s="537">
        <v>0</v>
      </c>
      <c r="D386" s="285">
        <f>C386*$D$382</f>
        <v>0</v>
      </c>
      <c r="E386" s="286">
        <f t="shared" si="9"/>
        <v>0</v>
      </c>
      <c r="F386" s="286">
        <f t="shared" si="9"/>
        <v>0</v>
      </c>
      <c r="G386" s="286">
        <f t="shared" si="9"/>
        <v>0</v>
      </c>
      <c r="H386" s="286">
        <f t="shared" si="9"/>
        <v>0</v>
      </c>
      <c r="J386" s="287">
        <f t="shared" si="10"/>
        <v>823351</v>
      </c>
      <c r="K386" s="287">
        <f t="shared" si="10"/>
        <v>778943</v>
      </c>
      <c r="L386" s="287">
        <f t="shared" si="10"/>
        <v>678947</v>
      </c>
      <c r="M386" s="287">
        <f t="shared" si="10"/>
        <v>576795</v>
      </c>
      <c r="N386" s="287">
        <f t="shared" si="10"/>
        <v>472166</v>
      </c>
      <c r="O386" s="288"/>
      <c r="P386" s="288"/>
      <c r="Q386" s="288"/>
      <c r="R386" s="288"/>
      <c r="S386" s="288"/>
    </row>
    <row r="387" spans="1:19" customFormat="1" x14ac:dyDescent="0.2">
      <c r="A387" s="124" t="s">
        <v>241</v>
      </c>
      <c r="B387" s="124"/>
      <c r="C387" s="537">
        <v>0</v>
      </c>
      <c r="D387" s="285">
        <f>C387*$D$382</f>
        <v>0</v>
      </c>
      <c r="E387" s="286">
        <f t="shared" si="9"/>
        <v>0</v>
      </c>
      <c r="F387" s="286">
        <f t="shared" si="9"/>
        <v>0</v>
      </c>
      <c r="G387" s="286">
        <f t="shared" si="9"/>
        <v>0</v>
      </c>
      <c r="H387" s="286">
        <f t="shared" si="9"/>
        <v>0</v>
      </c>
      <c r="J387" s="287">
        <f t="shared" si="10"/>
        <v>1397</v>
      </c>
      <c r="K387" s="287">
        <f t="shared" si="10"/>
        <v>3070</v>
      </c>
      <c r="L387" s="287">
        <f t="shared" si="10"/>
        <v>4641</v>
      </c>
      <c r="M387" s="287">
        <f t="shared" si="10"/>
        <v>6060</v>
      </c>
      <c r="N387" s="287">
        <f t="shared" si="10"/>
        <v>7196</v>
      </c>
      <c r="O387" s="288"/>
      <c r="P387" s="288"/>
      <c r="Q387" s="288"/>
      <c r="R387" s="288"/>
      <c r="S387" s="288"/>
    </row>
    <row r="388" spans="1:19" customFormat="1" x14ac:dyDescent="0.2">
      <c r="A388" s="124" t="s">
        <v>242</v>
      </c>
      <c r="B388" s="124"/>
      <c r="C388" s="537">
        <v>0</v>
      </c>
      <c r="D388" s="285">
        <f>C388*$D$382</f>
        <v>0</v>
      </c>
      <c r="E388" s="286">
        <f t="shared" si="9"/>
        <v>0</v>
      </c>
      <c r="F388" s="286">
        <f t="shared" si="9"/>
        <v>0</v>
      </c>
      <c r="G388" s="286">
        <f t="shared" si="9"/>
        <v>0</v>
      </c>
      <c r="H388" s="286">
        <f t="shared" si="9"/>
        <v>0</v>
      </c>
      <c r="J388" s="287">
        <f t="shared" si="10"/>
        <v>30307</v>
      </c>
      <c r="K388" s="287">
        <f t="shared" si="10"/>
        <v>82120</v>
      </c>
      <c r="L388" s="287">
        <f t="shared" si="10"/>
        <v>167069</v>
      </c>
      <c r="M388" s="287">
        <f t="shared" si="10"/>
        <v>252367</v>
      </c>
      <c r="N388" s="287">
        <f t="shared" si="10"/>
        <v>338857</v>
      </c>
      <c r="O388" s="288"/>
      <c r="P388" s="288"/>
      <c r="Q388" s="288"/>
      <c r="R388" s="288"/>
      <c r="S388" s="288"/>
    </row>
    <row r="389" spans="1:19" customFormat="1" x14ac:dyDescent="0.2">
      <c r="A389" s="124"/>
      <c r="B389" s="124"/>
      <c r="C389" s="538"/>
      <c r="D389" s="226"/>
      <c r="E389" s="226"/>
      <c r="F389" s="226"/>
      <c r="G389" s="226"/>
      <c r="H389" s="226"/>
      <c r="J389" s="282">
        <f>SUM(J385:J388)</f>
        <v>860110</v>
      </c>
      <c r="K389" s="282">
        <f>SUM(K385:K388)</f>
        <v>867704</v>
      </c>
      <c r="L389" s="282">
        <f>SUM(L385:L388)</f>
        <v>852842</v>
      </c>
      <c r="M389" s="282">
        <f>SUM(M385:M388)</f>
        <v>836168</v>
      </c>
      <c r="N389" s="282">
        <f>SUM(N385:N388)</f>
        <v>818219</v>
      </c>
      <c r="O389" s="288"/>
      <c r="P389" s="288"/>
      <c r="Q389" s="288"/>
      <c r="R389" s="288"/>
      <c r="S389" s="288"/>
    </row>
    <row r="390" spans="1:19" customFormat="1" x14ac:dyDescent="0.2">
      <c r="A390" s="253" t="s">
        <v>237</v>
      </c>
      <c r="B390" s="253"/>
      <c r="C390" s="539"/>
      <c r="D390" t="s">
        <v>243</v>
      </c>
      <c r="E390" s="226"/>
      <c r="F390" s="226"/>
      <c r="G390" s="226"/>
      <c r="H390" s="226"/>
      <c r="J390" s="289"/>
      <c r="K390" s="289"/>
      <c r="L390" s="289"/>
      <c r="M390" s="289"/>
      <c r="N390" s="289"/>
      <c r="O390" s="290"/>
      <c r="P390" s="290"/>
      <c r="Q390" s="290"/>
      <c r="R390" s="290"/>
      <c r="S390" s="290"/>
    </row>
    <row r="391" spans="1:19" customFormat="1" x14ac:dyDescent="0.2">
      <c r="A391" s="124" t="s">
        <v>244</v>
      </c>
      <c r="B391" s="124"/>
      <c r="C391" s="537">
        <v>39.192986352395202</v>
      </c>
      <c r="D391" s="285">
        <f>C391*$D$382</f>
        <v>39.192986352395202</v>
      </c>
      <c r="E391" s="286">
        <f t="shared" ref="E391:H394" si="11">D391*(1-$D$29)</f>
        <v>47.031583622874244</v>
      </c>
      <c r="F391" s="286">
        <f t="shared" si="11"/>
        <v>56.437900347449094</v>
      </c>
      <c r="G391" s="286">
        <f t="shared" si="11"/>
        <v>67.725480416938908</v>
      </c>
      <c r="H391" s="286">
        <f t="shared" si="11"/>
        <v>81.270576500326683</v>
      </c>
      <c r="J391" s="540">
        <v>6430.8273357951803</v>
      </c>
      <c r="K391" s="540">
        <v>6540.4186152199882</v>
      </c>
      <c r="L391" s="540">
        <v>6654.9714644701198</v>
      </c>
      <c r="M391" s="540">
        <v>6761.6206662288687</v>
      </c>
      <c r="N391" s="540">
        <v>6862.9061023560625</v>
      </c>
      <c r="O391" s="290"/>
      <c r="P391" s="269"/>
      <c r="Q391" s="269"/>
      <c r="R391" s="269"/>
      <c r="S391" s="269"/>
    </row>
    <row r="392" spans="1:19" customFormat="1" x14ac:dyDescent="0.2">
      <c r="A392" s="124" t="s">
        <v>245</v>
      </c>
      <c r="B392" s="124"/>
      <c r="C392" s="537">
        <v>13.064328784131733</v>
      </c>
      <c r="D392" s="285">
        <f>C392*$D$382</f>
        <v>13.064328784131733</v>
      </c>
      <c r="E392" s="286">
        <f t="shared" si="11"/>
        <v>15.67719454095808</v>
      </c>
      <c r="F392" s="286">
        <f t="shared" si="11"/>
        <v>18.812633449149697</v>
      </c>
      <c r="G392" s="286">
        <f t="shared" si="11"/>
        <v>22.575160138979637</v>
      </c>
      <c r="H392" s="286">
        <f t="shared" si="11"/>
        <v>27.090192166775562</v>
      </c>
      <c r="J392" s="540">
        <v>639239.62580768578</v>
      </c>
      <c r="K392" s="540">
        <v>650133.26122864627</v>
      </c>
      <c r="L392" s="540">
        <v>661520.08856301825</v>
      </c>
      <c r="M392" s="540">
        <v>672121.27442373626</v>
      </c>
      <c r="N392" s="540">
        <v>682189.28914547036</v>
      </c>
      <c r="O392" s="269"/>
      <c r="P392" s="269"/>
      <c r="Q392" s="269"/>
      <c r="R392" s="269"/>
      <c r="S392" s="269"/>
    </row>
    <row r="393" spans="1:19" customFormat="1" x14ac:dyDescent="0.2">
      <c r="A393" s="124"/>
      <c r="B393" s="124"/>
      <c r="C393" s="537">
        <v>0</v>
      </c>
      <c r="D393" s="285">
        <f>C393*$D$382</f>
        <v>0</v>
      </c>
      <c r="E393" s="286">
        <f t="shared" si="11"/>
        <v>0</v>
      </c>
      <c r="F393" s="286">
        <f t="shared" si="11"/>
        <v>0</v>
      </c>
      <c r="G393" s="286">
        <f t="shared" si="11"/>
        <v>0</v>
      </c>
      <c r="H393" s="286">
        <f t="shared" si="11"/>
        <v>0</v>
      </c>
      <c r="J393" s="540">
        <v>0</v>
      </c>
      <c r="K393" s="540">
        <v>0</v>
      </c>
      <c r="L393" s="540">
        <v>0</v>
      </c>
      <c r="M393" s="540">
        <v>0</v>
      </c>
      <c r="N393" s="540">
        <v>0</v>
      </c>
      <c r="O393" s="269"/>
      <c r="P393" s="269"/>
      <c r="Q393" s="269"/>
      <c r="R393" s="269"/>
      <c r="S393" s="269"/>
    </row>
    <row r="394" spans="1:19" customFormat="1" x14ac:dyDescent="0.2">
      <c r="A394" s="124"/>
      <c r="B394" s="124"/>
      <c r="C394" s="537">
        <v>0</v>
      </c>
      <c r="D394" s="285">
        <f>C394*$D$382</f>
        <v>0</v>
      </c>
      <c r="E394" s="286">
        <f t="shared" si="11"/>
        <v>0</v>
      </c>
      <c r="F394" s="286">
        <f t="shared" si="11"/>
        <v>0</v>
      </c>
      <c r="G394" s="286">
        <f t="shared" si="11"/>
        <v>0</v>
      </c>
      <c r="H394" s="286">
        <f t="shared" si="11"/>
        <v>0</v>
      </c>
      <c r="J394" s="540">
        <v>0</v>
      </c>
      <c r="K394" s="540">
        <v>0</v>
      </c>
      <c r="L394" s="540">
        <v>0</v>
      </c>
      <c r="M394" s="540">
        <v>0</v>
      </c>
      <c r="N394" s="540">
        <v>0</v>
      </c>
      <c r="O394" s="269"/>
      <c r="P394" s="269"/>
      <c r="Q394" s="269"/>
      <c r="R394" s="269"/>
      <c r="S394" s="269"/>
    </row>
    <row r="395" spans="1:19" customFormat="1" x14ac:dyDescent="0.2">
      <c r="A395" s="124"/>
      <c r="B395" s="124"/>
      <c r="C395" s="538"/>
      <c r="J395" s="282">
        <f>SUM(J391:J394)</f>
        <v>645670.45314348093</v>
      </c>
      <c r="K395" s="282">
        <f>SUM(K391:K394)</f>
        <v>656673.67984386627</v>
      </c>
      <c r="L395" s="282">
        <f>SUM(L391:L394)</f>
        <v>668175.06002748839</v>
      </c>
      <c r="M395" s="282">
        <f>SUM(M391:M394)</f>
        <v>678882.89508996508</v>
      </c>
      <c r="N395" s="282">
        <f>SUM(N391:N394)</f>
        <v>689052.1952478264</v>
      </c>
      <c r="O395" s="269"/>
      <c r="P395" s="269"/>
      <c r="Q395" s="269"/>
      <c r="R395" s="269"/>
      <c r="S395" s="269"/>
    </row>
    <row r="396" spans="1:19" customFormat="1" x14ac:dyDescent="0.2">
      <c r="A396" s="253" t="s">
        <v>246</v>
      </c>
      <c r="B396" s="253"/>
      <c r="C396" s="539"/>
      <c r="O396" s="269"/>
      <c r="P396" s="269"/>
      <c r="Q396" s="269"/>
      <c r="R396" s="269"/>
      <c r="S396" s="269"/>
    </row>
    <row r="397" spans="1:19" customFormat="1" x14ac:dyDescent="0.2">
      <c r="A397" s="253" t="s">
        <v>247</v>
      </c>
      <c r="B397" s="253"/>
      <c r="C397" s="539"/>
      <c r="D397" t="s">
        <v>248</v>
      </c>
      <c r="O397" s="269"/>
      <c r="P397" s="269"/>
      <c r="Q397" s="269"/>
      <c r="R397" s="269"/>
      <c r="S397" s="269"/>
    </row>
    <row r="398" spans="1:19" customFormat="1" x14ac:dyDescent="0.2">
      <c r="A398" s="124" t="s">
        <v>249</v>
      </c>
      <c r="B398" s="124"/>
      <c r="C398" s="537">
        <v>0</v>
      </c>
      <c r="D398" s="291">
        <f>C398</f>
        <v>0</v>
      </c>
      <c r="E398" s="286">
        <f t="shared" ref="E398:H399" si="12">D398*(1-$D$29)</f>
        <v>0</v>
      </c>
      <c r="F398" s="286">
        <f t="shared" si="12"/>
        <v>0</v>
      </c>
      <c r="G398" s="286">
        <f t="shared" si="12"/>
        <v>0</v>
      </c>
      <c r="H398" s="286">
        <f t="shared" si="12"/>
        <v>0</v>
      </c>
      <c r="J398" s="540">
        <v>0</v>
      </c>
      <c r="K398" s="540">
        <v>0</v>
      </c>
      <c r="L398" s="540">
        <v>0</v>
      </c>
      <c r="M398" s="540">
        <v>0</v>
      </c>
      <c r="N398" s="540">
        <v>0</v>
      </c>
      <c r="O398" s="269"/>
      <c r="P398" s="269"/>
      <c r="Q398" s="269"/>
      <c r="R398" s="269"/>
      <c r="S398" s="269"/>
    </row>
    <row r="399" spans="1:19" customFormat="1" x14ac:dyDescent="0.2">
      <c r="A399" s="124" t="s">
        <v>250</v>
      </c>
      <c r="B399" s="124"/>
      <c r="C399" s="537">
        <v>0.86</v>
      </c>
      <c r="D399" s="291">
        <f>C399</f>
        <v>0.86</v>
      </c>
      <c r="E399" s="286">
        <f t="shared" si="12"/>
        <v>1.032</v>
      </c>
      <c r="F399" s="286">
        <f t="shared" si="12"/>
        <v>1.2383999999999999</v>
      </c>
      <c r="G399" s="286">
        <f t="shared" si="12"/>
        <v>1.4860799999999998</v>
      </c>
      <c r="H399" s="286">
        <f t="shared" si="12"/>
        <v>1.7832959999999998</v>
      </c>
      <c r="J399" s="540">
        <v>122294</v>
      </c>
      <c r="K399" s="540">
        <v>126494</v>
      </c>
      <c r="L399" s="540">
        <v>130694</v>
      </c>
      <c r="M399" s="540">
        <v>134894</v>
      </c>
      <c r="N399" s="540">
        <v>139094</v>
      </c>
      <c r="O399" s="269"/>
      <c r="P399" s="269"/>
      <c r="Q399" s="269"/>
      <c r="R399" s="269"/>
      <c r="S399" s="269"/>
    </row>
    <row r="400" spans="1:19" customFormat="1" x14ac:dyDescent="0.2">
      <c r="A400" s="124"/>
      <c r="B400" s="124"/>
      <c r="C400" s="538"/>
      <c r="D400" s="292"/>
      <c r="E400" s="286"/>
      <c r="F400" s="286"/>
      <c r="G400" s="286"/>
      <c r="H400" s="286"/>
      <c r="J400" s="287"/>
      <c r="K400" s="287"/>
      <c r="L400" s="287"/>
      <c r="M400" s="287"/>
      <c r="N400" s="287"/>
      <c r="O400" s="269"/>
      <c r="P400" s="269"/>
      <c r="Q400" s="269"/>
      <c r="R400" s="269"/>
      <c r="S400" s="269"/>
    </row>
    <row r="401" spans="1:19" customFormat="1" x14ac:dyDescent="0.2">
      <c r="A401" s="253" t="s">
        <v>29</v>
      </c>
      <c r="B401" s="253"/>
      <c r="C401" s="539"/>
      <c r="D401" t="s">
        <v>248</v>
      </c>
      <c r="J401" s="226"/>
      <c r="K401" s="226"/>
      <c r="L401" s="226"/>
      <c r="M401" s="226"/>
      <c r="N401" s="226"/>
      <c r="O401" s="269"/>
      <c r="P401" s="269"/>
      <c r="Q401" s="269"/>
      <c r="R401" s="269"/>
      <c r="S401" s="269"/>
    </row>
    <row r="402" spans="1:19" customFormat="1" x14ac:dyDescent="0.2">
      <c r="A402" s="124" t="s">
        <v>251</v>
      </c>
      <c r="B402" s="124"/>
      <c r="C402" s="537">
        <v>4.1392855438797511</v>
      </c>
      <c r="D402" s="285">
        <f>C402*$D$382</f>
        <v>4.1392855438797511</v>
      </c>
      <c r="E402" s="293">
        <f t="shared" ref="E402:H405" si="13">D402*(1-$D$29)</f>
        <v>4.967142652655701</v>
      </c>
      <c r="F402" s="293">
        <f t="shared" si="13"/>
        <v>5.9605711831868406</v>
      </c>
      <c r="G402" s="293">
        <f t="shared" si="13"/>
        <v>7.1526854198242082</v>
      </c>
      <c r="H402" s="293">
        <f t="shared" si="13"/>
        <v>8.5832225037890488</v>
      </c>
      <c r="J402" s="540">
        <v>319079.32803200395</v>
      </c>
      <c r="K402" s="540">
        <v>324516.93504135334</v>
      </c>
      <c r="L402" s="540">
        <v>330200.72100765217</v>
      </c>
      <c r="M402" s="540">
        <v>335492.35050653736</v>
      </c>
      <c r="N402" s="540">
        <v>340517.8452386079</v>
      </c>
      <c r="O402" s="269"/>
      <c r="P402" s="269"/>
      <c r="Q402" s="269"/>
      <c r="R402" s="269"/>
      <c r="S402" s="269"/>
    </row>
    <row r="403" spans="1:19" customFormat="1" x14ac:dyDescent="0.2">
      <c r="A403" s="124" t="s">
        <v>252</v>
      </c>
      <c r="B403" s="124"/>
      <c r="C403" s="537">
        <v>10.466101032022539</v>
      </c>
      <c r="D403" s="285">
        <f>C403*$D$382</f>
        <v>10.466101032022539</v>
      </c>
      <c r="E403" s="293">
        <f t="shared" si="13"/>
        <v>12.559321238427048</v>
      </c>
      <c r="F403" s="293">
        <f t="shared" si="13"/>
        <v>15.071185486112457</v>
      </c>
      <c r="G403" s="293">
        <f t="shared" si="13"/>
        <v>18.085422583334946</v>
      </c>
      <c r="H403" s="293">
        <f t="shared" si="13"/>
        <v>21.702507100001935</v>
      </c>
      <c r="J403" s="540">
        <v>220925.01356011708</v>
      </c>
      <c r="K403" s="540">
        <v>224689.91870042938</v>
      </c>
      <c r="L403" s="540">
        <v>228625.27389696357</v>
      </c>
      <c r="M403" s="540">
        <v>232289.10673128325</v>
      </c>
      <c r="N403" s="540">
        <v>235768.67245143428</v>
      </c>
      <c r="O403" s="269"/>
      <c r="P403" s="269"/>
      <c r="Q403" s="269"/>
      <c r="R403" s="269"/>
      <c r="S403" s="269"/>
    </row>
    <row r="404" spans="1:19" customFormat="1" x14ac:dyDescent="0.2">
      <c r="A404" s="124" t="s">
        <v>253</v>
      </c>
      <c r="B404" s="124"/>
      <c r="C404" s="537">
        <v>31.841147659118047</v>
      </c>
      <c r="D404" s="285">
        <f>C404*$D$382</f>
        <v>31.841147659118047</v>
      </c>
      <c r="E404" s="293">
        <f t="shared" si="13"/>
        <v>38.209377190941652</v>
      </c>
      <c r="F404" s="293">
        <f t="shared" si="13"/>
        <v>45.851252629129981</v>
      </c>
      <c r="G404" s="293">
        <f t="shared" si="13"/>
        <v>55.021503154955973</v>
      </c>
      <c r="H404" s="293">
        <f t="shared" si="13"/>
        <v>66.025803785947161</v>
      </c>
      <c r="J404" s="540">
        <v>100712.9169065477</v>
      </c>
      <c r="K404" s="540">
        <v>102429.22133241178</v>
      </c>
      <c r="L404" s="540">
        <v>104223.22869499793</v>
      </c>
      <c r="M404" s="540">
        <v>105893.45736605745</v>
      </c>
      <c r="N404" s="540">
        <v>107479.6843287598</v>
      </c>
      <c r="O404" s="269"/>
      <c r="P404" s="269"/>
      <c r="Q404" s="269"/>
      <c r="R404" s="269"/>
      <c r="S404" s="269"/>
    </row>
    <row r="405" spans="1:19" customFormat="1" x14ac:dyDescent="0.2">
      <c r="A405" s="124" t="s">
        <v>254</v>
      </c>
      <c r="B405" s="124"/>
      <c r="C405" s="537">
        <v>51.368445689114225</v>
      </c>
      <c r="D405" s="285">
        <f>C405*$D$382</f>
        <v>51.368445689114225</v>
      </c>
      <c r="E405" s="293">
        <f t="shared" si="13"/>
        <v>61.642134826937067</v>
      </c>
      <c r="F405" s="293">
        <f t="shared" si="13"/>
        <v>73.970561792324474</v>
      </c>
      <c r="G405" s="293">
        <f t="shared" si="13"/>
        <v>88.764674150789361</v>
      </c>
      <c r="H405" s="293">
        <f t="shared" si="13"/>
        <v>106.51760898094723</v>
      </c>
      <c r="J405" s="540">
        <v>4953.1946448121762</v>
      </c>
      <c r="K405" s="540">
        <v>5037.6047696717869</v>
      </c>
      <c r="L405" s="540">
        <v>5125.8364278746849</v>
      </c>
      <c r="M405" s="540">
        <v>5207.9804860870026</v>
      </c>
      <c r="N405" s="540">
        <v>5285.9932290244797</v>
      </c>
      <c r="O405" s="269"/>
      <c r="P405" s="269"/>
      <c r="Q405" s="269"/>
      <c r="R405" s="269"/>
      <c r="S405" s="269"/>
    </row>
    <row r="406" spans="1:19" customFormat="1" x14ac:dyDescent="0.2">
      <c r="A406" s="220" t="s">
        <v>45</v>
      </c>
      <c r="B406" s="220"/>
      <c r="C406" s="220"/>
      <c r="D406" s="218"/>
      <c r="E406" s="232"/>
      <c r="F406" s="232"/>
      <c r="G406" s="232"/>
      <c r="H406" s="232"/>
      <c r="I406" s="232"/>
      <c r="J406" s="234">
        <f>SUM(J402:J405)</f>
        <v>645670.45314348093</v>
      </c>
      <c r="K406" s="234">
        <f>SUM(K402:K405)</f>
        <v>656673.67984386627</v>
      </c>
      <c r="L406" s="234">
        <f>SUM(L402:L405)</f>
        <v>668175.06002748827</v>
      </c>
      <c r="M406" s="234">
        <f>SUM(M402:M405)</f>
        <v>678882.89508996508</v>
      </c>
      <c r="N406" s="234">
        <f>SUM(N402:N405)</f>
        <v>689052.1952478264</v>
      </c>
      <c r="O406" s="288"/>
      <c r="P406" s="288"/>
      <c r="Q406" s="288"/>
      <c r="R406" s="288"/>
      <c r="S406" s="288"/>
    </row>
    <row r="407" spans="1:19" customFormat="1" x14ac:dyDescent="0.2">
      <c r="O407" s="290"/>
      <c r="P407" s="290"/>
      <c r="Q407" s="290"/>
      <c r="R407" s="290"/>
      <c r="S407" s="290"/>
    </row>
    <row r="408" spans="1:19" customFormat="1" x14ac:dyDescent="0.2">
      <c r="O408" s="290"/>
      <c r="P408" s="269"/>
      <c r="Q408" s="269"/>
      <c r="R408" s="269"/>
      <c r="S408" s="269"/>
    </row>
    <row r="409" spans="1:19" customFormat="1" x14ac:dyDescent="0.2">
      <c r="A409" s="131" t="s">
        <v>255</v>
      </c>
      <c r="D409" s="124"/>
      <c r="O409" s="269"/>
      <c r="P409" s="269"/>
      <c r="Q409" s="269"/>
      <c r="R409" s="269"/>
      <c r="S409" s="269"/>
    </row>
    <row r="410" spans="1:19" customFormat="1" x14ac:dyDescent="0.2">
      <c r="A410" s="253" t="s">
        <v>237</v>
      </c>
      <c r="B410" s="253"/>
      <c r="C410" s="253"/>
      <c r="O410" s="269"/>
      <c r="P410" s="269"/>
      <c r="Q410" s="269"/>
      <c r="R410" s="269"/>
      <c r="S410" s="269"/>
    </row>
    <row r="411" spans="1:19" customFormat="1" x14ac:dyDescent="0.2">
      <c r="A411" s="124" t="s">
        <v>244</v>
      </c>
      <c r="B411" s="124"/>
      <c r="C411" s="124"/>
      <c r="D411" s="294">
        <f t="shared" ref="D411:H414" si="14">D385*J385</f>
        <v>0</v>
      </c>
      <c r="E411" s="294">
        <f t="shared" si="14"/>
        <v>0</v>
      </c>
      <c r="F411" s="294">
        <f t="shared" si="14"/>
        <v>0</v>
      </c>
      <c r="G411" s="294">
        <f t="shared" si="14"/>
        <v>0</v>
      </c>
      <c r="H411" s="294">
        <f t="shared" si="14"/>
        <v>0</v>
      </c>
    </row>
    <row r="412" spans="1:19" customFormat="1" x14ac:dyDescent="0.2">
      <c r="A412" s="124" t="s">
        <v>245</v>
      </c>
      <c r="B412" s="124"/>
      <c r="C412" s="124"/>
      <c r="D412" s="294">
        <f t="shared" si="14"/>
        <v>0</v>
      </c>
      <c r="E412" s="294">
        <f t="shared" si="14"/>
        <v>0</v>
      </c>
      <c r="F412" s="294">
        <f t="shared" si="14"/>
        <v>0</v>
      </c>
      <c r="G412" s="294">
        <f t="shared" si="14"/>
        <v>0</v>
      </c>
      <c r="H412" s="294">
        <f t="shared" si="14"/>
        <v>0</v>
      </c>
    </row>
    <row r="413" spans="1:19" customFormat="1" x14ac:dyDescent="0.2">
      <c r="A413" s="124"/>
      <c r="B413" s="124"/>
      <c r="C413" s="124"/>
      <c r="D413" s="294">
        <f t="shared" si="14"/>
        <v>0</v>
      </c>
      <c r="E413" s="294">
        <f t="shared" si="14"/>
        <v>0</v>
      </c>
      <c r="F413" s="294">
        <f t="shared" si="14"/>
        <v>0</v>
      </c>
      <c r="G413" s="294">
        <f t="shared" si="14"/>
        <v>0</v>
      </c>
      <c r="H413" s="294">
        <f t="shared" si="14"/>
        <v>0</v>
      </c>
    </row>
    <row r="414" spans="1:19" customFormat="1" x14ac:dyDescent="0.2">
      <c r="A414" s="124"/>
      <c r="B414" s="124"/>
      <c r="C414" s="124"/>
      <c r="D414" s="294">
        <f t="shared" si="14"/>
        <v>0</v>
      </c>
      <c r="E414" s="294">
        <f t="shared" si="14"/>
        <v>0</v>
      </c>
      <c r="F414" s="294">
        <f t="shared" si="14"/>
        <v>0</v>
      </c>
      <c r="G414" s="294">
        <f t="shared" si="14"/>
        <v>0</v>
      </c>
      <c r="H414" s="294">
        <f t="shared" si="14"/>
        <v>0</v>
      </c>
    </row>
    <row r="415" spans="1:19" customFormat="1" x14ac:dyDescent="0.2">
      <c r="A415" s="124"/>
      <c r="B415" s="124"/>
      <c r="C415" s="124"/>
      <c r="D415" s="295">
        <f>SUM(D411:D414)</f>
        <v>0</v>
      </c>
      <c r="E415" s="295">
        <f>SUM(E411:E414)</f>
        <v>0</v>
      </c>
      <c r="F415" s="295">
        <f>SUM(F411:F414)</f>
        <v>0</v>
      </c>
      <c r="G415" s="295">
        <f>SUM(G411:G414)</f>
        <v>0</v>
      </c>
      <c r="H415" s="295">
        <f>SUM(H411:H414)</f>
        <v>0</v>
      </c>
    </row>
    <row r="416" spans="1:19" customFormat="1" x14ac:dyDescent="0.2">
      <c r="A416" s="253" t="s">
        <v>237</v>
      </c>
      <c r="B416" s="253"/>
      <c r="C416" s="253"/>
      <c r="D416" s="294"/>
      <c r="E416" s="294"/>
      <c r="F416" s="294"/>
      <c r="G416" s="294"/>
      <c r="H416" s="294"/>
    </row>
    <row r="417" spans="1:8" customFormat="1" x14ac:dyDescent="0.2">
      <c r="A417" s="124" t="s">
        <v>256</v>
      </c>
      <c r="B417" s="124"/>
      <c r="C417" s="124"/>
      <c r="D417" s="294">
        <f t="shared" ref="D417:H420" si="15">D391*J391</f>
        <v>252043.3280064305</v>
      </c>
      <c r="E417" s="294">
        <f t="shared" si="15"/>
        <v>307606.24503032223</v>
      </c>
      <c r="F417" s="294">
        <f t="shared" si="15"/>
        <v>375592.61632688198</v>
      </c>
      <c r="G417" s="294">
        <f t="shared" si="15"/>
        <v>457934.00801745267</v>
      </c>
      <c r="H417" s="294">
        <f t="shared" si="15"/>
        <v>557752.33540608722</v>
      </c>
    </row>
    <row r="418" spans="1:8" customFormat="1" x14ac:dyDescent="0.2">
      <c r="A418" s="124" t="s">
        <v>257</v>
      </c>
      <c r="B418" s="124"/>
      <c r="C418" s="124"/>
      <c r="D418" s="294">
        <f t="shared" si="15"/>
        <v>8351236.6433969475</v>
      </c>
      <c r="E418" s="294">
        <f t="shared" si="15"/>
        <v>10192265.613829007</v>
      </c>
      <c r="F418" s="294">
        <f t="shared" si="15"/>
        <v>12444934.945385108</v>
      </c>
      <c r="G418" s="294">
        <f t="shared" si="15"/>
        <v>15173245.402930925</v>
      </c>
      <c r="H418" s="294">
        <f t="shared" si="15"/>
        <v>18480638.937066812</v>
      </c>
    </row>
    <row r="419" spans="1:8" customFormat="1" x14ac:dyDescent="0.2">
      <c r="A419" s="124" t="s">
        <v>258</v>
      </c>
      <c r="B419" s="124"/>
      <c r="C419" s="124"/>
      <c r="D419" s="294">
        <f t="shared" si="15"/>
        <v>0</v>
      </c>
      <c r="E419" s="294">
        <f t="shared" si="15"/>
        <v>0</v>
      </c>
      <c r="F419" s="294">
        <f t="shared" si="15"/>
        <v>0</v>
      </c>
      <c r="G419" s="294">
        <f t="shared" si="15"/>
        <v>0</v>
      </c>
      <c r="H419" s="294">
        <f t="shared" si="15"/>
        <v>0</v>
      </c>
    </row>
    <row r="420" spans="1:8" customFormat="1" x14ac:dyDescent="0.2">
      <c r="A420" s="124" t="s">
        <v>259</v>
      </c>
      <c r="B420" s="124"/>
      <c r="C420" s="124"/>
      <c r="D420" s="294">
        <f t="shared" si="15"/>
        <v>0</v>
      </c>
      <c r="E420" s="294">
        <f t="shared" si="15"/>
        <v>0</v>
      </c>
      <c r="F420" s="294">
        <f t="shared" si="15"/>
        <v>0</v>
      </c>
      <c r="G420" s="294">
        <f t="shared" si="15"/>
        <v>0</v>
      </c>
      <c r="H420" s="294">
        <f t="shared" si="15"/>
        <v>0</v>
      </c>
    </row>
    <row r="421" spans="1:8" customFormat="1" x14ac:dyDescent="0.2">
      <c r="A421" s="124"/>
      <c r="B421" s="124"/>
      <c r="C421" s="124"/>
      <c r="D421" s="295">
        <f>SUM(D417:D420)</f>
        <v>8603279.9714033771</v>
      </c>
      <c r="E421" s="295">
        <f>SUM(E417:E420)</f>
        <v>10499871.85885933</v>
      </c>
      <c r="F421" s="295">
        <f>SUM(F417:F420)</f>
        <v>12820527.561711989</v>
      </c>
      <c r="G421" s="295">
        <f>SUM(G417:G420)</f>
        <v>15631179.410948377</v>
      </c>
      <c r="H421" s="295">
        <f>SUM(H417:H420)</f>
        <v>19038391.272472899</v>
      </c>
    </row>
    <row r="422" spans="1:8" customFormat="1" x14ac:dyDescent="0.2">
      <c r="A422" s="253" t="s">
        <v>246</v>
      </c>
      <c r="B422" s="253"/>
      <c r="C422" s="253"/>
      <c r="D422" s="294"/>
      <c r="E422" s="294"/>
      <c r="F422" s="294"/>
      <c r="G422" s="294"/>
      <c r="H422" s="294"/>
    </row>
    <row r="423" spans="1:8" customFormat="1" x14ac:dyDescent="0.2">
      <c r="A423" s="253" t="s">
        <v>247</v>
      </c>
      <c r="B423" s="253"/>
      <c r="C423" s="253"/>
      <c r="D423" s="294"/>
      <c r="E423" s="294"/>
      <c r="F423" s="294"/>
      <c r="G423" s="294"/>
      <c r="H423" s="294"/>
    </row>
    <row r="424" spans="1:8" customFormat="1" x14ac:dyDescent="0.2">
      <c r="A424" s="124" t="s">
        <v>249</v>
      </c>
      <c r="B424" s="124"/>
      <c r="C424" s="124"/>
      <c r="D424" s="294">
        <f t="shared" ref="D424:H425" si="16">D398*J398</f>
        <v>0</v>
      </c>
      <c r="E424" s="294">
        <f t="shared" si="16"/>
        <v>0</v>
      </c>
      <c r="F424" s="294">
        <f t="shared" si="16"/>
        <v>0</v>
      </c>
      <c r="G424" s="294">
        <f t="shared" si="16"/>
        <v>0</v>
      </c>
      <c r="H424" s="294">
        <f t="shared" si="16"/>
        <v>0</v>
      </c>
    </row>
    <row r="425" spans="1:8" customFormat="1" x14ac:dyDescent="0.2">
      <c r="A425" s="124" t="s">
        <v>250</v>
      </c>
      <c r="B425" s="124"/>
      <c r="C425" s="124"/>
      <c r="D425" s="294">
        <f t="shared" si="16"/>
        <v>105172.84</v>
      </c>
      <c r="E425" s="294">
        <f t="shared" si="16"/>
        <v>130541.808</v>
      </c>
      <c r="F425" s="294">
        <f t="shared" si="16"/>
        <v>161851.44959999999</v>
      </c>
      <c r="G425" s="294">
        <f t="shared" si="16"/>
        <v>200463.27551999997</v>
      </c>
      <c r="H425" s="294">
        <f t="shared" si="16"/>
        <v>248045.77382399997</v>
      </c>
    </row>
    <row r="426" spans="1:8" customFormat="1" x14ac:dyDescent="0.2">
      <c r="A426" s="124"/>
      <c r="B426" s="124"/>
      <c r="C426" s="124"/>
      <c r="D426" s="295">
        <f>SUM(D424:D425)</f>
        <v>105172.84</v>
      </c>
      <c r="E426" s="295">
        <f>SUM(E424:E425)</f>
        <v>130541.808</v>
      </c>
      <c r="F426" s="295">
        <f>SUM(F424:F425)</f>
        <v>161851.44959999999</v>
      </c>
      <c r="G426" s="295">
        <f>SUM(G424:G425)</f>
        <v>200463.27551999997</v>
      </c>
      <c r="H426" s="295">
        <f>SUM(H424:H425)</f>
        <v>248045.77382399997</v>
      </c>
    </row>
    <row r="427" spans="1:8" customFormat="1" x14ac:dyDescent="0.2">
      <c r="A427" s="124"/>
      <c r="B427" s="124"/>
      <c r="C427" s="124"/>
      <c r="D427" s="294"/>
      <c r="E427" s="294"/>
      <c r="F427" s="294"/>
      <c r="G427" s="294"/>
      <c r="H427" s="294"/>
    </row>
    <row r="428" spans="1:8" customFormat="1" x14ac:dyDescent="0.2">
      <c r="A428" s="124" t="s">
        <v>251</v>
      </c>
      <c r="B428" s="124"/>
      <c r="C428" s="124"/>
      <c r="D428" s="294">
        <f t="shared" ref="D428:H431" si="17">D402*J402</f>
        <v>1320760.4498737389</v>
      </c>
      <c r="E428" s="294">
        <f t="shared" si="17"/>
        <v>1611921.9095530056</v>
      </c>
      <c r="F428" s="294">
        <f t="shared" si="17"/>
        <v>1968184.9023057292</v>
      </c>
      <c r="G428" s="294">
        <f t="shared" si="17"/>
        <v>2399671.2439306625</v>
      </c>
      <c r="H428" s="294">
        <f t="shared" si="17"/>
        <v>2922740.4321937761</v>
      </c>
    </row>
    <row r="429" spans="1:8" customFormat="1" x14ac:dyDescent="0.2">
      <c r="A429" s="124" t="s">
        <v>252</v>
      </c>
      <c r="B429" s="124"/>
      <c r="C429" s="124"/>
      <c r="D429" s="294">
        <f t="shared" si="17"/>
        <v>2312223.5124211349</v>
      </c>
      <c r="E429" s="294">
        <f t="shared" si="17"/>
        <v>2821952.8679947495</v>
      </c>
      <c r="F429" s="294">
        <f t="shared" si="17"/>
        <v>3445653.9097144026</v>
      </c>
      <c r="G429" s="294">
        <f t="shared" si="17"/>
        <v>4201046.6567406515</v>
      </c>
      <c r="H429" s="294">
        <f t="shared" si="17"/>
        <v>5116771.2878352832</v>
      </c>
    </row>
    <row r="430" spans="1:8" customFormat="1" x14ac:dyDescent="0.2">
      <c r="A430" s="124" t="s">
        <v>253</v>
      </c>
      <c r="B430" s="124"/>
      <c r="C430" s="124"/>
      <c r="D430" s="294">
        <f t="shared" si="17"/>
        <v>3206814.8584018718</v>
      </c>
      <c r="E430" s="294">
        <f t="shared" si="17"/>
        <v>3913756.7532645687</v>
      </c>
      <c r="F430" s="294">
        <f t="shared" si="17"/>
        <v>4778765.5887179393</v>
      </c>
      <c r="G430" s="294">
        <f t="shared" si="17"/>
        <v>5826417.1985557256</v>
      </c>
      <c r="H430" s="294">
        <f t="shared" si="17"/>
        <v>7096432.5484662345</v>
      </c>
    </row>
    <row r="431" spans="1:8" customFormat="1" x14ac:dyDescent="0.2">
      <c r="A431" s="124" t="s">
        <v>254</v>
      </c>
      <c r="B431" s="124"/>
      <c r="C431" s="124"/>
      <c r="D431" s="294">
        <f t="shared" si="17"/>
        <v>254437.9100996457</v>
      </c>
      <c r="E431" s="294">
        <f t="shared" si="17"/>
        <v>310528.71241692954</v>
      </c>
      <c r="F431" s="294">
        <f t="shared" si="17"/>
        <v>379161.00022545212</v>
      </c>
      <c r="G431" s="294">
        <f t="shared" si="17"/>
        <v>462284.69083118235</v>
      </c>
      <c r="H431" s="294">
        <f t="shared" si="17"/>
        <v>563051.35984516412</v>
      </c>
    </row>
    <row r="432" spans="1:8" customFormat="1" x14ac:dyDescent="0.2">
      <c r="A432" s="220" t="s">
        <v>45</v>
      </c>
      <c r="B432" s="220"/>
      <c r="C432" s="220"/>
      <c r="D432" s="295">
        <f>SUM(D428:D431)</f>
        <v>7094236.7307963911</v>
      </c>
      <c r="E432" s="295">
        <f>SUM(E428:E431)</f>
        <v>8658160.2432292532</v>
      </c>
      <c r="F432" s="295">
        <f>SUM(F428:F431)</f>
        <v>10571765.400963524</v>
      </c>
      <c r="G432" s="295">
        <f>SUM(G428:G431)</f>
        <v>12889419.790058224</v>
      </c>
      <c r="H432" s="295">
        <f>SUM(H428:H431)</f>
        <v>15698995.628340458</v>
      </c>
    </row>
    <row r="433" spans="1:14" customFormat="1" x14ac:dyDescent="0.2"/>
    <row r="434" spans="1:14" customFormat="1" x14ac:dyDescent="0.2"/>
    <row r="435" spans="1:14" customFormat="1" ht="13.5" thickBot="1" x14ac:dyDescent="0.25">
      <c r="A435" t="s">
        <v>260</v>
      </c>
      <c r="D435" s="296">
        <f>SUM(D415,D421,D426,D432)</f>
        <v>15802689.542199768</v>
      </c>
      <c r="E435" s="296">
        <f>SUM(E415,E421,E426,E432)</f>
        <v>19288573.910088584</v>
      </c>
      <c r="F435" s="296">
        <f>SUM(F415,F421,F426,F432)</f>
        <v>23554144.412275515</v>
      </c>
      <c r="G435" s="296">
        <f>SUM(G415,G421,G426,G432)</f>
        <v>28721062.476526603</v>
      </c>
      <c r="H435" s="296">
        <f>SUM(H415,H421,H426,H432)</f>
        <v>34985432.674637355</v>
      </c>
    </row>
    <row r="436" spans="1:14" customFormat="1" ht="13.5" thickTop="1" x14ac:dyDescent="0.2">
      <c r="A436" s="266"/>
      <c r="B436" s="266"/>
      <c r="C436" s="266"/>
      <c r="D436" s="297"/>
      <c r="E436" s="297"/>
      <c r="F436" s="297"/>
      <c r="G436" s="297"/>
      <c r="H436" s="297"/>
    </row>
    <row r="437" spans="1:14" customFormat="1" x14ac:dyDescent="0.2">
      <c r="A437" s="266"/>
      <c r="B437" s="266"/>
      <c r="C437" s="266"/>
      <c r="D437" s="297"/>
      <c r="E437" s="297"/>
      <c r="F437" s="297"/>
      <c r="G437" s="297"/>
      <c r="H437" s="297"/>
    </row>
    <row r="438" spans="1:14" customFormat="1" x14ac:dyDescent="0.2">
      <c r="A438" s="266"/>
      <c r="B438" s="266"/>
      <c r="C438" s="266"/>
      <c r="D438" s="297"/>
      <c r="E438" s="297"/>
      <c r="F438" s="297"/>
      <c r="G438" s="297"/>
      <c r="H438" s="297"/>
    </row>
    <row r="439" spans="1:14" x14ac:dyDescent="0.2">
      <c r="A439" s="131"/>
      <c r="I439" s="155"/>
      <c r="J439" s="155"/>
    </row>
    <row r="440" spans="1:14" x14ac:dyDescent="0.2">
      <c r="A440" s="228"/>
      <c r="B440" s="176"/>
      <c r="C440" s="176"/>
      <c r="D440" s="176"/>
      <c r="E440" s="176"/>
      <c r="F440" s="176"/>
      <c r="G440" s="176"/>
      <c r="H440" s="176"/>
      <c r="I440" s="177"/>
      <c r="J440" s="177"/>
      <c r="K440" s="176"/>
      <c r="L440" s="176"/>
      <c r="M440" s="176"/>
      <c r="N440" s="176"/>
    </row>
    <row r="441" spans="1:14" x14ac:dyDescent="0.2">
      <c r="A441" s="131"/>
      <c r="I441" s="155"/>
      <c r="J441" s="155"/>
    </row>
    <row r="442" spans="1:14" x14ac:dyDescent="0.2">
      <c r="A442" s="131"/>
      <c r="I442" s="155"/>
      <c r="J442" s="155"/>
    </row>
  </sheetData>
  <sheetProtection sheet="1" objects="1" scenarios="1"/>
  <phoneticPr fontId="3" type="noConversion"/>
  <pageMargins left="0.75" right="0.75" top="1" bottom="1" header="0.5" footer="0.5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PTRM Inputs</vt:lpstr>
      <vt:lpstr>Instructions</vt:lpstr>
      <vt:lpstr>DNSP Data Inputs 2013-15</vt:lpstr>
      <vt:lpstr>Data 2006-08</vt:lpstr>
      <vt:lpstr>Data 2009-12</vt:lpstr>
      <vt:lpstr>Data 2009-15 (Real $2008)</vt:lpstr>
      <vt:lpstr>Tariff Compliance</vt:lpstr>
      <vt:lpstr>AMI Building Blocks 2009-15</vt:lpstr>
      <vt:lpstr>AMI Tax Depn 2009-15</vt:lpstr>
      <vt:lpstr>AMI RAB 2009-15</vt:lpstr>
      <vt:lpstr>Offset of Costs and Rev 2006-08</vt:lpstr>
      <vt:lpstr>IMRO Decision 2006-10</vt:lpstr>
      <vt:lpstr>Instructions!conv</vt:lpstr>
      <vt:lpstr>'Data 2009-12'!Print_Area</vt:lpstr>
      <vt:lpstr>'Data 2009-15 (Real $2008)'!Print_Area</vt:lpstr>
      <vt:lpstr>'DNSP Data Inputs 2013-15'!Print_Area</vt:lpstr>
      <vt:lpstr>Instructions!Print_Area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</dc:creator>
  <cp:lastModifiedBy>Moffitt, Shannon</cp:lastModifiedBy>
  <cp:lastPrinted>2009-05-05T01:34:38Z</cp:lastPrinted>
  <dcterms:created xsi:type="dcterms:W3CDTF">2009-04-11T02:58:03Z</dcterms:created>
  <dcterms:modified xsi:type="dcterms:W3CDTF">2016-05-24T01:32:11Z</dcterms:modified>
</cp:coreProperties>
</file>